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brubaker\Desktop\"/>
    </mc:Choice>
  </mc:AlternateContent>
  <bookViews>
    <workbookView xWindow="480" yWindow="36" windowWidth="11340" windowHeight="7608" tabRatio="831"/>
  </bookViews>
  <sheets>
    <sheet name="Rural Two-Lane Two-Way Road" sheetId="26" r:id="rId1"/>
    <sheet name="Rural Multi-Lane Road" sheetId="27" r:id="rId2"/>
    <sheet name="Segment Tables" sheetId="24" state="hidden" r:id="rId3"/>
    <sheet name="Construction - Do Not Delete" sheetId="10" state="hidden" r:id="rId4"/>
  </sheets>
  <externalReferences>
    <externalReference r:id="rId5"/>
  </externalReferences>
  <definedNames>
    <definedName name="CRumble">'Construction - Do Not Delete'!$H$17:$H$18</definedName>
    <definedName name="Differ">'Construction - Do Not Delete'!$L$29:$L$30</definedName>
    <definedName name="Division" localSheetId="1">'[1]Construction - Do Not Delete'!$F$37:$F$38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 localSheetId="1">'[1]Construction - Do Not Delete'!$B$4:$B$10</definedName>
    <definedName name="LWidth">'Construction - Do Not Delete'!$B$4:$B$10</definedName>
    <definedName name="MWidth">'Construction - Do Not Delete'!$D$37:$D$46</definedName>
    <definedName name="Not_Present" localSheetId="1">#REF!</definedName>
    <definedName name="Not_Present">#REF!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 localSheetId="1">'[1]Construction - Do Not Delete'!$D$17:$D$20</definedName>
    <definedName name="SType">'Construction - Do Not Delete'!$D$17:$D$20</definedName>
    <definedName name="SWidth" localSheetId="1">'[1]Construction - Do Not Delete'!$D$4:$D$12</definedName>
    <definedName name="SWidth">'Construction - Do Not Delete'!$D$4:$D$12</definedName>
    <definedName name="TWLTL">'Construction - Do Not Delete'!$F$23:$F$24</definedName>
  </definedNames>
  <calcPr calcId="152511"/>
</workbook>
</file>

<file path=xl/calcChain.xml><?xml version="1.0" encoding="utf-8"?>
<calcChain xmlns="http://schemas.openxmlformats.org/spreadsheetml/2006/main">
  <c r="AY37" i="27" l="1"/>
  <c r="AY36" i="27" s="1"/>
  <c r="BD36" i="27"/>
  <c r="AZ36" i="27"/>
  <c r="AX36" i="27"/>
  <c r="BD34" i="27"/>
  <c r="AZ34" i="27"/>
  <c r="AY34" i="27"/>
  <c r="AX34" i="27"/>
  <c r="AY33" i="27"/>
  <c r="BD32" i="27"/>
  <c r="AZ32" i="27"/>
  <c r="AX32" i="27"/>
  <c r="AY31" i="27"/>
  <c r="AY32" i="27" s="1"/>
  <c r="BD30" i="27"/>
  <c r="AZ30" i="27"/>
  <c r="AX30" i="27"/>
  <c r="AM30" i="27"/>
  <c r="AY29" i="27"/>
  <c r="AY30" i="27" s="1"/>
  <c r="A28" i="27"/>
  <c r="AS22" i="27"/>
  <c r="AM22" i="27"/>
  <c r="AM25" i="27" s="1"/>
  <c r="E28" i="27" s="1"/>
  <c r="AS20" i="27"/>
  <c r="AS25" i="27" s="1"/>
  <c r="AM20" i="27"/>
  <c r="BF16" i="27"/>
  <c r="BD16" i="27"/>
  <c r="BB16" i="27"/>
  <c r="AZ16" i="27"/>
  <c r="AY16" i="27"/>
  <c r="AX16" i="27"/>
  <c r="AV16" i="27"/>
  <c r="AM16" i="27"/>
  <c r="BE15" i="27"/>
  <c r="BE16" i="27" s="1"/>
  <c r="AY15" i="27"/>
  <c r="BE14" i="27"/>
  <c r="AY14" i="27"/>
  <c r="I14" i="27"/>
  <c r="BF12" i="27"/>
  <c r="BD12" i="27"/>
  <c r="BB12" i="27"/>
  <c r="AZ12" i="27"/>
  <c r="AY12" i="27"/>
  <c r="AX12" i="27"/>
  <c r="AV12" i="27"/>
  <c r="D28" i="27" s="1"/>
  <c r="BE11" i="27"/>
  <c r="BE12" i="27" s="1"/>
  <c r="AY11" i="27"/>
  <c r="BF10" i="27"/>
  <c r="BD10" i="27"/>
  <c r="BB10" i="27"/>
  <c r="AZ10" i="27"/>
  <c r="AY10" i="27"/>
  <c r="AX10" i="27"/>
  <c r="AV10" i="27"/>
  <c r="Q9" i="27"/>
  <c r="BE8" i="27"/>
  <c r="BE10" i="27" s="1"/>
  <c r="AY8" i="27"/>
  <c r="Q8" i="27"/>
  <c r="AS7" i="27"/>
  <c r="AM7" i="27"/>
  <c r="AS5" i="27"/>
  <c r="AS10" i="27" s="1"/>
  <c r="AM5" i="27"/>
  <c r="AM10" i="27" s="1"/>
  <c r="B28" i="27" s="1"/>
  <c r="F28" i="27" l="1"/>
  <c r="A31" i="27" s="1"/>
  <c r="C28" i="27"/>
  <c r="D23" i="26" l="1"/>
  <c r="A23" i="26"/>
  <c r="AS17" i="26"/>
  <c r="AS15" i="26"/>
  <c r="AM17" i="26"/>
  <c r="AY32" i="26"/>
  <c r="AY31" i="26"/>
  <c r="AZ31" i="26"/>
  <c r="AX31" i="26"/>
  <c r="AZ29" i="26"/>
  <c r="AX29" i="26"/>
  <c r="AY28" i="26"/>
  <c r="AY29" i="26"/>
  <c r="AZ27" i="26"/>
  <c r="AS5" i="26"/>
  <c r="AX27" i="26"/>
  <c r="AY26" i="26"/>
  <c r="AZ25" i="26"/>
  <c r="AM5" i="26"/>
  <c r="AX25" i="26"/>
  <c r="AY24" i="26"/>
  <c r="AY13" i="26"/>
  <c r="AZ11" i="26"/>
  <c r="AX11" i="26"/>
  <c r="AY10" i="26"/>
  <c r="AZ9" i="26"/>
  <c r="AX9" i="26"/>
  <c r="AY8" i="26"/>
  <c r="AS7" i="26"/>
  <c r="AM7" i="26"/>
  <c r="X9" i="24"/>
  <c r="Z9" i="24"/>
  <c r="X10" i="24"/>
  <c r="Z10" i="24"/>
  <c r="X11" i="24"/>
  <c r="Z11" i="24"/>
  <c r="X12" i="24"/>
  <c r="Z12" i="24"/>
  <c r="E13" i="24"/>
  <c r="H13" i="24"/>
  <c r="H15" i="24"/>
  <c r="H14" i="24"/>
  <c r="E31" i="24"/>
  <c r="F31" i="24"/>
  <c r="F39" i="24"/>
  <c r="G31" i="24"/>
  <c r="I31" i="24"/>
  <c r="J31" i="24"/>
  <c r="K31" i="24"/>
  <c r="E38" i="24"/>
  <c r="F38" i="24"/>
  <c r="G38" i="24"/>
  <c r="I38" i="24"/>
  <c r="J38" i="24"/>
  <c r="K38" i="24"/>
  <c r="J39" i="24"/>
  <c r="E39" i="24"/>
  <c r="E14" i="24"/>
  <c r="E15" i="24"/>
  <c r="I39" i="24"/>
  <c r="AM15" i="26"/>
  <c r="AY11" i="26"/>
  <c r="AY9" i="26"/>
  <c r="AY25" i="26"/>
  <c r="AY27" i="26"/>
  <c r="AS9" i="26" l="1"/>
  <c r="AS19" i="26"/>
  <c r="AM19" i="26"/>
  <c r="AM9" i="26"/>
  <c r="B23" i="26" l="1"/>
  <c r="C23" i="26" s="1"/>
  <c r="E23" i="26"/>
  <c r="F23" i="26" s="1"/>
  <c r="A26" i="26" l="1"/>
</calcChain>
</file>

<file path=xl/sharedStrings.xml><?xml version="1.0" encoding="utf-8"?>
<sst xmlns="http://schemas.openxmlformats.org/spreadsheetml/2006/main" count="332" uniqueCount="176">
  <si>
    <t>General Information</t>
  </si>
  <si>
    <t>Analyst</t>
  </si>
  <si>
    <t>Agency or Company</t>
  </si>
  <si>
    <t>Date Performed</t>
  </si>
  <si>
    <t>Input Data</t>
  </si>
  <si>
    <t>AADT (veh/day)</t>
  </si>
  <si>
    <t>Lane width (ft)</t>
  </si>
  <si>
    <t>Shoulder width (ft)</t>
  </si>
  <si>
    <t>Shoulder type</t>
  </si>
  <si>
    <t>Location Information</t>
  </si>
  <si>
    <t>Roadway</t>
  </si>
  <si>
    <t>Roadway Section</t>
  </si>
  <si>
    <t>Jurisdiction</t>
  </si>
  <si>
    <t>Base Conditions</t>
  </si>
  <si>
    <t>--</t>
  </si>
  <si>
    <t>CMF for Lane Width</t>
  </si>
  <si>
    <t>CMF for Shoulder Width and Type</t>
  </si>
  <si>
    <t>CMF 1r</t>
  </si>
  <si>
    <t>CMF 2r</t>
  </si>
  <si>
    <t>CMF comb</t>
  </si>
  <si>
    <t>from Equation 10-11</t>
  </si>
  <si>
    <t>from Equation 10-12</t>
  </si>
  <si>
    <t>Collision with animal</t>
  </si>
  <si>
    <t>Collision with bicycle</t>
  </si>
  <si>
    <t>Collision with pedestrian</t>
  </si>
  <si>
    <t>Overturned</t>
  </si>
  <si>
    <t>Ran off road</t>
  </si>
  <si>
    <t>Total single-vehicle crashes</t>
  </si>
  <si>
    <t>Angle collision</t>
  </si>
  <si>
    <t>Head-on collision</t>
  </si>
  <si>
    <t>Rear-end collision</t>
  </si>
  <si>
    <t>Sideswipe collision</t>
  </si>
  <si>
    <t>Other multiple-vehicle collision</t>
  </si>
  <si>
    <t>Crash severity level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</si>
  <si>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</si>
  <si>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</si>
  <si>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</si>
  <si>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</si>
  <si>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</si>
  <si>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</si>
  <si>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</si>
  <si>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</si>
  <si>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</si>
  <si>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</si>
  <si>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</si>
  <si>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</si>
  <si>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</si>
  <si>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</si>
  <si>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</si>
  <si>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</si>
  <si>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</si>
  <si>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</si>
  <si>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</si>
  <si>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</si>
  <si>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</si>
  <si>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</si>
  <si>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</si>
  <si>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</si>
  <si>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</si>
  <si>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</si>
  <si>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</si>
  <si>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</si>
  <si>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</si>
  <si>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</si>
  <si>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</si>
  <si>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</si>
  <si>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</si>
  <si>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</si>
  <si>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</si>
  <si>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</si>
  <si>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</si>
  <si>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</si>
  <si>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</si>
  <si>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</si>
  <si>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</si>
  <si>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</si>
  <si>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</si>
  <si>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</si>
  <si>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</si>
  <si>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</si>
  <si>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</si>
  <si>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</si>
  <si>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</si>
  <si>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</si>
  <si>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</si>
  <si>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</si>
  <si>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</si>
  <si>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Locally Derived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</si>
  <si>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</si>
  <si>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</si>
  <si>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</si>
  <si>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</si>
  <si>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</si>
  <si>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</si>
  <si>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Itype</t>
  </si>
  <si>
    <t>3ST</t>
  </si>
  <si>
    <t>4ST</t>
  </si>
  <si>
    <t>4SG</t>
  </si>
  <si>
    <t>Lapproach</t>
  </si>
  <si>
    <t>Rapproach</t>
  </si>
  <si>
    <t>Ilight</t>
  </si>
  <si>
    <t>Combined CMF</t>
  </si>
  <si>
    <t>Differ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</si>
  <si>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</si>
  <si>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</si>
  <si>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</si>
  <si>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</si>
  <si>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</si>
  <si>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</si>
  <si>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</si>
  <si>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</si>
  <si>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</si>
  <si>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</si>
  <si>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</si>
  <si>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</si>
  <si>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Tables Affiliated with Crash Statistics:</t>
  </si>
  <si>
    <t>Tables Affiliated with Crash Modification Factors:</t>
  </si>
  <si>
    <t>One End Only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</si>
  <si>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</si>
  <si>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</si>
  <si>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</si>
  <si>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</si>
  <si>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</si>
  <si>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</si>
  <si>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</si>
  <si>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Note:  HSM-provided values based on HSIS data for Washington (2002-2006)</t>
  </si>
  <si>
    <t>Table 10-12: Nighttime Crash Proportions for Unlighted Roadway Segments plus Locally-Derived Values</t>
  </si>
  <si>
    <t>Locally-Derived Values (Oregon)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</si>
  <si>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</rPr>
      <t xml:space="preserve"> =</t>
    </r>
  </si>
  <si>
    <t>(veh/day)</t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</si>
  <si>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</si>
  <si>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</si>
  <si>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</si>
  <si>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</si>
  <si>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</si>
  <si>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</si>
  <si>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</si>
  <si>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</si>
  <si>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JPH</t>
  </si>
  <si>
    <t>PennDOT</t>
  </si>
  <si>
    <t>SR 1001 (Curve)</t>
  </si>
  <si>
    <t>Seg 0010/0000 to 0010/1584</t>
  </si>
  <si>
    <t>Bobitztown, PA</t>
  </si>
  <si>
    <t>Existing Site Conditions</t>
  </si>
  <si>
    <t>New Site Conditions</t>
  </si>
  <si>
    <t>CMF for Changing Lane Width and / or AADT for Rural Two-Lane Two-Way Roadway Segments</t>
  </si>
  <si>
    <t>Supplemental CMF Calculations for Shoulders (Existing Conditions):</t>
  </si>
  <si>
    <t>Supplemental CMF Calculations for Shoulders (New Conditions):</t>
  </si>
  <si>
    <t>(1)x(2)</t>
  </si>
  <si>
    <t>Part D CMF for Changing Lane &amp; Shoulder Width</t>
  </si>
  <si>
    <t xml:space="preserve">This spreadsheet supplements the PennDOT HSM Analysis Tool B. This calculates the Part D CMF for changing lane and shoulder width from the existing condition. In Tool B select User Countermeasure (1,2,or 3) and enter the value from cell A26. </t>
  </si>
  <si>
    <r>
      <rPr>
        <b/>
        <u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A26. </t>
    </r>
    <r>
      <rPr>
        <i/>
        <sz val="10"/>
        <rFont val="Arial"/>
        <family val="2"/>
      </rPr>
      <t>(Refer to AASHTO's HSM 2010 page 13-4 and 13-11.)</t>
    </r>
  </si>
  <si>
    <t>CMF for Changing Lane Width and / or AADT for Rural Multilane Roadway Segments</t>
  </si>
  <si>
    <t>Supplemental CMF Calculations for Shoulders (Undivided Existing Conditions):</t>
  </si>
  <si>
    <t>BJB</t>
  </si>
  <si>
    <t>SR XXXX</t>
  </si>
  <si>
    <t>GTE</t>
  </si>
  <si>
    <t>Seg XXXX / Off XXXX to Seg XXXX Off XXXX</t>
  </si>
  <si>
    <t>Table 11-11: CMFra for Collision Types Related to Lane Width (Undivided)</t>
  </si>
  <si>
    <t>Table 11-16: CMFra for Collision Types Related to Lane Width (Divided)</t>
  </si>
  <si>
    <t>XXXXX County, XXXXX Township</t>
  </si>
  <si>
    <r>
      <t>Computed Right Shoulder CMF</t>
    </r>
    <r>
      <rPr>
        <vertAlign val="subscript"/>
        <sz val="10"/>
        <rFont val="Arial"/>
        <family val="2"/>
      </rPr>
      <t xml:space="preserve">2ru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</si>
  <si>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2ru </t>
    </r>
    <r>
      <rPr>
        <sz val="10"/>
        <rFont val="Arial"/>
        <family val="2"/>
      </rPr>
      <t>:</t>
    </r>
  </si>
  <si>
    <t>Supplemental CMF Calculations for Shoulders (Divided Existing Conditions):</t>
  </si>
  <si>
    <t>This spreadsheet supplements the PennDOT HSM Analysis Tool B. This calculates the Part D CMF for changing lane and shoulder width from the existing condition. In Tool B select User Countermeasure (1, 2, or 3) and enter the value from cell A30.</t>
  </si>
  <si>
    <r>
      <t>Computed Right Shoulder CMF</t>
    </r>
    <r>
      <rPr>
        <vertAlign val="subscript"/>
        <sz val="10"/>
        <rFont val="Arial"/>
        <family val="2"/>
      </rPr>
      <t xml:space="preserve">2rd </t>
    </r>
    <r>
      <rPr>
        <sz val="10"/>
        <rFont val="Arial"/>
        <family val="2"/>
      </rPr>
      <t>:</t>
    </r>
  </si>
  <si>
    <t>Supplemental CMF Calculations for Shoulders (Undivided New Conditions):</t>
  </si>
  <si>
    <r>
      <rPr>
        <b/>
        <u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A30. </t>
    </r>
    <r>
      <rPr>
        <i/>
        <sz val="10"/>
        <rFont val="Arial"/>
        <family val="2"/>
      </rPr>
      <t>(Refer to AASHTO's HSM 2010 page 13-7 and 13-12.)</t>
    </r>
  </si>
  <si>
    <t>CMF 1 ru (Undivided) CMF 1rd (Divided)</t>
  </si>
  <si>
    <t>CMF 2 ru (Undivided) CMF 2rd (Divided)</t>
  </si>
  <si>
    <t>from Equation 11-13 (Undivided) and Equation 11-16 (Divided)</t>
  </si>
  <si>
    <t>from Equation 11-14 (Undivided) and Table          11-17 (Divided)</t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</si>
  <si>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</si>
  <si>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t>Table 11-17: CMF for Right Shoulder Width on Divided Roadway Segments (CMF 2rd)</t>
  </si>
  <si>
    <t>Supplemental CMF Calculations for Shoulders (Divided New Conditions):</t>
  </si>
  <si>
    <t>Note: This CMF applies to paved shoulders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</si>
</sst>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;@"/>
    <numFmt numFmtId="166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2" xfId="0" applyFont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49" fontId="0" fillId="0" borderId="0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0" fillId="0" borderId="11" xfId="0" applyBorder="1"/>
    <xf numFmtId="0" fontId="3" fillId="0" borderId="0" xfId="0" applyFont="1" applyBorder="1"/>
    <xf numFmtId="0" fontId="0" fillId="0" borderId="0" xfId="0" applyFill="1" applyBorder="1" applyAlignment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9" fillId="0" borderId="0" xfId="0" applyFont="1"/>
    <xf numFmtId="2" fontId="0" fillId="0" borderId="12" xfId="0" applyNumberFormat="1" applyFill="1" applyBorder="1" applyAlignment="1">
      <alignment horizontal="center"/>
    </xf>
    <xf numFmtId="0" fontId="0" fillId="0" borderId="0" xfId="0" applyFill="1"/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0" fillId="0" borderId="13" xfId="0" applyNumberFormat="1" applyFont="1" applyBorder="1"/>
    <xf numFmtId="164" fontId="0" fillId="3" borderId="1" xfId="0" applyNumberForma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3" fontId="0" fillId="4" borderId="15" xfId="0" applyNumberForma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3" fontId="0" fillId="0" borderId="0" xfId="0" applyNumberFormat="1" applyFill="1" applyBorder="1" applyAlignment="1"/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1" xfId="0" applyFill="1" applyBorder="1" applyAlignment="1"/>
    <xf numFmtId="0" fontId="9" fillId="0" borderId="0" xfId="0" applyFont="1" applyBorder="1"/>
    <xf numFmtId="0" fontId="1" fillId="0" borderId="2" xfId="0" applyFont="1" applyBorder="1" applyAlignment="1">
      <alignment horizontal="right"/>
    </xf>
    <xf numFmtId="0" fontId="0" fillId="2" borderId="5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5" xfId="0" applyFont="1" applyBorder="1" applyAlignment="1"/>
    <xf numFmtId="0" fontId="0" fillId="2" borderId="8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55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0" fillId="0" borderId="5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0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/>
    <xf numFmtId="0" fontId="1" fillId="5" borderId="0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5" borderId="41" xfId="0" applyNumberForma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53" xfId="0" applyFill="1" applyBorder="1" applyAlignment="1"/>
    <xf numFmtId="0" fontId="0" fillId="0" borderId="24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13" xfId="0" applyNumberFormat="1" applyFill="1" applyBorder="1" applyAlignment="1"/>
    <xf numFmtId="0" fontId="0" fillId="0" borderId="22" xfId="0" applyBorder="1" applyAlignment="1"/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5" borderId="38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65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1" fillId="0" borderId="65" xfId="0" quotePrefix="1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10" xfId="0" applyFont="1" applyBorder="1" applyAlignment="1"/>
    <xf numFmtId="0" fontId="3" fillId="0" borderId="2" xfId="0" applyFont="1" applyBorder="1" applyAlignment="1"/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ill="1" applyBorder="1" applyAlignment="1"/>
    <xf numFmtId="0" fontId="0" fillId="0" borderId="54" xfId="0" applyFill="1" applyBorder="1" applyAlignment="1"/>
    <xf numFmtId="3" fontId="0" fillId="5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/>
    <xf numFmtId="3" fontId="0" fillId="5" borderId="51" xfId="0" applyNumberFormat="1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51" xfId="0" applyFill="1" applyBorder="1" applyAlignment="1"/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6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49" fontId="6" fillId="0" borderId="3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0" fontId="0" fillId="0" borderId="35" xfId="0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166" fontId="0" fillId="0" borderId="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166" fontId="0" fillId="3" borderId="0" xfId="0" applyNumberFormat="1" applyFill="1" applyBorder="1" applyAlignment="1">
      <alignment horizontal="center"/>
    </xf>
    <xf numFmtId="0" fontId="0" fillId="0" borderId="8" xfId="0" applyBorder="1" applyAlignment="1"/>
    <xf numFmtId="164" fontId="0" fillId="3" borderId="1" xfId="0" applyNumberForma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/>
    <xf numFmtId="164" fontId="0" fillId="3" borderId="7" xfId="0" applyNumberFormat="1" applyFill="1" applyBorder="1" applyAlignment="1"/>
    <xf numFmtId="0" fontId="3" fillId="0" borderId="5" xfId="0" applyFont="1" applyBorder="1" applyAlignment="1">
      <alignment horizontal="center" wrapText="1"/>
    </xf>
    <xf numFmtId="0" fontId="0" fillId="0" borderId="4" xfId="0" applyBorder="1"/>
    <xf numFmtId="0" fontId="0" fillId="0" borderId="35" xfId="0" applyBorder="1"/>
    <xf numFmtId="0" fontId="0" fillId="0" borderId="6" xfId="0" applyBorder="1"/>
    <xf numFmtId="0" fontId="0" fillId="0" borderId="0" xfId="0"/>
    <xf numFmtId="0" fontId="0" fillId="0" borderId="18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" xfId="0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1" xfId="0" applyFill="1" applyBorder="1" applyAlignment="1"/>
    <xf numFmtId="0" fontId="0" fillId="0" borderId="37" xfId="0" applyFill="1" applyBorder="1" applyAlignment="1"/>
    <xf numFmtId="0" fontId="0" fillId="0" borderId="6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3" fontId="0" fillId="4" borderId="13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0" fillId="0" borderId="5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5" borderId="35" xfId="0" applyNumberFormat="1" applyFill="1" applyBorder="1" applyAlignment="1">
      <alignment horizontal="center" vertical="center"/>
    </xf>
    <xf numFmtId="3" fontId="0" fillId="5" borderId="67" xfId="0" applyNumberFormat="1" applyFill="1" applyBorder="1" applyAlignment="1">
      <alignment horizontal="center" vertical="center"/>
    </xf>
    <xf numFmtId="3" fontId="11" fillId="0" borderId="0" xfId="0" applyNumberFormat="1" applyFont="1" applyFill="1" applyBorder="1" applyAlignment="1"/>
    <xf numFmtId="0" fontId="0" fillId="0" borderId="6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quotePrefix="1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3" fontId="0" fillId="5" borderId="33" xfId="0" applyNumberFormat="1" applyFill="1" applyBorder="1" applyAlignment="1">
      <alignment horizontal="center" vertical="center"/>
    </xf>
    <xf numFmtId="3" fontId="0" fillId="5" borderId="69" xfId="0" applyNumberFormat="1" applyFill="1" applyBorder="1" applyAlignment="1">
      <alignment horizontal="center" vertical="center"/>
    </xf>
    <xf numFmtId="0" fontId="0" fillId="0" borderId="66" xfId="0" applyBorder="1" applyAlignment="1"/>
    <xf numFmtId="0" fontId="0" fillId="0" borderId="35" xfId="0" applyBorder="1" applyAlignment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1" fillId="0" borderId="55" xfId="0" applyFont="1" applyBorder="1" applyAlignment="1"/>
    <xf numFmtId="0" fontId="1" fillId="0" borderId="7" xfId="0" quotePrefix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/>
    <xf numFmtId="0" fontId="0" fillId="2" borderId="70" xfId="0" applyFill="1" applyBorder="1" applyAlignment="1"/>
    <xf numFmtId="0" fontId="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5" xfId="0" quotePrefix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7" xfId="0" applyFont="1" applyBorder="1" applyAlignment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ew%20CMF/Shoulder/Part%20D%20CMF%20for%20Changing%20Lane-Shldr%20Width%20(Rural%20Multilan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"/>
      <sheetName val="Segment Tables"/>
      <sheetName val="Construction - Do Not Delete"/>
    </sheetNames>
    <sheetDataSet>
      <sheetData sheetId="0" refreshError="1"/>
      <sheetData sheetId="1">
        <row r="8">
          <cell r="B8">
            <v>0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1.01</v>
          </cell>
          <cell r="E10">
            <v>1.01</v>
          </cell>
          <cell r="F10">
            <v>1.01</v>
          </cell>
          <cell r="G10">
            <v>1.0150000000000001</v>
          </cell>
          <cell r="H10">
            <v>1.02</v>
          </cell>
          <cell r="I10">
            <v>1.02</v>
          </cell>
          <cell r="J10">
            <v>1.02</v>
          </cell>
        </row>
        <row r="11">
          <cell r="B11">
            <v>1</v>
          </cell>
          <cell r="C11">
            <v>1.01</v>
          </cell>
          <cell r="D11">
            <v>1.02</v>
          </cell>
          <cell r="E11">
            <v>1.02</v>
          </cell>
          <cell r="F11">
            <v>1.03</v>
          </cell>
          <cell r="G11">
            <v>1.0350000000000001</v>
          </cell>
          <cell r="H11">
            <v>1.04</v>
          </cell>
          <cell r="I11">
            <v>1.05</v>
          </cell>
          <cell r="J11">
            <v>1.06</v>
          </cell>
        </row>
        <row r="12">
          <cell r="B12">
            <v>1</v>
          </cell>
          <cell r="C12">
            <v>1.01</v>
          </cell>
          <cell r="D12">
            <v>1.03</v>
          </cell>
          <cell r="E12">
            <v>1.04</v>
          </cell>
          <cell r="F12">
            <v>1.05</v>
          </cell>
          <cell r="G12">
            <v>1.0649999999999999</v>
          </cell>
          <cell r="H12">
            <v>1.08</v>
          </cell>
          <cell r="I12">
            <v>1.0950000000000002</v>
          </cell>
          <cell r="J12">
            <v>1.1100000000000001</v>
          </cell>
        </row>
      </sheetData>
      <sheetData sheetId="2">
        <row r="4">
          <cell r="B4">
            <v>9</v>
          </cell>
          <cell r="D4">
            <v>0</v>
          </cell>
        </row>
        <row r="5">
          <cell r="B5">
            <v>9.5</v>
          </cell>
          <cell r="D5">
            <v>1</v>
          </cell>
        </row>
        <row r="6">
          <cell r="B6">
            <v>10</v>
          </cell>
          <cell r="D6">
            <v>2</v>
          </cell>
        </row>
        <row r="7">
          <cell r="B7">
            <v>10.5</v>
          </cell>
          <cell r="D7">
            <v>3</v>
          </cell>
        </row>
        <row r="8">
          <cell r="B8">
            <v>11</v>
          </cell>
          <cell r="D8">
            <v>4</v>
          </cell>
        </row>
        <row r="9">
          <cell r="B9">
            <v>11.5</v>
          </cell>
          <cell r="D9">
            <v>5</v>
          </cell>
        </row>
        <row r="10">
          <cell r="B10">
            <v>12</v>
          </cell>
          <cell r="D10">
            <v>6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</row>
        <row r="18">
          <cell r="D18" t="str">
            <v>Gravel</v>
          </cell>
        </row>
        <row r="19">
          <cell r="D19" t="str">
            <v>Composite</v>
          </cell>
        </row>
        <row r="20">
          <cell r="D20" t="str">
            <v>Turf</v>
          </cell>
        </row>
        <row r="37">
          <cell r="F37" t="str">
            <v>Divided</v>
          </cell>
        </row>
        <row r="38">
          <cell r="F38" t="str">
            <v>Undivided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abSelected="1" zoomScaleNormal="100" workbookViewId="0">
      <selection sqref="A1:P1"/>
    </sheetView>
  </sheetViews>
  <sheetFormatPr defaultRowHeight="13.2" x14ac:dyDescent="0.25"/>
  <cols>
    <col min="1" max="16" width="11.6640625" customWidth="1"/>
    <col min="17" max="17" width="9.6640625" customWidth="1"/>
    <col min="30" max="30" width="13" customWidth="1"/>
    <col min="31" max="31" width="13.109375" customWidth="1"/>
    <col min="32" max="32" width="16.5546875" customWidth="1"/>
  </cols>
  <sheetData>
    <row r="1" spans="1:52" ht="13.8" thickBot="1" x14ac:dyDescent="0.3">
      <c r="A1" s="125" t="s">
        <v>145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AV1" s="49" t="s">
        <v>116</v>
      </c>
    </row>
    <row r="2" spans="1:52" ht="13.5" customHeight="1" thickBot="1" x14ac:dyDescent="0.3">
      <c r="A2" s="124" t="s">
        <v>0</v>
      </c>
      <c r="B2" s="122"/>
      <c r="C2" s="122"/>
      <c r="D2" s="122"/>
      <c r="E2" s="122"/>
      <c r="F2" s="122"/>
      <c r="G2" s="122"/>
      <c r="H2" s="122"/>
      <c r="I2" s="122" t="s">
        <v>9</v>
      </c>
      <c r="J2" s="122"/>
      <c r="K2" s="122"/>
      <c r="L2" s="122"/>
      <c r="M2" s="122"/>
      <c r="N2" s="122"/>
      <c r="O2" s="122"/>
      <c r="P2" s="123"/>
      <c r="AI2" s="49" t="s">
        <v>146</v>
      </c>
    </row>
    <row r="3" spans="1:52" ht="13.8" thickBot="1" x14ac:dyDescent="0.3">
      <c r="A3" s="174" t="s">
        <v>1</v>
      </c>
      <c r="B3" s="175"/>
      <c r="C3" s="175"/>
      <c r="D3" s="175"/>
      <c r="E3" s="172" t="s">
        <v>138</v>
      </c>
      <c r="F3" s="172"/>
      <c r="G3" s="172"/>
      <c r="H3" s="173"/>
      <c r="I3" s="169" t="s">
        <v>10</v>
      </c>
      <c r="J3" s="170"/>
      <c r="K3" s="170"/>
      <c r="L3" s="171"/>
      <c r="M3" s="137" t="s">
        <v>140</v>
      </c>
      <c r="N3" s="137"/>
      <c r="O3" s="137"/>
      <c r="P3" s="138"/>
    </row>
    <row r="4" spans="1:52" x14ac:dyDescent="0.25">
      <c r="A4" s="149" t="s">
        <v>2</v>
      </c>
      <c r="B4" s="150"/>
      <c r="C4" s="150"/>
      <c r="D4" s="150"/>
      <c r="E4" s="145" t="s">
        <v>139</v>
      </c>
      <c r="F4" s="145"/>
      <c r="G4" s="145"/>
      <c r="H4" s="146"/>
      <c r="I4" s="139" t="s">
        <v>11</v>
      </c>
      <c r="J4" s="140"/>
      <c r="K4" s="140"/>
      <c r="L4" s="141"/>
      <c r="M4" s="137" t="s">
        <v>141</v>
      </c>
      <c r="N4" s="137"/>
      <c r="O4" s="137"/>
      <c r="P4" s="138"/>
      <c r="AV4" s="185" t="s">
        <v>122</v>
      </c>
      <c r="AW4" s="185"/>
      <c r="AX4" s="185"/>
      <c r="AY4" s="185"/>
      <c r="AZ4" s="185"/>
    </row>
    <row r="5" spans="1:52" ht="12.75" customHeight="1" thickBot="1" x14ac:dyDescent="0.4">
      <c r="A5" s="151" t="s">
        <v>3</v>
      </c>
      <c r="B5" s="152"/>
      <c r="C5" s="152"/>
      <c r="D5" s="152"/>
      <c r="E5" s="147">
        <v>42802</v>
      </c>
      <c r="F5" s="147"/>
      <c r="G5" s="147"/>
      <c r="H5" s="148"/>
      <c r="I5" s="142" t="s">
        <v>12</v>
      </c>
      <c r="J5" s="143"/>
      <c r="K5" s="143"/>
      <c r="L5" s="144"/>
      <c r="M5" s="153" t="s">
        <v>142</v>
      </c>
      <c r="N5" s="153"/>
      <c r="O5" s="153"/>
      <c r="P5" s="154"/>
      <c r="AI5" s="36" t="s">
        <v>131</v>
      </c>
      <c r="AM5" s="48">
        <f>IF($I$8&gt;2000,(VLOOKUP($J$10,$AV$24:$AZ$32,5,FALSE)),IF($I$8&lt;400,(VLOOKUP($J$10,$AV$24:$AZ$32,3,FALSE)),(VLOOKUP($J$10,$AV$24:$AZ$32,4))))</f>
        <v>1.2250000000000001</v>
      </c>
      <c r="AO5" s="36" t="s">
        <v>132</v>
      </c>
      <c r="AS5" s="48">
        <f>IF($I$8&gt;2000,(VLOOKUP($L$10,$AV$24:$AZ$32,5,FALSE)),IF($I$8&lt;400,(VLOOKUP($L$10,$AV$24:$AZ$32,3,FALSE)),(VLOOKUP($L$10,$AV$24:$AZ$32,4))))</f>
        <v>1.2250000000000001</v>
      </c>
      <c r="AV5" s="186"/>
      <c r="AW5" s="186"/>
      <c r="AX5" s="186"/>
      <c r="AY5" s="186"/>
      <c r="AZ5" s="186"/>
    </row>
    <row r="6" spans="1:52" ht="12.75" customHeight="1" thickBot="1" x14ac:dyDescent="0.3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AV6" s="187" t="s">
        <v>34</v>
      </c>
      <c r="AW6" s="188"/>
      <c r="AX6" s="191" t="s">
        <v>5</v>
      </c>
      <c r="AY6" s="191"/>
      <c r="AZ6" s="192"/>
    </row>
    <row r="7" spans="1:52" ht="16.2" thickBot="1" x14ac:dyDescent="0.4">
      <c r="A7" s="161" t="s">
        <v>4</v>
      </c>
      <c r="B7" s="162"/>
      <c r="C7" s="162"/>
      <c r="D7" s="162"/>
      <c r="E7" s="162"/>
      <c r="F7" s="163"/>
      <c r="G7" s="164" t="s">
        <v>13</v>
      </c>
      <c r="H7" s="163"/>
      <c r="I7" s="164" t="s">
        <v>143</v>
      </c>
      <c r="J7" s="162"/>
      <c r="K7" s="162"/>
      <c r="L7" s="163"/>
      <c r="M7" s="199" t="s">
        <v>144</v>
      </c>
      <c r="N7" s="200"/>
      <c r="O7" s="200"/>
      <c r="P7" s="201"/>
      <c r="AI7" s="36" t="s">
        <v>133</v>
      </c>
      <c r="AM7" s="48">
        <f>IF($J$11="Paved",(HLOOKUP($J$10,'Segment Tables'!$S$8:$AA$12,2,FALSE)),(IF($J$11="Gravel",(HLOOKUP($J$10,'Segment Tables'!$S$8:$AA$12,3,FALSE)),(IF($J$11="Turf",(HLOOKUP($J$10,'Segment Tables'!$S$8:$AA$12,5,FALSE)),HLOOKUP($J$10,'Segment Tables'!$S$8:$AA$12,4,FALSE))))))</f>
        <v>1</v>
      </c>
      <c r="AO7" s="36" t="s">
        <v>134</v>
      </c>
      <c r="AS7" s="48">
        <f>IF($L$11="Paved",(HLOOKUP($L$10,'Segment Tables'!$S$8:$AA$12,2,FALSE)),(IF($L$11="Gravel",(HLOOKUP($L$10,'Segment Tables'!$S$8:$AA$12,3,FALSE)),(IF($L$11="Turf",(HLOOKUP($L$10,'Segment Tables'!$S$8:$AA$12,5,FALSE)),HLOOKUP($L$10,'Segment Tables'!$S$8:$AA$12,4,FALSE))))))</f>
        <v>1</v>
      </c>
      <c r="AV7" s="189"/>
      <c r="AW7" s="190"/>
      <c r="AX7" s="14" t="s">
        <v>40</v>
      </c>
      <c r="AY7" s="14" t="s">
        <v>41</v>
      </c>
      <c r="AZ7" s="27" t="s">
        <v>42</v>
      </c>
    </row>
    <row r="8" spans="1:52" ht="16.2" thickBot="1" x14ac:dyDescent="0.4">
      <c r="A8" s="131" t="s">
        <v>5</v>
      </c>
      <c r="B8" s="132"/>
      <c r="C8" s="168"/>
      <c r="D8" s="67" t="s">
        <v>128</v>
      </c>
      <c r="E8" s="68">
        <v>17800</v>
      </c>
      <c r="F8" s="69" t="s">
        <v>129</v>
      </c>
      <c r="G8" s="165" t="s">
        <v>14</v>
      </c>
      <c r="H8" s="133"/>
      <c r="I8" s="166">
        <v>10000</v>
      </c>
      <c r="J8" s="167"/>
      <c r="K8" s="167"/>
      <c r="L8" s="167"/>
      <c r="M8" s="202">
        <v>10000</v>
      </c>
      <c r="N8" s="203"/>
      <c r="O8" s="203"/>
      <c r="P8" s="204"/>
      <c r="Q8" s="70"/>
      <c r="AV8" s="193">
        <v>9</v>
      </c>
      <c r="AW8" s="194"/>
      <c r="AX8" s="28">
        <v>1.05</v>
      </c>
      <c r="AY8" s="28">
        <f>+($I$8-400)*0.000281+1.05</f>
        <v>3.7476000000000003</v>
      </c>
      <c r="AZ8" s="29">
        <v>1.5</v>
      </c>
    </row>
    <row r="9" spans="1:52" ht="15.6" x14ac:dyDescent="0.35">
      <c r="A9" s="131" t="s">
        <v>6</v>
      </c>
      <c r="B9" s="132"/>
      <c r="C9" s="132"/>
      <c r="D9" s="132"/>
      <c r="E9" s="132"/>
      <c r="F9" s="133"/>
      <c r="G9" s="134">
        <v>12</v>
      </c>
      <c r="H9" s="133"/>
      <c r="I9" s="135">
        <v>11</v>
      </c>
      <c r="J9" s="136"/>
      <c r="K9" s="136"/>
      <c r="L9" s="136"/>
      <c r="M9" s="205">
        <v>11</v>
      </c>
      <c r="N9" s="206"/>
      <c r="O9" s="206"/>
      <c r="P9" s="207"/>
      <c r="AI9" s="36" t="s">
        <v>135</v>
      </c>
      <c r="AM9" s="48">
        <f>(+$AM$5*$AM$7-1)*(IF('Segment Tables'!$D$23="No",(('Segment Tables'!$G$29+'Segment Tables'!$G$34+'Segment Tables'!$G$36)/100),(('Segment Tables'!$K$29+'Segment Tables'!$K$34+'Segment Tables'!$K$36)/100)))+1</f>
        <v>1.1291500000000001</v>
      </c>
      <c r="AO9" s="36" t="s">
        <v>136</v>
      </c>
      <c r="AS9" s="48">
        <f>(+$AS$5*$AS$7-1)*(IF('Segment Tables'!$D$23="No",(('Segment Tables'!$G$29+'Segment Tables'!$G$34+'Segment Tables'!$G$36)/100),(('Segment Tables'!$K$29+'Segment Tables'!$K$34+'Segment Tables'!$K$36)/100)))+1</f>
        <v>1.1291500000000001</v>
      </c>
      <c r="AV9" s="194">
        <v>9.5</v>
      </c>
      <c r="AW9" s="195"/>
      <c r="AX9" s="28">
        <f>+(AX8+AX10)/2</f>
        <v>1.0350000000000001</v>
      </c>
      <c r="AY9" s="28">
        <f>+(AY8+AY10)/2</f>
        <v>3.2238000000000002</v>
      </c>
      <c r="AZ9" s="29">
        <f>+(AZ8+AZ10)/2</f>
        <v>1.4</v>
      </c>
    </row>
    <row r="10" spans="1:52" x14ac:dyDescent="0.25">
      <c r="A10" s="131" t="s">
        <v>7</v>
      </c>
      <c r="B10" s="132"/>
      <c r="C10" s="132"/>
      <c r="D10" s="132"/>
      <c r="E10" s="132"/>
      <c r="F10" s="133"/>
      <c r="G10" s="134">
        <v>6</v>
      </c>
      <c r="H10" s="133"/>
      <c r="I10" s="76" t="s">
        <v>130</v>
      </c>
      <c r="J10" s="72">
        <v>3</v>
      </c>
      <c r="K10" s="76" t="s">
        <v>137</v>
      </c>
      <c r="L10" s="71">
        <v>3</v>
      </c>
      <c r="M10" s="76" t="s">
        <v>130</v>
      </c>
      <c r="N10" s="62">
        <v>4</v>
      </c>
      <c r="O10" s="76" t="s">
        <v>137</v>
      </c>
      <c r="P10" s="77">
        <v>4</v>
      </c>
      <c r="AV10" s="193">
        <v>10</v>
      </c>
      <c r="AW10" s="194"/>
      <c r="AX10" s="28">
        <v>1.02</v>
      </c>
      <c r="AY10" s="28">
        <f>+($I$8-400)*0.000175+1.02</f>
        <v>2.7</v>
      </c>
      <c r="AZ10" s="29">
        <v>1.3</v>
      </c>
    </row>
    <row r="11" spans="1:52" ht="13.8" thickBot="1" x14ac:dyDescent="0.3">
      <c r="A11" s="111" t="s">
        <v>8</v>
      </c>
      <c r="B11" s="112"/>
      <c r="C11" s="112"/>
      <c r="D11" s="112"/>
      <c r="E11" s="112"/>
      <c r="F11" s="113"/>
      <c r="G11" s="181" t="s">
        <v>64</v>
      </c>
      <c r="H11" s="113"/>
      <c r="I11" s="78" t="s">
        <v>130</v>
      </c>
      <c r="J11" s="79" t="s">
        <v>64</v>
      </c>
      <c r="K11" s="78" t="s">
        <v>137</v>
      </c>
      <c r="L11" s="80" t="s">
        <v>64</v>
      </c>
      <c r="M11" s="78" t="s">
        <v>130</v>
      </c>
      <c r="N11" s="81" t="s">
        <v>64</v>
      </c>
      <c r="O11" s="78" t="s">
        <v>137</v>
      </c>
      <c r="P11" s="82" t="s">
        <v>64</v>
      </c>
      <c r="AI11" s="75"/>
      <c r="AJ11" s="4"/>
      <c r="AK11" s="4"/>
      <c r="AL11" s="4"/>
      <c r="AM11" s="4"/>
      <c r="AV11" s="214">
        <v>10.5</v>
      </c>
      <c r="AW11" s="214"/>
      <c r="AX11" s="28">
        <f>+(AX10+AX13)/2</f>
        <v>1.0150000000000001</v>
      </c>
      <c r="AY11" s="28">
        <f>+(AY10+AY13)/2</f>
        <v>1.9750000000000001</v>
      </c>
      <c r="AZ11" s="29">
        <f>+(AZ10+AZ13)/2</f>
        <v>1.175</v>
      </c>
    </row>
    <row r="12" spans="1:52" ht="13.8" thickBot="1" x14ac:dyDescent="0.3">
      <c r="A12" s="73"/>
      <c r="B12" s="73"/>
      <c r="C12" s="73"/>
      <c r="D12" s="74"/>
      <c r="E12" s="74"/>
      <c r="F12" s="74"/>
      <c r="G12" s="86"/>
      <c r="H12" s="74"/>
      <c r="I12" s="87"/>
      <c r="J12" s="88"/>
      <c r="K12" s="87"/>
      <c r="L12" s="88"/>
      <c r="M12" s="87"/>
      <c r="N12" s="88"/>
      <c r="O12" s="87"/>
      <c r="P12" s="88"/>
      <c r="AI12" s="75"/>
      <c r="AJ12" s="4"/>
      <c r="AK12" s="4"/>
      <c r="AL12" s="4"/>
      <c r="AM12" s="4"/>
      <c r="AV12" s="33"/>
      <c r="AW12" s="33"/>
      <c r="AX12" s="28"/>
      <c r="AY12" s="28"/>
      <c r="AZ12" s="29"/>
    </row>
    <row r="13" spans="1:52" x14ac:dyDescent="0.25">
      <c r="A13" s="208" t="s">
        <v>143</v>
      </c>
      <c r="B13" s="209"/>
      <c r="C13" s="210"/>
      <c r="D13" s="211" t="s">
        <v>144</v>
      </c>
      <c r="E13" s="212"/>
      <c r="F13" s="213"/>
      <c r="H13" s="102" t="s">
        <v>150</v>
      </c>
      <c r="I13" s="103"/>
      <c r="J13" s="103"/>
      <c r="K13" s="103"/>
      <c r="L13" s="103"/>
      <c r="M13" s="103"/>
      <c r="N13" s="103"/>
      <c r="O13" s="103"/>
      <c r="P13" s="104"/>
      <c r="AI13" s="49" t="s">
        <v>147</v>
      </c>
      <c r="AV13" s="193">
        <v>11</v>
      </c>
      <c r="AW13" s="194"/>
      <c r="AX13" s="28">
        <v>1.01</v>
      </c>
      <c r="AY13" s="28">
        <f>+($I$8-400)*0.000025+1.01</f>
        <v>1.25</v>
      </c>
      <c r="AZ13" s="29">
        <v>1.05</v>
      </c>
    </row>
    <row r="14" spans="1:52" ht="15.75" customHeight="1" thickBot="1" x14ac:dyDescent="0.3">
      <c r="A14" s="114" t="s">
        <v>15</v>
      </c>
      <c r="B14" s="117" t="s">
        <v>16</v>
      </c>
      <c r="C14" s="176" t="s">
        <v>101</v>
      </c>
      <c r="D14" s="114" t="s">
        <v>15</v>
      </c>
      <c r="E14" s="117" t="s">
        <v>16</v>
      </c>
      <c r="F14" s="176" t="s">
        <v>101</v>
      </c>
      <c r="H14" s="105"/>
      <c r="I14" s="106"/>
      <c r="J14" s="106"/>
      <c r="K14" s="106"/>
      <c r="L14" s="106"/>
      <c r="M14" s="106"/>
      <c r="N14" s="106"/>
      <c r="O14" s="106"/>
      <c r="P14" s="107"/>
      <c r="AV14" s="197">
        <v>12</v>
      </c>
      <c r="AW14" s="198"/>
      <c r="AX14" s="30">
        <v>1</v>
      </c>
      <c r="AY14" s="30">
        <v>1</v>
      </c>
      <c r="AZ14" s="31">
        <v>1</v>
      </c>
    </row>
    <row r="15" spans="1:52" ht="15" customHeight="1" x14ac:dyDescent="0.35">
      <c r="A15" s="115"/>
      <c r="B15" s="118"/>
      <c r="C15" s="177"/>
      <c r="D15" s="115"/>
      <c r="E15" s="118"/>
      <c r="F15" s="177"/>
      <c r="H15" s="108"/>
      <c r="I15" s="109"/>
      <c r="J15" s="109"/>
      <c r="K15" s="109"/>
      <c r="L15" s="109"/>
      <c r="M15" s="109"/>
      <c r="N15" s="109"/>
      <c r="O15" s="109"/>
      <c r="P15" s="110"/>
      <c r="AI15" s="36" t="s">
        <v>131</v>
      </c>
      <c r="AM15" s="48">
        <f>IF($M$8&gt;2000,(VLOOKUP($N$10,$AV$24:$AZ$32,5,FALSE)),IF($M$8&lt;400,(VLOOKUP($N$10,$AV$24:$AZ$32,3,FALSE)),(VLOOKUP($N$10,$AV$24:$AZ$32,4))))</f>
        <v>1.1499999999999999</v>
      </c>
      <c r="AO15" s="36" t="s">
        <v>132</v>
      </c>
      <c r="AS15" s="48">
        <f>IF($M$8&gt;2000,(VLOOKUP($P$10,$AV$24:$AZ$32,5,FALSE)),IF($M$8&lt;400,(VLOOKUP($P$10,$AV$24:$AZ$32,3,FALSE)),(VLOOKUP($P$10,$AV$24:$AZ$32,4))))</f>
        <v>1.1499999999999999</v>
      </c>
      <c r="AV15" s="182" t="s">
        <v>76</v>
      </c>
      <c r="AW15" s="183"/>
      <c r="AX15" s="183"/>
      <c r="AY15" s="183"/>
      <c r="AZ15" s="183"/>
    </row>
    <row r="16" spans="1:52" x14ac:dyDescent="0.25">
      <c r="A16" s="115"/>
      <c r="B16" s="118"/>
      <c r="C16" s="177"/>
      <c r="D16" s="115"/>
      <c r="E16" s="118"/>
      <c r="F16" s="177"/>
      <c r="H16" s="101"/>
      <c r="I16" s="101"/>
      <c r="J16" s="101"/>
      <c r="K16" s="101"/>
      <c r="L16" s="101"/>
      <c r="M16" s="101"/>
      <c r="N16" s="101"/>
      <c r="O16" s="101"/>
      <c r="P16" s="101"/>
      <c r="AV16" s="183"/>
      <c r="AW16" s="183"/>
      <c r="AX16" s="183"/>
      <c r="AY16" s="183"/>
      <c r="AZ16" s="183"/>
    </row>
    <row r="17" spans="1:52" ht="15.6" x14ac:dyDescent="0.35">
      <c r="A17" s="116"/>
      <c r="B17" s="119"/>
      <c r="C17" s="178"/>
      <c r="D17" s="116"/>
      <c r="E17" s="119"/>
      <c r="F17" s="178"/>
      <c r="H17" s="102" t="s">
        <v>151</v>
      </c>
      <c r="I17" s="103"/>
      <c r="J17" s="103"/>
      <c r="K17" s="103"/>
      <c r="L17" s="103"/>
      <c r="M17" s="103"/>
      <c r="N17" s="103"/>
      <c r="O17" s="103"/>
      <c r="P17" s="104"/>
      <c r="AI17" s="36" t="s">
        <v>133</v>
      </c>
      <c r="AM17" s="48">
        <f>IF($N$11="Paved",(HLOOKUP($N$10,'Segment Tables'!$S$8:$AA$12,2,FALSE)),(IF($N$11="Gravel",(HLOOKUP($N$10,'Segment Tables'!$S$8:$AA$12,3,FALSE)),(IF($N$11="Turf",(HLOOKUP($N$10,'Segment Tables'!$S$8:$AA$12,5,FALSE)),HLOOKUP($N$10,'Segment Tables'!$S$8:$AA$12,4,FALSE))))))</f>
        <v>1</v>
      </c>
      <c r="AO17" s="36" t="s">
        <v>134</v>
      </c>
      <c r="AS17" s="48">
        <f>IF($P$11="Paved",(HLOOKUP($P$10,'Segment Tables'!$S$8:$AA$12,2,FALSE)),(IF($P$11="Gravel",(HLOOKUP($P$10,'Segment Tables'!$S$8:$AA$12,3,FALSE)),(IF($P$11="Turf",(HLOOKUP($P$10,'Segment Tables'!$S$8:$AA$12,5,FALSE)),HLOOKUP($P$10,'Segment Tables'!$S$8:$AA$12,4,FALSE))))))</f>
        <v>1</v>
      </c>
      <c r="AV17" s="183"/>
      <c r="AW17" s="183"/>
      <c r="AX17" s="183"/>
      <c r="AY17" s="183"/>
      <c r="AZ17" s="183"/>
    </row>
    <row r="18" spans="1:52" x14ac:dyDescent="0.25">
      <c r="A18" s="83" t="s">
        <v>17</v>
      </c>
      <c r="B18" s="3" t="s">
        <v>18</v>
      </c>
      <c r="C18" s="84" t="s">
        <v>19</v>
      </c>
      <c r="D18" s="83" t="s">
        <v>17</v>
      </c>
      <c r="E18" s="3" t="s">
        <v>18</v>
      </c>
      <c r="F18" s="84" t="s">
        <v>19</v>
      </c>
      <c r="H18" s="105"/>
      <c r="I18" s="106"/>
      <c r="J18" s="106"/>
      <c r="K18" s="106"/>
      <c r="L18" s="106"/>
      <c r="M18" s="106"/>
      <c r="N18" s="106"/>
      <c r="O18" s="106"/>
      <c r="P18" s="107"/>
      <c r="AV18" s="184"/>
      <c r="AW18" s="184"/>
      <c r="AX18" s="184"/>
      <c r="AY18" s="184"/>
      <c r="AZ18" s="184"/>
    </row>
    <row r="19" spans="1:52" ht="16.2" thickBot="1" x14ac:dyDescent="0.4">
      <c r="A19" s="114" t="s">
        <v>20</v>
      </c>
      <c r="B19" s="117" t="s">
        <v>21</v>
      </c>
      <c r="C19" s="179" t="s">
        <v>148</v>
      </c>
      <c r="D19" s="114" t="s">
        <v>20</v>
      </c>
      <c r="E19" s="117" t="s">
        <v>21</v>
      </c>
      <c r="F19" s="179" t="s">
        <v>148</v>
      </c>
      <c r="H19" s="108"/>
      <c r="I19" s="109"/>
      <c r="J19" s="109"/>
      <c r="K19" s="109"/>
      <c r="L19" s="109"/>
      <c r="M19" s="109"/>
      <c r="N19" s="109"/>
      <c r="O19" s="109"/>
      <c r="P19" s="110"/>
      <c r="AI19" s="36" t="s">
        <v>135</v>
      </c>
      <c r="AM19" s="48">
        <f>(+$AM$15*$AM$17-1)*(IF('Segment Tables'!$D$23="No",(('Segment Tables'!$G$29+'Segment Tables'!$G$34+'Segment Tables'!$G$36)/100),(('Segment Tables'!$K$29+'Segment Tables'!$K$34+'Segment Tables'!$K$36)/100)))+1</f>
        <v>1.0861000000000001</v>
      </c>
      <c r="AO19" s="36" t="s">
        <v>136</v>
      </c>
      <c r="AS19" s="48">
        <f>(+$AS$15*$AS$17-1)*(IF('Segment Tables'!$D$23="No",(('Segment Tables'!$G$29+'Segment Tables'!$G$34+'Segment Tables'!$G$36)/100),(('Segment Tables'!$K$29+'Segment Tables'!$K$34+'Segment Tables'!$K$36)/100)))+1</f>
        <v>1.0861000000000001</v>
      </c>
    </row>
    <row r="20" spans="1:52" ht="13.5" customHeight="1" x14ac:dyDescent="0.25">
      <c r="A20" s="115"/>
      <c r="B20" s="118"/>
      <c r="C20" s="177"/>
      <c r="D20" s="115"/>
      <c r="E20" s="118"/>
      <c r="F20" s="177"/>
      <c r="H20" s="101"/>
      <c r="I20" s="101"/>
      <c r="J20" s="101"/>
      <c r="K20" s="101"/>
      <c r="L20" s="101"/>
      <c r="M20" s="101"/>
      <c r="N20" s="101"/>
      <c r="O20" s="101"/>
      <c r="P20" s="101"/>
      <c r="AI20" s="4"/>
      <c r="AJ20" s="4"/>
      <c r="AK20" s="4"/>
      <c r="AL20" s="4"/>
      <c r="AM20" s="4"/>
      <c r="AV20" s="185" t="s">
        <v>123</v>
      </c>
      <c r="AW20" s="185"/>
      <c r="AX20" s="185"/>
      <c r="AY20" s="185"/>
      <c r="AZ20" s="185"/>
    </row>
    <row r="21" spans="1:52" ht="13.8" thickBot="1" x14ac:dyDescent="0.3">
      <c r="A21" s="115"/>
      <c r="B21" s="118"/>
      <c r="C21" s="177"/>
      <c r="D21" s="115"/>
      <c r="E21" s="118"/>
      <c r="F21" s="177"/>
      <c r="H21" s="101"/>
      <c r="I21" s="101"/>
      <c r="J21" s="101"/>
      <c r="K21" s="101"/>
      <c r="L21" s="101"/>
      <c r="M21" s="101"/>
      <c r="N21" s="101"/>
      <c r="O21" s="101"/>
      <c r="P21" s="101"/>
      <c r="AI21" s="43"/>
      <c r="AJ21" s="4"/>
      <c r="AK21" s="4"/>
      <c r="AL21" s="4"/>
      <c r="AM21" s="44"/>
      <c r="AV21" s="186"/>
      <c r="AW21" s="186"/>
      <c r="AX21" s="186"/>
      <c r="AY21" s="186"/>
      <c r="AZ21" s="186"/>
    </row>
    <row r="22" spans="1:52" ht="13.8" thickBot="1" x14ac:dyDescent="0.3">
      <c r="A22" s="120"/>
      <c r="B22" s="121"/>
      <c r="C22" s="180"/>
      <c r="D22" s="120"/>
      <c r="E22" s="121"/>
      <c r="F22" s="180"/>
      <c r="H22" s="101"/>
      <c r="I22" s="101"/>
      <c r="J22" s="101"/>
      <c r="K22" s="101"/>
      <c r="L22" s="101"/>
      <c r="M22" s="101"/>
      <c r="N22" s="101"/>
      <c r="O22" s="101"/>
      <c r="P22" s="101"/>
      <c r="AV22" s="187" t="s">
        <v>35</v>
      </c>
      <c r="AW22" s="188"/>
      <c r="AX22" s="191" t="s">
        <v>5</v>
      </c>
      <c r="AY22" s="191"/>
      <c r="AZ22" s="192"/>
    </row>
    <row r="23" spans="1:52" ht="13.8" thickBot="1" x14ac:dyDescent="0.3">
      <c r="A23" s="85">
        <f>ROUND(((IF($I$8&gt;2000,(VLOOKUP($I$9,$AV$8:$AZ$14,5,FALSE)),IF($I$8&lt;400,(VLOOKUP($I$9,$AV$8:$AZ$14,3,FALSE)),(VLOOKUP($I$9,$AV$8:$AZ$14,4)))))-1)*(IF( 'Segment Tables'!D23="No", (('Segment Tables'!$G$29+'Segment Tables'!$G$34+'Segment Tables'!$G$36)/100),(('Segment Tables'!$K$29+'Segment Tables'!$K$34+'Segment Tables'!$K$36)/100)))+1,2)</f>
        <v>1.03</v>
      </c>
      <c r="B23" s="50">
        <f>ROUND(($AM$9+$AS$9)/2,2)</f>
        <v>1.1299999999999999</v>
      </c>
      <c r="C23" s="89">
        <f>ROUND(A23*B23,2)</f>
        <v>1.1599999999999999</v>
      </c>
      <c r="D23" s="85">
        <f>ROUND(((IF($M$8&gt;2000,(VLOOKUP($M$9,$AV$8:$AZ$14,5,FALSE)),IF($M$8&lt;400,(VLOOKUP($M$9,$AV$8:$AZ$14,3,FALSE)),(VLOOKUP($M$9,$AV$8:$AZ$14,4)))))-1)*(IF( 'Segment Tables'!F23="No", (('Segment Tables'!$G$29+'Segment Tables'!$G$34+'Segment Tables'!$G$36)/100),(('Segment Tables'!$K$29+'Segment Tables'!$K$34+'Segment Tables'!$K$36)/100)))+1,2)</f>
        <v>1.03</v>
      </c>
      <c r="E23" s="50">
        <f>ROUND(($AM$19+$AS$19)/2,2)</f>
        <v>1.0900000000000001</v>
      </c>
      <c r="F23" s="89">
        <f>ROUND(D23*E23,2)</f>
        <v>1.1200000000000001</v>
      </c>
      <c r="H23" s="101"/>
      <c r="I23" s="101"/>
      <c r="J23" s="101"/>
      <c r="K23" s="101"/>
      <c r="L23" s="101"/>
      <c r="M23" s="101"/>
      <c r="N23" s="101"/>
      <c r="O23" s="101"/>
      <c r="P23" s="101"/>
      <c r="AV23" s="189"/>
      <c r="AW23" s="190"/>
      <c r="AX23" s="14" t="s">
        <v>40</v>
      </c>
      <c r="AY23" s="14" t="s">
        <v>41</v>
      </c>
      <c r="AZ23" s="27" t="s">
        <v>42</v>
      </c>
    </row>
    <row r="24" spans="1:52" ht="13.8" thickBot="1" x14ac:dyDescent="0.3">
      <c r="B24" s="40"/>
      <c r="AV24" s="193">
        <v>0</v>
      </c>
      <c r="AW24" s="194"/>
      <c r="AX24" s="28">
        <v>1.1000000000000001</v>
      </c>
      <c r="AY24" s="28">
        <f>+($I$8-400)*0.00025+1.1</f>
        <v>3.5</v>
      </c>
      <c r="AZ24" s="29">
        <v>1.5</v>
      </c>
    </row>
    <row r="25" spans="1:52" ht="40.5" customHeight="1" thickBot="1" x14ac:dyDescent="0.3">
      <c r="A25" s="155" t="s">
        <v>149</v>
      </c>
      <c r="B25" s="156"/>
      <c r="C25" s="157"/>
      <c r="AV25" s="194">
        <v>1</v>
      </c>
      <c r="AW25" s="195"/>
      <c r="AX25" s="28">
        <f>+(AX24+AX26)/2</f>
        <v>1.085</v>
      </c>
      <c r="AY25" s="28">
        <f>+(AY24+AY26)/2</f>
        <v>2.9714</v>
      </c>
      <c r="AZ25" s="29">
        <f>+(AZ24+AZ26)/2</f>
        <v>1.4</v>
      </c>
    </row>
    <row r="26" spans="1:52" ht="21" customHeight="1" thickBot="1" x14ac:dyDescent="0.45">
      <c r="A26" s="158">
        <f>F23/C23</f>
        <v>0.9655172413793105</v>
      </c>
      <c r="B26" s="159"/>
      <c r="C26" s="160"/>
      <c r="AV26" s="196">
        <v>2</v>
      </c>
      <c r="AW26" s="195"/>
      <c r="AX26" s="28">
        <v>1.07</v>
      </c>
      <c r="AY26" s="28">
        <f>+($I$8-400)*0.000143+1.07</f>
        <v>2.4428000000000001</v>
      </c>
      <c r="AZ26" s="29">
        <v>1.3</v>
      </c>
    </row>
    <row r="27" spans="1:52" x14ac:dyDescent="0.25">
      <c r="AV27" s="194">
        <v>3</v>
      </c>
      <c r="AW27" s="195"/>
      <c r="AX27" s="28">
        <f>+(AX26+AX28)/2</f>
        <v>1.0449999999999999</v>
      </c>
      <c r="AY27" s="28">
        <f>+(AY26+AY28)/2</f>
        <v>2.1214</v>
      </c>
      <c r="AZ27" s="29">
        <f>+(AZ26+AZ28)/2</f>
        <v>1.2250000000000001</v>
      </c>
    </row>
    <row r="28" spans="1:52" x14ac:dyDescent="0.25">
      <c r="AV28" s="196">
        <v>4</v>
      </c>
      <c r="AW28" s="195"/>
      <c r="AX28" s="28">
        <v>1.02</v>
      </c>
      <c r="AY28" s="28">
        <f>+($I$8-400)*0.00008125+1.02</f>
        <v>1.7999999999999998</v>
      </c>
      <c r="AZ28" s="29">
        <v>1.1499999999999999</v>
      </c>
    </row>
    <row r="29" spans="1:52" x14ac:dyDescent="0.25">
      <c r="AV29" s="194">
        <v>5</v>
      </c>
      <c r="AW29" s="195"/>
      <c r="AX29" s="28">
        <f>+(AX28+AX30)/2</f>
        <v>1.01</v>
      </c>
      <c r="AY29" s="28">
        <f>+(AY28+AY30)/2</f>
        <v>1.4</v>
      </c>
      <c r="AZ29" s="29">
        <f>+(AZ28+AZ30)/2</f>
        <v>1.075</v>
      </c>
    </row>
    <row r="30" spans="1:52" x14ac:dyDescent="0.25">
      <c r="AV30" s="196">
        <v>6</v>
      </c>
      <c r="AW30" s="195"/>
      <c r="AX30" s="28">
        <v>1</v>
      </c>
      <c r="AY30" s="28">
        <v>1</v>
      </c>
      <c r="AZ30" s="29">
        <v>1</v>
      </c>
    </row>
    <row r="31" spans="1:52" x14ac:dyDescent="0.25">
      <c r="AV31" s="194">
        <v>7</v>
      </c>
      <c r="AW31" s="195"/>
      <c r="AX31" s="28">
        <f>+(AX30+AX32)/2</f>
        <v>0.99</v>
      </c>
      <c r="AY31" s="28">
        <f>+(AY30+AY32)/2</f>
        <v>0.65999999999999992</v>
      </c>
      <c r="AZ31" s="29">
        <f>+(AZ30+AZ32)/2</f>
        <v>0.93500000000000005</v>
      </c>
    </row>
    <row r="32" spans="1:52" ht="13.8" thickBot="1" x14ac:dyDescent="0.3">
      <c r="AV32" s="197">
        <v>8</v>
      </c>
      <c r="AW32" s="198"/>
      <c r="AX32" s="30">
        <v>0.98</v>
      </c>
      <c r="AY32" s="32">
        <f>+(($I$8-400)*-0.00006875)+0.98</f>
        <v>0.31999999999999995</v>
      </c>
      <c r="AZ32" s="31">
        <v>0.87</v>
      </c>
    </row>
    <row r="33" spans="48:52" x14ac:dyDescent="0.25">
      <c r="AV33" s="182" t="s">
        <v>77</v>
      </c>
      <c r="AW33" s="183"/>
      <c r="AX33" s="183"/>
      <c r="AY33" s="183"/>
      <c r="AZ33" s="183"/>
    </row>
    <row r="34" spans="48:52" x14ac:dyDescent="0.25">
      <c r="AV34" s="183"/>
      <c r="AW34" s="183"/>
      <c r="AX34" s="183"/>
      <c r="AY34" s="183"/>
      <c r="AZ34" s="183"/>
    </row>
    <row r="35" spans="48:52" x14ac:dyDescent="0.25">
      <c r="AV35" s="183"/>
      <c r="AW35" s="183"/>
      <c r="AX35" s="183"/>
      <c r="AY35" s="183"/>
      <c r="AZ35" s="183"/>
    </row>
    <row r="36" spans="48:52" x14ac:dyDescent="0.25">
      <c r="AV36" s="184"/>
      <c r="AW36" s="184"/>
      <c r="AX36" s="184"/>
      <c r="AY36" s="184"/>
      <c r="AZ36" s="184"/>
    </row>
  </sheetData>
  <mergeCells count="73">
    <mergeCell ref="AV28:AW28"/>
    <mergeCell ref="AV27:AW27"/>
    <mergeCell ref="AV11:AW11"/>
    <mergeCell ref="AV13:AW13"/>
    <mergeCell ref="AV14:AW14"/>
    <mergeCell ref="M7:P7"/>
    <mergeCell ref="M8:P8"/>
    <mergeCell ref="M9:P9"/>
    <mergeCell ref="A13:C13"/>
    <mergeCell ref="D13:F13"/>
    <mergeCell ref="AV22:AW23"/>
    <mergeCell ref="AX22:AZ22"/>
    <mergeCell ref="AV24:AW24"/>
    <mergeCell ref="AV25:AW25"/>
    <mergeCell ref="AV26:AW26"/>
    <mergeCell ref="AV29:AW29"/>
    <mergeCell ref="AV30:AW30"/>
    <mergeCell ref="AV31:AW31"/>
    <mergeCell ref="AV32:AW32"/>
    <mergeCell ref="AV33:AZ36"/>
    <mergeCell ref="AV15:AZ18"/>
    <mergeCell ref="AV20:AZ21"/>
    <mergeCell ref="AV4:AZ5"/>
    <mergeCell ref="AV6:AW7"/>
    <mergeCell ref="AX6:AZ6"/>
    <mergeCell ref="AV8:AW8"/>
    <mergeCell ref="AV9:AW9"/>
    <mergeCell ref="AV10:AW10"/>
    <mergeCell ref="I3:L3"/>
    <mergeCell ref="E3:H3"/>
    <mergeCell ref="A3:D3"/>
    <mergeCell ref="C14:C17"/>
    <mergeCell ref="C19:C22"/>
    <mergeCell ref="F14:F17"/>
    <mergeCell ref="F19:F22"/>
    <mergeCell ref="G10:H10"/>
    <mergeCell ref="A10:F10"/>
    <mergeCell ref="G11:H11"/>
    <mergeCell ref="A25:C25"/>
    <mergeCell ref="A26:C26"/>
    <mergeCell ref="A7:F7"/>
    <mergeCell ref="G7:H7"/>
    <mergeCell ref="I7:L7"/>
    <mergeCell ref="G8:H8"/>
    <mergeCell ref="I8:L8"/>
    <mergeCell ref="A8:C8"/>
    <mergeCell ref="I2:P2"/>
    <mergeCell ref="A2:H2"/>
    <mergeCell ref="A1:P1"/>
    <mergeCell ref="A6:P6"/>
    <mergeCell ref="A9:F9"/>
    <mergeCell ref="G9:H9"/>
    <mergeCell ref="I9:L9"/>
    <mergeCell ref="M3:P3"/>
    <mergeCell ref="I4:L4"/>
    <mergeCell ref="I5:L5"/>
    <mergeCell ref="E4:H4"/>
    <mergeCell ref="E5:H5"/>
    <mergeCell ref="A4:D4"/>
    <mergeCell ref="A5:D5"/>
    <mergeCell ref="M4:P4"/>
    <mergeCell ref="M5:P5"/>
    <mergeCell ref="H13:P15"/>
    <mergeCell ref="H17:P19"/>
    <mergeCell ref="A11:F11"/>
    <mergeCell ref="A14:A17"/>
    <mergeCell ref="B14:B17"/>
    <mergeCell ref="D14:D17"/>
    <mergeCell ref="E14:E17"/>
    <mergeCell ref="A19:A22"/>
    <mergeCell ref="B19:B22"/>
    <mergeCell ref="D19:D22"/>
    <mergeCell ref="E19:E22"/>
  </mergeCells>
  <conditionalFormatting sqref="I8:P8">
    <cfRule type="cellIs" dxfId="0" priority="6" stopIfTrue="1" operator="greaterThan">
      <formula>$E$8</formula>
    </cfRule>
  </conditionalFormatting>
  <conditionalFormatting sqref="A26:C26">
    <cfRule type="iconSet" priority="1">
      <iconSet reverse="1">
        <cfvo type="percent" val="0"/>
        <cfvo type="num" val="1"/>
        <cfvo type="num" val="1.01"/>
      </iconSet>
    </cfRule>
  </conditionalFormatting>
  <dataValidations disablePrompts="1" count="4">
    <dataValidation type="list" allowBlank="1" showInputMessage="1" showErrorMessage="1" sqref="L11:L12 J11:J12 P11:P12 N11:N12">
      <formula1>SType</formula1>
    </dataValidation>
    <dataValidation type="list" allowBlank="1" showInputMessage="1" showErrorMessage="1" sqref="L10 J10 P10 N10">
      <formula1>SWidth</formula1>
    </dataValidation>
    <dataValidation type="whole" allowBlank="1" showInputMessage="1" showErrorMessage="1" promptTitle="SPF based on 17,800 vpd maximum" sqref="I8:P8">
      <formula1>0</formula1>
      <formula2>17800</formula2>
    </dataValidation>
    <dataValidation type="list" allowBlank="1" showInputMessage="1" showErrorMessage="1" sqref="I9:P9">
      <formula1>LWidth</formula1>
    </dataValidation>
  </dataValidations>
  <pageMargins left="0.7" right="0.7" top="0.75" bottom="0.75" header="0.3" footer="0.3"/>
  <pageSetup orientation="portrait" r:id="rId1"/>
  <ignoredErrors>
    <ignoredError sqref="AV13:AZ13 AV10:AZ11 AV14:AZ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zoomScaleNormal="100" workbookViewId="0">
      <selection sqref="A1:P1"/>
    </sheetView>
  </sheetViews>
  <sheetFormatPr defaultRowHeight="13.2" x14ac:dyDescent="0.25"/>
  <cols>
    <col min="1" max="2" width="12.33203125" style="95" customWidth="1"/>
    <col min="3" max="3" width="11.6640625" style="95" customWidth="1"/>
    <col min="4" max="5" width="12.33203125" style="95" customWidth="1"/>
    <col min="6" max="16" width="11.6640625" style="95" customWidth="1"/>
    <col min="17" max="17" width="9.6640625" style="95" customWidth="1"/>
    <col min="18" max="29" width="8.88671875" style="95"/>
    <col min="30" max="30" width="13" style="95" customWidth="1"/>
    <col min="31" max="31" width="13.109375" style="95" customWidth="1"/>
    <col min="32" max="32" width="16.5546875" style="95" customWidth="1"/>
    <col min="33" max="53" width="8.88671875" style="95"/>
    <col min="54" max="55" width="10.88671875" style="95" customWidth="1"/>
    <col min="56" max="16384" width="8.88671875" style="95"/>
  </cols>
  <sheetData>
    <row r="1" spans="1:58" ht="13.8" thickBot="1" x14ac:dyDescent="0.3">
      <c r="A1" s="125" t="s">
        <v>152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AV1" s="49" t="s">
        <v>116</v>
      </c>
    </row>
    <row r="2" spans="1:58" ht="13.5" customHeight="1" thickBot="1" x14ac:dyDescent="0.3">
      <c r="A2" s="124" t="s">
        <v>0</v>
      </c>
      <c r="B2" s="122"/>
      <c r="C2" s="122"/>
      <c r="D2" s="122"/>
      <c r="E2" s="122"/>
      <c r="F2" s="122"/>
      <c r="G2" s="122"/>
      <c r="H2" s="122"/>
      <c r="I2" s="122" t="s">
        <v>9</v>
      </c>
      <c r="J2" s="122"/>
      <c r="K2" s="122"/>
      <c r="L2" s="122"/>
      <c r="M2" s="122"/>
      <c r="N2" s="122"/>
      <c r="O2" s="122"/>
      <c r="P2" s="123"/>
      <c r="AI2" s="49" t="s">
        <v>153</v>
      </c>
    </row>
    <row r="3" spans="1:58" ht="13.8" thickBot="1" x14ac:dyDescent="0.3">
      <c r="A3" s="174" t="s">
        <v>1</v>
      </c>
      <c r="B3" s="175"/>
      <c r="C3" s="175"/>
      <c r="D3" s="175"/>
      <c r="E3" s="172" t="s">
        <v>154</v>
      </c>
      <c r="F3" s="172"/>
      <c r="G3" s="172"/>
      <c r="H3" s="173"/>
      <c r="I3" s="169" t="s">
        <v>10</v>
      </c>
      <c r="J3" s="170"/>
      <c r="K3" s="170"/>
      <c r="L3" s="171"/>
      <c r="M3" s="137" t="s">
        <v>155</v>
      </c>
      <c r="N3" s="137"/>
      <c r="O3" s="137"/>
      <c r="P3" s="138"/>
    </row>
    <row r="4" spans="1:58" ht="13.2" customHeight="1" x14ac:dyDescent="0.25">
      <c r="A4" s="149" t="s">
        <v>2</v>
      </c>
      <c r="B4" s="150"/>
      <c r="C4" s="150"/>
      <c r="D4" s="150"/>
      <c r="E4" s="145" t="s">
        <v>156</v>
      </c>
      <c r="F4" s="145"/>
      <c r="G4" s="145"/>
      <c r="H4" s="146"/>
      <c r="I4" s="139" t="s">
        <v>11</v>
      </c>
      <c r="J4" s="140"/>
      <c r="K4" s="140"/>
      <c r="L4" s="141"/>
      <c r="M4" s="137" t="s">
        <v>157</v>
      </c>
      <c r="N4" s="137"/>
      <c r="O4" s="137"/>
      <c r="P4" s="138"/>
      <c r="AV4" s="185" t="s">
        <v>158</v>
      </c>
      <c r="AW4" s="185"/>
      <c r="AX4" s="185"/>
      <c r="AY4" s="185"/>
      <c r="AZ4" s="185"/>
      <c r="BB4" s="185" t="s">
        <v>159</v>
      </c>
      <c r="BC4" s="185"/>
      <c r="BD4" s="185"/>
      <c r="BE4" s="185"/>
      <c r="BF4" s="185"/>
    </row>
    <row r="5" spans="1:58" ht="12.75" customHeight="1" thickBot="1" x14ac:dyDescent="0.4">
      <c r="A5" s="151" t="s">
        <v>3</v>
      </c>
      <c r="B5" s="152"/>
      <c r="C5" s="152"/>
      <c r="D5" s="152"/>
      <c r="E5" s="147">
        <v>43206</v>
      </c>
      <c r="F5" s="147"/>
      <c r="G5" s="147"/>
      <c r="H5" s="148"/>
      <c r="I5" s="142" t="s">
        <v>12</v>
      </c>
      <c r="J5" s="143"/>
      <c r="K5" s="143"/>
      <c r="L5" s="144"/>
      <c r="M5" s="153" t="s">
        <v>160</v>
      </c>
      <c r="N5" s="153"/>
      <c r="O5" s="153"/>
      <c r="P5" s="154"/>
      <c r="AI5" s="36" t="s">
        <v>131</v>
      </c>
      <c r="AM5" s="48">
        <f>IF($I$8&gt;2000,(VLOOKUP($J$11,$AV$29:$AZ$37,5,FALSE)),IF($I$8&lt;400,(VLOOKUP($J$11,$AV$29:$AZ$37,3,FALSE)),(VLOOKUP($J$11,$AV$29:$AZ$37,4))))</f>
        <v>0.87</v>
      </c>
      <c r="AO5" s="36" t="s">
        <v>132</v>
      </c>
      <c r="AS5" s="48">
        <f>IF($I$8&gt;2000,(VLOOKUP($L$11,$AV$29:$AZ$37,5,FALSE)),IF($I$8&lt;400,(VLOOKUP($L$11,$AV$29:$AZ$37,3,FALSE)),(VLOOKUP($L$11,$AV$29:$AZ$37,4))))</f>
        <v>0.87</v>
      </c>
      <c r="AV5" s="186"/>
      <c r="AW5" s="186"/>
      <c r="AX5" s="186"/>
      <c r="AY5" s="186"/>
      <c r="AZ5" s="186"/>
      <c r="BB5" s="186"/>
      <c r="BC5" s="186"/>
      <c r="BD5" s="186"/>
      <c r="BE5" s="186"/>
      <c r="BF5" s="186"/>
    </row>
    <row r="6" spans="1:58" ht="12.75" customHeight="1" thickBot="1" x14ac:dyDescent="0.3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AV6" s="187" t="s">
        <v>34</v>
      </c>
      <c r="AW6" s="188"/>
      <c r="AX6" s="191" t="s">
        <v>5</v>
      </c>
      <c r="AY6" s="191"/>
      <c r="AZ6" s="192"/>
      <c r="BB6" s="187" t="s">
        <v>34</v>
      </c>
      <c r="BC6" s="188"/>
      <c r="BD6" s="191" t="s">
        <v>5</v>
      </c>
      <c r="BE6" s="191"/>
      <c r="BF6" s="192"/>
    </row>
    <row r="7" spans="1:58" ht="15.6" x14ac:dyDescent="0.35">
      <c r="A7" s="161" t="s">
        <v>4</v>
      </c>
      <c r="B7" s="162"/>
      <c r="C7" s="305"/>
      <c r="D7" s="305"/>
      <c r="E7" s="305"/>
      <c r="F7" s="306"/>
      <c r="G7" s="164" t="s">
        <v>13</v>
      </c>
      <c r="H7" s="163"/>
      <c r="I7" s="164" t="s">
        <v>143</v>
      </c>
      <c r="J7" s="162"/>
      <c r="K7" s="162"/>
      <c r="L7" s="163"/>
      <c r="M7" s="199" t="s">
        <v>144</v>
      </c>
      <c r="N7" s="200"/>
      <c r="O7" s="200"/>
      <c r="P7" s="201"/>
      <c r="AI7" s="36" t="s">
        <v>133</v>
      </c>
      <c r="AM7" s="48">
        <f>IF($J$12="Paved",(HLOOKUP($J$11,'[1]Segment Tables'!$B$8:$J$12,2,FALSE)),(IF($J$12="Gravel",(HLOOKUP($J$11,'[1]Segment Tables'!$B$8:$J$12,3,FALSE)),(IF($J$12="Turf",(HLOOKUP($J$11,'[1]Segment Tables'!$B$8:$J$12,5,FALSE)),HLOOKUP($J$11,'[1]Segment Tables'!$B$8:$J$12,4,FALSE))))))</f>
        <v>1</v>
      </c>
      <c r="AO7" s="36" t="s">
        <v>134</v>
      </c>
      <c r="AS7" s="48">
        <f>IF($L$12="Paved",(HLOOKUP($L$11,'[1]Segment Tables'!$B$8:$J$12,2,FALSE)),(IF($L$12="Gravel",(HLOOKUP($L$11,'[1]Segment Tables'!$B$8:$J$12,3,FALSE)),(IF($L$12="Turf",(HLOOKUP($L$11,'[1]Segment Tables'!$B$8:$J$12,5,FALSE)),HLOOKUP($L$11,'[1]Segment Tables'!$B$8:$J$12,4,FALSE))))))</f>
        <v>1</v>
      </c>
      <c r="AV7" s="189"/>
      <c r="AW7" s="190"/>
      <c r="AX7" s="94" t="s">
        <v>40</v>
      </c>
      <c r="AY7" s="94" t="s">
        <v>41</v>
      </c>
      <c r="AZ7" s="99" t="s">
        <v>42</v>
      </c>
      <c r="BB7" s="189"/>
      <c r="BC7" s="190"/>
      <c r="BD7" s="94" t="s">
        <v>40</v>
      </c>
      <c r="BE7" s="94" t="s">
        <v>41</v>
      </c>
      <c r="BF7" s="99" t="s">
        <v>42</v>
      </c>
    </row>
    <row r="8" spans="1:58" ht="15.6" x14ac:dyDescent="0.35">
      <c r="A8" s="307" t="s">
        <v>5</v>
      </c>
      <c r="B8" s="308"/>
      <c r="C8" s="309" t="s">
        <v>105</v>
      </c>
      <c r="D8" s="310" t="s">
        <v>128</v>
      </c>
      <c r="E8" s="311">
        <v>33200</v>
      </c>
      <c r="F8" s="312" t="s">
        <v>129</v>
      </c>
      <c r="G8" s="313" t="s">
        <v>14</v>
      </c>
      <c r="H8" s="314"/>
      <c r="I8" s="315">
        <v>10000</v>
      </c>
      <c r="J8" s="316"/>
      <c r="K8" s="316"/>
      <c r="L8" s="317"/>
      <c r="M8" s="315">
        <v>10000</v>
      </c>
      <c r="N8" s="316"/>
      <c r="O8" s="316"/>
      <c r="P8" s="318"/>
      <c r="Q8" s="319" t="str">
        <f>IF(I13="Undivided",IF(I8&gt;33200,"WARNING:  AADT exceeds maximum allowable for existing conditions.",""),IF(I8&gt;89300,"WARNING:  AADT exceeds maximum allowable for existing conditions.",""))</f>
        <v/>
      </c>
      <c r="AV8" s="215">
        <v>9</v>
      </c>
      <c r="AW8" s="194"/>
      <c r="AX8" s="28">
        <v>1.04</v>
      </c>
      <c r="AY8" s="28">
        <f>1.04+0.000213*($I$8-400)</f>
        <v>3.0848</v>
      </c>
      <c r="AZ8" s="29">
        <v>1.38</v>
      </c>
      <c r="BB8" s="215">
        <v>9</v>
      </c>
      <c r="BC8" s="194"/>
      <c r="BD8" s="28">
        <v>1.03</v>
      </c>
      <c r="BE8" s="28">
        <f>1.03+0.000138*($I$8-400)</f>
        <v>2.3548</v>
      </c>
      <c r="BF8" s="29">
        <v>1.25</v>
      </c>
    </row>
    <row r="9" spans="1:58" ht="15.6" x14ac:dyDescent="0.35">
      <c r="A9" s="320"/>
      <c r="B9" s="321"/>
      <c r="C9" s="309" t="s">
        <v>104</v>
      </c>
      <c r="D9" s="310" t="s">
        <v>128</v>
      </c>
      <c r="E9" s="311">
        <v>89300</v>
      </c>
      <c r="F9" s="312" t="s">
        <v>129</v>
      </c>
      <c r="G9" s="322"/>
      <c r="H9" s="323"/>
      <c r="I9" s="324"/>
      <c r="J9" s="325"/>
      <c r="K9" s="325"/>
      <c r="L9" s="326"/>
      <c r="M9" s="324"/>
      <c r="N9" s="325"/>
      <c r="O9" s="325"/>
      <c r="P9" s="327"/>
      <c r="Q9" s="319" t="str">
        <f>IF(M13="Undivided",IF(M8&gt;33200,"WARNING:  AADT exceeds maximum allowable for new conditions.",""),IF(M8&gt;89300,"WARNING:  AADT exceeds maximum allowable for new conditions.",""))</f>
        <v/>
      </c>
      <c r="AV9" s="100"/>
      <c r="AW9" s="91"/>
      <c r="AX9" s="28"/>
      <c r="AY9" s="28"/>
      <c r="AZ9" s="29"/>
      <c r="BB9" s="100"/>
      <c r="BC9" s="91"/>
      <c r="BD9" s="28"/>
      <c r="BE9" s="28"/>
      <c r="BF9" s="29"/>
    </row>
    <row r="10" spans="1:58" ht="15.6" x14ac:dyDescent="0.35">
      <c r="A10" s="131" t="s">
        <v>6</v>
      </c>
      <c r="B10" s="132"/>
      <c r="C10" s="132"/>
      <c r="D10" s="132"/>
      <c r="E10" s="132"/>
      <c r="F10" s="133"/>
      <c r="G10" s="134">
        <v>12</v>
      </c>
      <c r="H10" s="133"/>
      <c r="I10" s="135">
        <v>10</v>
      </c>
      <c r="J10" s="136"/>
      <c r="K10" s="136"/>
      <c r="L10" s="136"/>
      <c r="M10" s="205">
        <v>12</v>
      </c>
      <c r="N10" s="206"/>
      <c r="O10" s="206"/>
      <c r="P10" s="207"/>
      <c r="AI10" s="36" t="s">
        <v>161</v>
      </c>
      <c r="AM10" s="48">
        <f>($AM$5*$AM$7-1)*0.27+1</f>
        <v>0.96489999999999998</v>
      </c>
      <c r="AO10" s="36" t="s">
        <v>162</v>
      </c>
      <c r="AS10" s="48">
        <f>($AS$5*$AS$7-1)*0.27+1</f>
        <v>0.96489999999999998</v>
      </c>
      <c r="AV10" s="194">
        <f>(AV8+AV11)/2</f>
        <v>9.5</v>
      </c>
      <c r="AW10" s="195"/>
      <c r="AX10" s="28">
        <f>(AX8+AX11)/2</f>
        <v>1.03</v>
      </c>
      <c r="AY10" s="28">
        <f>(AY8+AY11)/2</f>
        <v>2.6812</v>
      </c>
      <c r="AZ10" s="28">
        <f>(AZ8+AZ11)/2</f>
        <v>1.3049999999999999</v>
      </c>
      <c r="BB10" s="194">
        <f>(BB8+BB11)/2</f>
        <v>9.5</v>
      </c>
      <c r="BC10" s="195"/>
      <c r="BD10" s="28">
        <f>(BD8+BD11)/2</f>
        <v>1.02</v>
      </c>
      <c r="BE10" s="28">
        <f>(BE8+BE11)/2</f>
        <v>2.1074000000000002</v>
      </c>
      <c r="BF10" s="28">
        <f>(BF8+BF11)/2</f>
        <v>1.2</v>
      </c>
    </row>
    <row r="11" spans="1:58" x14ac:dyDescent="0.25">
      <c r="A11" s="131" t="s">
        <v>7</v>
      </c>
      <c r="B11" s="132"/>
      <c r="C11" s="132"/>
      <c r="D11" s="132"/>
      <c r="E11" s="132"/>
      <c r="F11" s="133"/>
      <c r="G11" s="134">
        <v>6</v>
      </c>
      <c r="H11" s="133"/>
      <c r="I11" s="76" t="s">
        <v>130</v>
      </c>
      <c r="J11" s="93">
        <v>8</v>
      </c>
      <c r="K11" s="76" t="s">
        <v>137</v>
      </c>
      <c r="L11" s="71">
        <v>8</v>
      </c>
      <c r="M11" s="76" t="s">
        <v>130</v>
      </c>
      <c r="N11" s="90">
        <v>6</v>
      </c>
      <c r="O11" s="76" t="s">
        <v>137</v>
      </c>
      <c r="P11" s="77">
        <v>6</v>
      </c>
      <c r="AV11" s="215">
        <v>10</v>
      </c>
      <c r="AW11" s="194"/>
      <c r="AX11" s="28">
        <v>1.02</v>
      </c>
      <c r="AY11" s="28">
        <f>1.02+0.000131*($I$8-400)</f>
        <v>2.2776000000000001</v>
      </c>
      <c r="AZ11" s="29">
        <v>1.23</v>
      </c>
      <c r="BB11" s="215">
        <v>10</v>
      </c>
      <c r="BC11" s="194"/>
      <c r="BD11" s="28">
        <v>1.01</v>
      </c>
      <c r="BE11" s="28">
        <f>1.02+0.0000875*($I$8-400)</f>
        <v>1.8599999999999999</v>
      </c>
      <c r="BF11" s="29">
        <v>1.1499999999999999</v>
      </c>
    </row>
    <row r="12" spans="1:58" x14ac:dyDescent="0.25">
      <c r="A12" s="328" t="s">
        <v>8</v>
      </c>
      <c r="B12" s="269"/>
      <c r="C12" s="269"/>
      <c r="D12" s="269"/>
      <c r="E12" s="269"/>
      <c r="F12" s="329"/>
      <c r="G12" s="330" t="s">
        <v>64</v>
      </c>
      <c r="H12" s="329"/>
      <c r="I12" s="331" t="s">
        <v>130</v>
      </c>
      <c r="J12" s="332" t="s">
        <v>64</v>
      </c>
      <c r="K12" s="331" t="s">
        <v>137</v>
      </c>
      <c r="L12" s="333" t="s">
        <v>64</v>
      </c>
      <c r="M12" s="331" t="s">
        <v>130</v>
      </c>
      <c r="N12" s="334" t="s">
        <v>64</v>
      </c>
      <c r="O12" s="331" t="s">
        <v>137</v>
      </c>
      <c r="P12" s="335" t="s">
        <v>64</v>
      </c>
      <c r="AI12" s="49" t="s">
        <v>163</v>
      </c>
      <c r="AV12" s="194">
        <f>(AV11+AV15)/2</f>
        <v>10.5</v>
      </c>
      <c r="AW12" s="195"/>
      <c r="AX12" s="28">
        <f>(AX11+AX15)/2</f>
        <v>1.0150000000000001</v>
      </c>
      <c r="AY12" s="28">
        <f>(AY11+AY15)/2</f>
        <v>1.73404</v>
      </c>
      <c r="AZ12" s="28">
        <f>(AZ11+AZ15)/2</f>
        <v>1.135</v>
      </c>
      <c r="BB12" s="194">
        <f>(BB11+BB15)/2</f>
        <v>10.5</v>
      </c>
      <c r="BC12" s="195"/>
      <c r="BD12" s="28">
        <f>(BD11+BD15)/2</f>
        <v>1.01</v>
      </c>
      <c r="BE12" s="28">
        <f>(BE11+BE15)/2</f>
        <v>1.4950000000000001</v>
      </c>
      <c r="BF12" s="28">
        <f>(BF11+BF15)/2</f>
        <v>1.0899999999999999</v>
      </c>
    </row>
    <row r="13" spans="1:58" ht="13.8" thickBot="1" x14ac:dyDescent="0.3">
      <c r="A13" s="336" t="s">
        <v>106</v>
      </c>
      <c r="B13" s="112"/>
      <c r="C13" s="112"/>
      <c r="D13" s="112"/>
      <c r="E13" s="112"/>
      <c r="F13" s="113"/>
      <c r="G13" s="337" t="s">
        <v>14</v>
      </c>
      <c r="H13" s="113"/>
      <c r="I13" s="135" t="s">
        <v>105</v>
      </c>
      <c r="J13" s="136"/>
      <c r="K13" s="136"/>
      <c r="L13" s="136"/>
      <c r="M13" s="338" t="s">
        <v>105</v>
      </c>
      <c r="N13" s="339"/>
      <c r="O13" s="339"/>
      <c r="P13" s="340"/>
      <c r="AV13" s="97"/>
      <c r="AW13" s="91"/>
      <c r="AX13" s="28"/>
      <c r="AY13" s="28"/>
      <c r="AZ13" s="29"/>
      <c r="BB13" s="97"/>
      <c r="BC13" s="91"/>
      <c r="BD13" s="28"/>
      <c r="BE13" s="28"/>
      <c r="BF13" s="29"/>
    </row>
    <row r="14" spans="1:58" x14ac:dyDescent="0.25">
      <c r="A14" s="74"/>
      <c r="B14" s="74"/>
      <c r="C14" s="74"/>
      <c r="D14" s="74"/>
      <c r="E14" s="74"/>
      <c r="F14" s="74"/>
      <c r="G14" s="341"/>
      <c r="H14" s="74"/>
      <c r="I14" s="342" t="str">
        <f>IF(I13="Divided","Left shoulder width is not a factor for Divided roadway segments.  Additionally, CMFs for unpaved shoulders on divided roadway segments are not available.",IF(M13="Divided","Left shoulder width is not a factor for Divided roadway segments.  Additionally, CMFs for unpaved shoulders on divided roadway segments are not available.",""))</f>
        <v/>
      </c>
      <c r="J14" s="88"/>
      <c r="K14" s="87"/>
      <c r="L14" s="88"/>
      <c r="M14" s="87"/>
      <c r="N14" s="88"/>
      <c r="O14" s="87"/>
      <c r="P14" s="88"/>
      <c r="AV14" s="215">
        <v>11</v>
      </c>
      <c r="AW14" s="194"/>
      <c r="AX14" s="28">
        <v>1.01</v>
      </c>
      <c r="AY14" s="28">
        <f>1.01+0.0000188*($I$8-400)</f>
        <v>1.19048</v>
      </c>
      <c r="AZ14" s="29">
        <v>1.04</v>
      </c>
      <c r="BB14" s="215">
        <v>11</v>
      </c>
      <c r="BC14" s="194"/>
      <c r="BD14" s="28">
        <v>1.01</v>
      </c>
      <c r="BE14" s="28">
        <f>1.01+0.0000125*($I$8-400)</f>
        <v>1.1300000000000001</v>
      </c>
      <c r="BF14" s="29">
        <v>1.03</v>
      </c>
    </row>
    <row r="15" spans="1:58" ht="13.8" thickBot="1" x14ac:dyDescent="0.3">
      <c r="A15" s="42"/>
      <c r="B15" s="42"/>
      <c r="C15" s="42"/>
      <c r="D15" s="42"/>
      <c r="E15" s="42"/>
      <c r="F15" s="42"/>
      <c r="G15" s="343"/>
      <c r="H15" s="42"/>
      <c r="I15" s="344"/>
      <c r="J15" s="96"/>
      <c r="K15" s="344"/>
      <c r="L15" s="96"/>
      <c r="M15" s="344"/>
      <c r="N15" s="96"/>
      <c r="O15" s="344"/>
      <c r="P15" s="96"/>
      <c r="AV15" s="215">
        <v>11</v>
      </c>
      <c r="AW15" s="194"/>
      <c r="AX15" s="28">
        <v>1.01</v>
      </c>
      <c r="AY15" s="28">
        <f>1.01+0.0000188*($I$8-400)</f>
        <v>1.19048</v>
      </c>
      <c r="AZ15" s="29">
        <v>1.04</v>
      </c>
      <c r="BB15" s="215">
        <v>11</v>
      </c>
      <c r="BC15" s="194"/>
      <c r="BD15" s="28">
        <v>1.01</v>
      </c>
      <c r="BE15" s="28">
        <f>1.01+0.0000125*($I$8-400)</f>
        <v>1.1300000000000001</v>
      </c>
      <c r="BF15" s="29">
        <v>1.03</v>
      </c>
    </row>
    <row r="16" spans="1:58" ht="15.6" x14ac:dyDescent="0.35">
      <c r="A16" s="208" t="s">
        <v>143</v>
      </c>
      <c r="B16" s="209"/>
      <c r="C16" s="210"/>
      <c r="D16" s="211" t="s">
        <v>144</v>
      </c>
      <c r="E16" s="212"/>
      <c r="F16" s="213"/>
      <c r="H16" s="102" t="s">
        <v>164</v>
      </c>
      <c r="I16" s="103"/>
      <c r="J16" s="103"/>
      <c r="K16" s="103"/>
      <c r="L16" s="103"/>
      <c r="M16" s="103"/>
      <c r="N16" s="103"/>
      <c r="O16" s="103"/>
      <c r="P16" s="104"/>
      <c r="AI16" s="36" t="s">
        <v>165</v>
      </c>
      <c r="AM16" s="48">
        <f>VLOOKUP($J$11,$BB$29:$BD$37,3,FALSE)</f>
        <v>1</v>
      </c>
      <c r="AO16" s="43"/>
      <c r="AP16" s="4"/>
      <c r="AQ16" s="4"/>
      <c r="AR16" s="4"/>
      <c r="AS16" s="345"/>
      <c r="AV16" s="194">
        <f>(AV15+AV17)/2</f>
        <v>11.5</v>
      </c>
      <c r="AW16" s="195"/>
      <c r="AX16" s="28">
        <f>(AX15+AX17)/2</f>
        <v>1.0049999999999999</v>
      </c>
      <c r="AY16" s="28">
        <f>(AY15+AY17)/2</f>
        <v>1.09524</v>
      </c>
      <c r="AZ16" s="28">
        <f>(AZ15+AZ17)/2</f>
        <v>1.02</v>
      </c>
      <c r="BB16" s="194">
        <f>(BB15+BB17)/2</f>
        <v>11.5</v>
      </c>
      <c r="BC16" s="195"/>
      <c r="BD16" s="28">
        <f>(BD15+BD17)/2</f>
        <v>1.0049999999999999</v>
      </c>
      <c r="BE16" s="28">
        <f>(BE15+BE17)/2</f>
        <v>1.0649999999999999</v>
      </c>
      <c r="BF16" s="28">
        <f>(BF15+BF17)/2</f>
        <v>1.0150000000000001</v>
      </c>
    </row>
    <row r="17" spans="1:58" ht="15.75" customHeight="1" thickBot="1" x14ac:dyDescent="0.3">
      <c r="A17" s="346" t="s">
        <v>15</v>
      </c>
      <c r="B17" s="347" t="s">
        <v>16</v>
      </c>
      <c r="C17" s="348" t="s">
        <v>101</v>
      </c>
      <c r="D17" s="346" t="s">
        <v>15</v>
      </c>
      <c r="E17" s="347" t="s">
        <v>16</v>
      </c>
      <c r="F17" s="348" t="s">
        <v>101</v>
      </c>
      <c r="H17" s="105"/>
      <c r="I17" s="106"/>
      <c r="J17" s="106"/>
      <c r="K17" s="106"/>
      <c r="L17" s="106"/>
      <c r="M17" s="106"/>
      <c r="N17" s="106"/>
      <c r="O17" s="106"/>
      <c r="P17" s="107"/>
      <c r="AO17" s="4"/>
      <c r="AP17" s="4"/>
      <c r="AQ17" s="4"/>
      <c r="AR17" s="4"/>
      <c r="AS17" s="4"/>
      <c r="AV17" s="349">
        <v>12</v>
      </c>
      <c r="AW17" s="198"/>
      <c r="AX17" s="30">
        <v>1</v>
      </c>
      <c r="AY17" s="30">
        <v>1</v>
      </c>
      <c r="AZ17" s="31">
        <v>1</v>
      </c>
      <c r="BB17" s="349">
        <v>12</v>
      </c>
      <c r="BC17" s="198"/>
      <c r="BD17" s="30">
        <v>1</v>
      </c>
      <c r="BE17" s="30">
        <v>1</v>
      </c>
      <c r="BF17" s="31">
        <v>1</v>
      </c>
    </row>
    <row r="18" spans="1:58" ht="15" customHeight="1" x14ac:dyDescent="0.25">
      <c r="A18" s="350"/>
      <c r="B18" s="351"/>
      <c r="C18" s="352"/>
      <c r="D18" s="350"/>
      <c r="E18" s="351"/>
      <c r="F18" s="352"/>
      <c r="H18" s="108"/>
      <c r="I18" s="109"/>
      <c r="J18" s="109"/>
      <c r="K18" s="109"/>
      <c r="L18" s="109"/>
      <c r="M18" s="109"/>
      <c r="N18" s="109"/>
      <c r="O18" s="109"/>
      <c r="P18" s="110"/>
      <c r="AI18" s="49" t="s">
        <v>166</v>
      </c>
      <c r="AV18" s="353" t="s">
        <v>76</v>
      </c>
      <c r="AW18" s="183"/>
      <c r="AX18" s="183"/>
      <c r="AY18" s="183"/>
      <c r="AZ18" s="183"/>
      <c r="BB18" s="353" t="s">
        <v>76</v>
      </c>
      <c r="BC18" s="183"/>
      <c r="BD18" s="183"/>
      <c r="BE18" s="183"/>
      <c r="BF18" s="183"/>
    </row>
    <row r="19" spans="1:58" x14ac:dyDescent="0.25">
      <c r="A19" s="350"/>
      <c r="B19" s="351"/>
      <c r="C19" s="352"/>
      <c r="D19" s="350"/>
      <c r="E19" s="351"/>
      <c r="F19" s="352"/>
      <c r="H19" s="101"/>
      <c r="I19" s="101"/>
      <c r="J19" s="101"/>
      <c r="K19" s="101"/>
      <c r="L19" s="101"/>
      <c r="M19" s="101"/>
      <c r="N19" s="101"/>
      <c r="O19" s="101"/>
      <c r="P19" s="101"/>
      <c r="AV19" s="183"/>
      <c r="AW19" s="183"/>
      <c r="AX19" s="183"/>
      <c r="AY19" s="183"/>
      <c r="AZ19" s="183"/>
      <c r="BB19" s="183"/>
      <c r="BC19" s="183"/>
      <c r="BD19" s="183"/>
      <c r="BE19" s="183"/>
      <c r="BF19" s="183"/>
    </row>
    <row r="20" spans="1:58" ht="15.6" x14ac:dyDescent="0.35">
      <c r="A20" s="354"/>
      <c r="B20" s="355"/>
      <c r="C20" s="356"/>
      <c r="D20" s="354"/>
      <c r="E20" s="355"/>
      <c r="F20" s="356"/>
      <c r="H20" s="102" t="s">
        <v>167</v>
      </c>
      <c r="I20" s="103"/>
      <c r="J20" s="103"/>
      <c r="K20" s="103"/>
      <c r="L20" s="103"/>
      <c r="M20" s="103"/>
      <c r="N20" s="103"/>
      <c r="O20" s="103"/>
      <c r="P20" s="104"/>
      <c r="AI20" s="36" t="s">
        <v>131</v>
      </c>
      <c r="AM20" s="48">
        <f>IF($M$8&gt;2000,(VLOOKUP($N$11,$AV$29:$AZ$37,5,FALSE)),IF($M$8&lt;400,(VLOOKUP($N$11,$AV$29:$AZ$37,3,FALSE)),(VLOOKUP($N$11,$AV$29:$AZ$37,4))))</f>
        <v>1</v>
      </c>
      <c r="AO20" s="36" t="s">
        <v>132</v>
      </c>
      <c r="AS20" s="48">
        <f>IF($M$8&gt;2000,(VLOOKUP($N$11,$AV$29:$AZ$37,5,FALSE)),IF($M$8&lt;400,(VLOOKUP($N$11,$AV$29:$AZ$37,3,FALSE)),(VLOOKUP($N$11,$AV$29:$AZ$37,4))))</f>
        <v>1</v>
      </c>
      <c r="AV20" s="183"/>
      <c r="AW20" s="183"/>
      <c r="AX20" s="183"/>
      <c r="AY20" s="183"/>
      <c r="AZ20" s="183"/>
      <c r="BB20" s="183"/>
      <c r="BC20" s="183"/>
      <c r="BD20" s="183"/>
      <c r="BE20" s="183"/>
      <c r="BF20" s="183"/>
    </row>
    <row r="21" spans="1:58" ht="52.8" x14ac:dyDescent="0.25">
      <c r="A21" s="357" t="s">
        <v>168</v>
      </c>
      <c r="B21" s="358" t="s">
        <v>169</v>
      </c>
      <c r="C21" s="359" t="s">
        <v>19</v>
      </c>
      <c r="D21" s="360" t="s">
        <v>168</v>
      </c>
      <c r="E21" s="358" t="s">
        <v>169</v>
      </c>
      <c r="F21" s="359" t="s">
        <v>19</v>
      </c>
      <c r="H21" s="105"/>
      <c r="I21" s="106"/>
      <c r="J21" s="106"/>
      <c r="K21" s="106"/>
      <c r="L21" s="106"/>
      <c r="M21" s="106"/>
      <c r="N21" s="106"/>
      <c r="O21" s="106"/>
      <c r="P21" s="107"/>
      <c r="AV21" s="184"/>
      <c r="AW21" s="184"/>
      <c r="AX21" s="184"/>
      <c r="AY21" s="184"/>
      <c r="AZ21" s="184"/>
      <c r="BB21" s="184"/>
      <c r="BC21" s="184"/>
      <c r="BD21" s="184"/>
      <c r="BE21" s="184"/>
      <c r="BF21" s="184"/>
    </row>
    <row r="22" spans="1:58" ht="16.2" customHeight="1" thickBot="1" x14ac:dyDescent="0.4">
      <c r="A22" s="361" t="s">
        <v>170</v>
      </c>
      <c r="B22" s="362" t="s">
        <v>171</v>
      </c>
      <c r="C22" s="363" t="s">
        <v>148</v>
      </c>
      <c r="D22" s="364" t="s">
        <v>170</v>
      </c>
      <c r="E22" s="362" t="s">
        <v>171</v>
      </c>
      <c r="F22" s="363" t="s">
        <v>148</v>
      </c>
      <c r="H22" s="108"/>
      <c r="I22" s="109"/>
      <c r="J22" s="109"/>
      <c r="K22" s="109"/>
      <c r="L22" s="109"/>
      <c r="M22" s="109"/>
      <c r="N22" s="109"/>
      <c r="O22" s="109"/>
      <c r="P22" s="110"/>
      <c r="AI22" s="36" t="s">
        <v>133</v>
      </c>
      <c r="AM22" s="48">
        <f>IF($N$12="Paved",(HLOOKUP($N$11,'[1]Segment Tables'!$B$8:$J$12,2,FALSE)),(IF($N$12="Gravel",(HLOOKUP($N$11,'[1]Segment Tables'!$B$8:$J$12,3,FALSE)),(IF($N$12="Turf",(HLOOKUP($N$11,'[1]Segment Tables'!$B$8:$J$12,5,FALSE)),HLOOKUP($N$11,'[1]Segment Tables'!$B$8:$J$12,4,FALSE))))))</f>
        <v>1</v>
      </c>
      <c r="AO22" s="36" t="s">
        <v>134</v>
      </c>
      <c r="AS22" s="48">
        <f>IF($P$12="Paved",(HLOOKUP($P$11,'[1]Segment Tables'!$B$8:$J$12,2,FALSE)),(IF($P$12="Gravel",(HLOOKUP($P$11,'[1]Segment Tables'!$B$8:$J$12,3,FALSE)),(IF($P$12="Turf",(HLOOKUP($P$11,'[1]Segment Tables'!$B$8:$J$12,5,FALSE)),HLOOKUP($P$11,'[1]Segment Tables'!$B$8:$J$12,4,FALSE))))))</f>
        <v>1</v>
      </c>
    </row>
    <row r="23" spans="1:58" ht="13.5" customHeight="1" x14ac:dyDescent="0.25">
      <c r="A23" s="365"/>
      <c r="B23" s="351"/>
      <c r="C23" s="352"/>
      <c r="D23" s="350"/>
      <c r="E23" s="351"/>
      <c r="F23" s="352"/>
      <c r="H23" s="101"/>
      <c r="I23" s="101"/>
      <c r="J23" s="101"/>
      <c r="K23" s="101"/>
      <c r="L23" s="101"/>
      <c r="M23" s="101"/>
      <c r="N23" s="101"/>
      <c r="O23" s="101"/>
      <c r="P23" s="101"/>
      <c r="AV23" s="185" t="s">
        <v>172</v>
      </c>
      <c r="AW23" s="185"/>
      <c r="AX23" s="185"/>
      <c r="AY23" s="185"/>
      <c r="AZ23" s="185"/>
      <c r="BB23" s="185" t="s">
        <v>173</v>
      </c>
      <c r="BC23" s="185"/>
      <c r="BD23" s="185"/>
      <c r="BE23" s="185"/>
      <c r="BF23" s="185"/>
    </row>
    <row r="24" spans="1:58" ht="13.8" thickBot="1" x14ac:dyDescent="0.3">
      <c r="A24" s="365"/>
      <c r="B24" s="351"/>
      <c r="C24" s="352"/>
      <c r="D24" s="350"/>
      <c r="E24" s="351"/>
      <c r="F24" s="352"/>
      <c r="H24" s="101"/>
      <c r="I24" s="101"/>
      <c r="J24" s="101"/>
      <c r="K24" s="101"/>
      <c r="L24" s="101"/>
      <c r="M24" s="101"/>
      <c r="N24" s="101"/>
      <c r="O24" s="101"/>
      <c r="P24" s="101"/>
      <c r="AV24" s="186"/>
      <c r="AW24" s="186"/>
      <c r="AX24" s="186"/>
      <c r="AY24" s="186"/>
      <c r="AZ24" s="186"/>
      <c r="BB24" s="186"/>
      <c r="BC24" s="186"/>
      <c r="BD24" s="186"/>
      <c r="BE24" s="186"/>
      <c r="BF24" s="186"/>
    </row>
    <row r="25" spans="1:58" ht="15.6" x14ac:dyDescent="0.35">
      <c r="A25" s="365"/>
      <c r="B25" s="351"/>
      <c r="C25" s="352"/>
      <c r="D25" s="350"/>
      <c r="E25" s="351"/>
      <c r="F25" s="352"/>
      <c r="H25" s="101"/>
      <c r="I25" s="101"/>
      <c r="J25" s="101"/>
      <c r="K25" s="101"/>
      <c r="L25" s="101"/>
      <c r="M25" s="101"/>
      <c r="N25" s="101"/>
      <c r="O25" s="101"/>
      <c r="P25" s="101"/>
      <c r="AI25" s="36" t="s">
        <v>161</v>
      </c>
      <c r="AM25" s="48">
        <f>($AM$20*$AM$22-1)*0.27+1</f>
        <v>1</v>
      </c>
      <c r="AO25" s="36" t="s">
        <v>162</v>
      </c>
      <c r="AS25" s="48">
        <f>($AS$20*$AS$22-1)*0.27+1</f>
        <v>1</v>
      </c>
      <c r="AV25" s="98"/>
      <c r="AW25" s="98"/>
      <c r="AX25" s="98"/>
      <c r="AY25" s="98"/>
      <c r="AZ25" s="98"/>
      <c r="BB25" s="98"/>
      <c r="BC25" s="98"/>
      <c r="BD25" s="98"/>
      <c r="BE25" s="98"/>
      <c r="BF25" s="98"/>
    </row>
    <row r="26" spans="1:58" ht="13.8" thickBot="1" x14ac:dyDescent="0.3">
      <c r="A26" s="365"/>
      <c r="B26" s="351"/>
      <c r="C26" s="352"/>
      <c r="D26" s="350"/>
      <c r="E26" s="351"/>
      <c r="F26" s="352"/>
      <c r="H26" s="101"/>
      <c r="I26" s="101"/>
      <c r="J26" s="101"/>
      <c r="K26" s="101"/>
      <c r="L26" s="101"/>
      <c r="M26" s="101"/>
      <c r="N26" s="101"/>
      <c r="O26" s="101"/>
      <c r="P26" s="101"/>
      <c r="AV26" s="98"/>
      <c r="AW26" s="98"/>
      <c r="AX26" s="98"/>
      <c r="AY26" s="98"/>
      <c r="AZ26" s="98"/>
      <c r="BB26" s="98"/>
      <c r="BC26" s="98"/>
      <c r="BD26" s="98"/>
      <c r="BE26" s="98"/>
      <c r="BF26" s="98"/>
    </row>
    <row r="27" spans="1:58" ht="13.8" thickBot="1" x14ac:dyDescent="0.3">
      <c r="A27" s="366"/>
      <c r="B27" s="367"/>
      <c r="C27" s="368"/>
      <c r="D27" s="369"/>
      <c r="E27" s="367"/>
      <c r="F27" s="368"/>
      <c r="H27" s="101"/>
      <c r="I27" s="101"/>
      <c r="J27" s="101"/>
      <c r="K27" s="101"/>
      <c r="L27" s="101"/>
      <c r="M27" s="101"/>
      <c r="N27" s="101"/>
      <c r="O27" s="101"/>
      <c r="P27" s="101"/>
      <c r="AI27" s="49" t="s">
        <v>174</v>
      </c>
      <c r="AV27" s="187" t="s">
        <v>35</v>
      </c>
      <c r="AW27" s="188"/>
      <c r="AX27" s="191" t="s">
        <v>5</v>
      </c>
      <c r="AY27" s="191"/>
      <c r="AZ27" s="192"/>
      <c r="BB27" s="187" t="s">
        <v>35</v>
      </c>
      <c r="BC27" s="188"/>
      <c r="BD27" s="92"/>
      <c r="BE27" s="92"/>
      <c r="BF27" s="370"/>
    </row>
    <row r="28" spans="1:58" ht="13.8" thickBot="1" x14ac:dyDescent="0.3">
      <c r="A28" s="85">
        <f>IF(I13="Undivided",ROUND(((IF($I$8&gt;2000,(VLOOKUP($I$10,$AV$8:$AZ$17,5,FALSE)),IF($I$8&lt;400,(VLOOKUP($I$10,$AV$8:$AZ$17,3,FALSE)),(VLOOKUP($I$10,$AV$8:$AZ$17,4)))))-1)*0.27+1,2),ROUND(((IF($I$8&gt;2000,(VLOOKUP($I$10,$BB$8:$BF$17,5,FALSE)),IF($I$8&lt;400,(VLOOKUP($I$10,$BB$8:$BF$17,3,FALSE)),(VLOOKUP($I$10,$BB$8:$BF$17,4)))))-1)*0.5+1,2))</f>
        <v>1.06</v>
      </c>
      <c r="B28" s="50">
        <f>IF(I13="Undivided",ROUND(($AM$10+$AS$10)/2,2),AM16)</f>
        <v>0.96</v>
      </c>
      <c r="C28" s="89">
        <f>ROUND(A28*B28,2)</f>
        <v>1.02</v>
      </c>
      <c r="D28" s="85">
        <f>IF(M13="Undivided",ROUND(((IF($M$8&gt;2000,(VLOOKUP($M$10,$AV$8:$AZ$17,5,FALSE)),IF($M$8&lt;400,(VLOOKUP($M$10,$AV$8:$AZ$17,3,FALSE)),(VLOOKUP($M$10,$AV$8:$AZ$17,4)))))-1)*0.27+1,2),ROUND(((IF($M$8&gt;2000,(VLOOKUP($M$10,$BB$8:$BF$17,5,FALSE)),IF($M$8&lt;400,(VLOOKUP($M$10,$BB$8:$BF$17,3,FALSE)),(VLOOKUP($M$10,$BB$8:$BF$17,4)))))-1)*0.5+1,2))</f>
        <v>1</v>
      </c>
      <c r="E28" s="50">
        <f>IF(M13="Undivided",ROUND(($AM$25+$AS$25)/2,2),AM30)</f>
        <v>1</v>
      </c>
      <c r="F28" s="89">
        <f>ROUND(D28*E28,2)</f>
        <v>1</v>
      </c>
      <c r="H28" s="101"/>
      <c r="I28" s="101"/>
      <c r="J28" s="101"/>
      <c r="K28" s="101"/>
      <c r="L28" s="101"/>
      <c r="M28" s="101"/>
      <c r="N28" s="101"/>
      <c r="O28" s="101"/>
      <c r="P28" s="101"/>
      <c r="AV28" s="189"/>
      <c r="AW28" s="190"/>
      <c r="AX28" s="94" t="s">
        <v>40</v>
      </c>
      <c r="AY28" s="94" t="s">
        <v>41</v>
      </c>
      <c r="AZ28" s="99" t="s">
        <v>42</v>
      </c>
      <c r="BB28" s="189"/>
      <c r="BC28" s="190"/>
      <c r="BD28" s="94"/>
      <c r="BE28" s="94"/>
      <c r="BF28" s="99"/>
    </row>
    <row r="29" spans="1:58" ht="13.8" thickBot="1" x14ac:dyDescent="0.3">
      <c r="B29" s="40"/>
      <c r="AV29" s="215">
        <v>0</v>
      </c>
      <c r="AW29" s="194"/>
      <c r="AX29" s="28">
        <v>1.1000000000000001</v>
      </c>
      <c r="AY29" s="28">
        <f>+($I$8-400)*0.00025+1.1</f>
        <v>3.5</v>
      </c>
      <c r="AZ29" s="29">
        <v>1.5</v>
      </c>
      <c r="BB29" s="215">
        <v>0</v>
      </c>
      <c r="BC29" s="194"/>
      <c r="BD29" s="28">
        <v>1.18</v>
      </c>
      <c r="BE29" s="28"/>
      <c r="BF29" s="29"/>
    </row>
    <row r="30" spans="1:58" ht="40.5" customHeight="1" thickBot="1" x14ac:dyDescent="0.4">
      <c r="A30" s="155" t="s">
        <v>149</v>
      </c>
      <c r="B30" s="156"/>
      <c r="C30" s="157"/>
      <c r="AI30" s="36" t="s">
        <v>165</v>
      </c>
      <c r="AM30" s="48">
        <f>VLOOKUP($N$11,$BB$29:$BD$37,3,FALSE)</f>
        <v>1.04</v>
      </c>
      <c r="AO30" s="43"/>
      <c r="AP30" s="4"/>
      <c r="AQ30" s="4"/>
      <c r="AR30" s="4"/>
      <c r="AS30" s="345"/>
      <c r="AV30" s="194">
        <v>1</v>
      </c>
      <c r="AW30" s="195"/>
      <c r="AX30" s="28">
        <f>+(AX29+AX31)/2</f>
        <v>1.085</v>
      </c>
      <c r="AY30" s="28">
        <f>+(AY29+AY31)/2</f>
        <v>2.9714</v>
      </c>
      <c r="AZ30" s="29">
        <f>+(AZ29+AZ31)/2</f>
        <v>1.4</v>
      </c>
      <c r="BB30" s="215">
        <v>1</v>
      </c>
      <c r="BC30" s="194"/>
      <c r="BD30" s="28">
        <f>+(BD29+BD31)/2</f>
        <v>1.1549999999999998</v>
      </c>
      <c r="BE30" s="28"/>
      <c r="BF30" s="29"/>
    </row>
    <row r="31" spans="1:58" ht="21" customHeight="1" thickBot="1" x14ac:dyDescent="0.45">
      <c r="A31" s="158">
        <f>F28/C28</f>
        <v>0.98039215686274506</v>
      </c>
      <c r="B31" s="159"/>
      <c r="C31" s="160"/>
      <c r="AV31" s="371">
        <v>2</v>
      </c>
      <c r="AW31" s="195"/>
      <c r="AX31" s="28">
        <v>1.07</v>
      </c>
      <c r="AY31" s="28">
        <f>+($I$8-400)*0.000143+1.07</f>
        <v>2.4428000000000001</v>
      </c>
      <c r="AZ31" s="29">
        <v>1.3</v>
      </c>
      <c r="BB31" s="371">
        <v>2</v>
      </c>
      <c r="BC31" s="195"/>
      <c r="BD31" s="28">
        <v>1.1299999999999999</v>
      </c>
      <c r="BE31" s="28"/>
      <c r="BF31" s="29"/>
    </row>
    <row r="32" spans="1:58" x14ac:dyDescent="0.25">
      <c r="AV32" s="194">
        <v>3</v>
      </c>
      <c r="AW32" s="195"/>
      <c r="AX32" s="28">
        <f>+(AX31+AX33)/2</f>
        <v>1.0449999999999999</v>
      </c>
      <c r="AY32" s="28">
        <f>+(AY31+AY33)/2</f>
        <v>2.1214</v>
      </c>
      <c r="AZ32" s="29">
        <f>+(AZ31+AZ33)/2</f>
        <v>1.2250000000000001</v>
      </c>
      <c r="BB32" s="371">
        <v>3</v>
      </c>
      <c r="BC32" s="195"/>
      <c r="BD32" s="28">
        <f>+(BD31+BD33)/2</f>
        <v>1.1099999999999999</v>
      </c>
      <c r="BE32" s="28"/>
      <c r="BF32" s="29"/>
    </row>
    <row r="33" spans="48:58" x14ac:dyDescent="0.25">
      <c r="AV33" s="371">
        <v>4</v>
      </c>
      <c r="AW33" s="195"/>
      <c r="AX33" s="28">
        <v>1.02</v>
      </c>
      <c r="AY33" s="28">
        <f>+($I$8-400)*0.00008125+1.02</f>
        <v>1.7999999999999998</v>
      </c>
      <c r="AZ33" s="29">
        <v>1.1499999999999999</v>
      </c>
      <c r="BB33" s="371">
        <v>4</v>
      </c>
      <c r="BC33" s="195"/>
      <c r="BD33" s="28">
        <v>1.0900000000000001</v>
      </c>
      <c r="BE33" s="28"/>
      <c r="BF33" s="29"/>
    </row>
    <row r="34" spans="48:58" x14ac:dyDescent="0.25">
      <c r="AV34" s="194">
        <v>5</v>
      </c>
      <c r="AW34" s="195"/>
      <c r="AX34" s="28">
        <f>+(AX33+AX35)/2</f>
        <v>1.01</v>
      </c>
      <c r="AY34" s="28">
        <f>+(AY33+AY35)/2</f>
        <v>1.4</v>
      </c>
      <c r="AZ34" s="29">
        <f>+(AZ33+AZ35)/2</f>
        <v>1.075</v>
      </c>
      <c r="BB34" s="194">
        <v>5</v>
      </c>
      <c r="BC34" s="195"/>
      <c r="BD34" s="28">
        <f>+(BD33+BD35)/2</f>
        <v>1.0649999999999999</v>
      </c>
      <c r="BE34" s="28"/>
      <c r="BF34" s="29"/>
    </row>
    <row r="35" spans="48:58" x14ac:dyDescent="0.25">
      <c r="AV35" s="371">
        <v>6</v>
      </c>
      <c r="AW35" s="195"/>
      <c r="AX35" s="28">
        <v>1</v>
      </c>
      <c r="AY35" s="28">
        <v>1</v>
      </c>
      <c r="AZ35" s="29">
        <v>1</v>
      </c>
      <c r="BB35" s="371">
        <v>6</v>
      </c>
      <c r="BC35" s="195"/>
      <c r="BD35" s="28">
        <v>1.04</v>
      </c>
      <c r="BE35" s="28"/>
      <c r="BF35" s="29"/>
    </row>
    <row r="36" spans="48:58" x14ac:dyDescent="0.25">
      <c r="AV36" s="194">
        <v>7</v>
      </c>
      <c r="AW36" s="195"/>
      <c r="AX36" s="28">
        <f>+(AX35+AX37)/2</f>
        <v>0.99</v>
      </c>
      <c r="AY36" s="28">
        <f>+(AY35+AY37)/2</f>
        <v>0.65999999999999992</v>
      </c>
      <c r="AZ36" s="29">
        <f>+(AZ35+AZ37)/2</f>
        <v>0.93500000000000005</v>
      </c>
      <c r="BB36" s="194">
        <v>7</v>
      </c>
      <c r="BC36" s="195"/>
      <c r="BD36" s="28">
        <f>+(BD35+BD37)/2</f>
        <v>1.02</v>
      </c>
      <c r="BE36" s="28"/>
      <c r="BF36" s="29"/>
    </row>
    <row r="37" spans="48:58" ht="13.8" thickBot="1" x14ac:dyDescent="0.3">
      <c r="AV37" s="349">
        <v>8</v>
      </c>
      <c r="AW37" s="198"/>
      <c r="AX37" s="30">
        <v>0.98</v>
      </c>
      <c r="AY37" s="32">
        <f>+(($I$8-400)*-0.00006875)+0.98</f>
        <v>0.31999999999999995</v>
      </c>
      <c r="AZ37" s="31">
        <v>0.87</v>
      </c>
      <c r="BB37" s="349">
        <v>8</v>
      </c>
      <c r="BC37" s="198"/>
      <c r="BD37" s="30">
        <v>1</v>
      </c>
      <c r="BE37" s="32"/>
      <c r="BF37" s="31"/>
    </row>
    <row r="38" spans="48:58" x14ac:dyDescent="0.25">
      <c r="AV38" s="353" t="s">
        <v>77</v>
      </c>
      <c r="AW38" s="183"/>
      <c r="AX38" s="183"/>
      <c r="AY38" s="183"/>
      <c r="AZ38" s="183"/>
      <c r="BB38" s="353" t="s">
        <v>175</v>
      </c>
      <c r="BC38" s="183"/>
      <c r="BD38" s="183"/>
      <c r="BE38" s="183"/>
      <c r="BF38" s="183"/>
    </row>
    <row r="39" spans="48:58" x14ac:dyDescent="0.25">
      <c r="AV39" s="183"/>
      <c r="AW39" s="183"/>
      <c r="AX39" s="183"/>
      <c r="AY39" s="183"/>
      <c r="AZ39" s="183"/>
      <c r="BB39" s="183"/>
      <c r="BC39" s="183"/>
      <c r="BD39" s="183"/>
      <c r="BE39" s="183"/>
      <c r="BF39" s="183"/>
    </row>
    <row r="40" spans="48:58" x14ac:dyDescent="0.25">
      <c r="AV40" s="183"/>
      <c r="AW40" s="183"/>
      <c r="AX40" s="183"/>
      <c r="AY40" s="183"/>
      <c r="AZ40" s="183"/>
      <c r="BB40" s="183"/>
      <c r="BC40" s="183"/>
      <c r="BD40" s="183"/>
      <c r="BE40" s="183"/>
      <c r="BF40" s="183"/>
    </row>
    <row r="41" spans="48:58" x14ac:dyDescent="0.25">
      <c r="AV41" s="184"/>
      <c r="AW41" s="184"/>
      <c r="AX41" s="184"/>
      <c r="AY41" s="184"/>
      <c r="AZ41" s="184"/>
      <c r="BB41" s="184"/>
      <c r="BC41" s="184"/>
      <c r="BD41" s="184"/>
      <c r="BE41" s="184"/>
      <c r="BF41" s="184"/>
    </row>
  </sheetData>
  <mergeCells count="103">
    <mergeCell ref="AV38:AZ41"/>
    <mergeCell ref="BB38:BF41"/>
    <mergeCell ref="AV35:AW35"/>
    <mergeCell ref="BB35:BC35"/>
    <mergeCell ref="AV36:AW36"/>
    <mergeCell ref="BB36:BC36"/>
    <mergeCell ref="AV37:AW37"/>
    <mergeCell ref="BB37:BC37"/>
    <mergeCell ref="AV32:AW32"/>
    <mergeCell ref="BB32:BC32"/>
    <mergeCell ref="AV33:AW33"/>
    <mergeCell ref="BB33:BC33"/>
    <mergeCell ref="AV34:AW34"/>
    <mergeCell ref="BB34:BC34"/>
    <mergeCell ref="A30:C30"/>
    <mergeCell ref="AV30:AW30"/>
    <mergeCell ref="BB30:BC30"/>
    <mergeCell ref="A31:C31"/>
    <mergeCell ref="AV31:AW31"/>
    <mergeCell ref="BB31:BC31"/>
    <mergeCell ref="AV23:AZ24"/>
    <mergeCell ref="BB23:BF24"/>
    <mergeCell ref="AV27:AW28"/>
    <mergeCell ref="AX27:AZ27"/>
    <mergeCell ref="BB27:BC28"/>
    <mergeCell ref="AV29:AW29"/>
    <mergeCell ref="BB29:BC29"/>
    <mergeCell ref="A22:A27"/>
    <mergeCell ref="B22:B27"/>
    <mergeCell ref="C22:C27"/>
    <mergeCell ref="D22:D27"/>
    <mergeCell ref="E22:E27"/>
    <mergeCell ref="F22:F27"/>
    <mergeCell ref="D17:D20"/>
    <mergeCell ref="E17:E20"/>
    <mergeCell ref="F17:F20"/>
    <mergeCell ref="AV17:AW17"/>
    <mergeCell ref="BB17:BC17"/>
    <mergeCell ref="AV18:AZ21"/>
    <mergeCell ref="BB18:BF21"/>
    <mergeCell ref="H20:P22"/>
    <mergeCell ref="AV15:AW15"/>
    <mergeCell ref="BB15:BC15"/>
    <mergeCell ref="A16:C16"/>
    <mergeCell ref="D16:F16"/>
    <mergeCell ref="H16:P18"/>
    <mergeCell ref="AV16:AW16"/>
    <mergeCell ref="BB16:BC16"/>
    <mergeCell ref="A17:A20"/>
    <mergeCell ref="B17:B20"/>
    <mergeCell ref="C17:C20"/>
    <mergeCell ref="A13:F13"/>
    <mergeCell ref="G13:H13"/>
    <mergeCell ref="I13:L13"/>
    <mergeCell ref="M13:P13"/>
    <mergeCell ref="AV14:AW14"/>
    <mergeCell ref="BB14:BC14"/>
    <mergeCell ref="A11:F11"/>
    <mergeCell ref="G11:H11"/>
    <mergeCell ref="AV11:AW11"/>
    <mergeCell ref="BB11:BC11"/>
    <mergeCell ref="A12:F12"/>
    <mergeCell ref="G12:H12"/>
    <mergeCell ref="AV12:AW12"/>
    <mergeCell ref="BB12:BC12"/>
    <mergeCell ref="A10:F10"/>
    <mergeCell ref="G10:H10"/>
    <mergeCell ref="I10:L10"/>
    <mergeCell ref="M10:P10"/>
    <mergeCell ref="AV10:AW10"/>
    <mergeCell ref="BB10:BC10"/>
    <mergeCell ref="A8:B9"/>
    <mergeCell ref="G8:H9"/>
    <mergeCell ref="I8:L9"/>
    <mergeCell ref="M8:P9"/>
    <mergeCell ref="AV8:AW8"/>
    <mergeCell ref="BB8:BC8"/>
    <mergeCell ref="A6:P6"/>
    <mergeCell ref="AV6:AW7"/>
    <mergeCell ref="AX6:AZ6"/>
    <mergeCell ref="BB6:BC7"/>
    <mergeCell ref="BD6:BF6"/>
    <mergeCell ref="A7:F7"/>
    <mergeCell ref="G7:H7"/>
    <mergeCell ref="I7:L7"/>
    <mergeCell ref="M7:P7"/>
    <mergeCell ref="A4:D4"/>
    <mergeCell ref="E4:H4"/>
    <mergeCell ref="I4:L4"/>
    <mergeCell ref="M4:P4"/>
    <mergeCell ref="AV4:AZ5"/>
    <mergeCell ref="BB4:BF5"/>
    <mergeCell ref="A5:D5"/>
    <mergeCell ref="E5:H5"/>
    <mergeCell ref="I5:L5"/>
    <mergeCell ref="M5:P5"/>
    <mergeCell ref="A1:P1"/>
    <mergeCell ref="A2:H2"/>
    <mergeCell ref="I2:P2"/>
    <mergeCell ref="A3:D3"/>
    <mergeCell ref="E3:H3"/>
    <mergeCell ref="I3:L3"/>
    <mergeCell ref="M3:P3"/>
  </mergeCells>
  <conditionalFormatting sqref="A31:C31">
    <cfRule type="iconSet" priority="1">
      <iconSet reverse="1">
        <cfvo type="percent" val="0"/>
        <cfvo type="num" val="1"/>
        <cfvo type="num" val="1.01"/>
      </iconSet>
    </cfRule>
  </conditionalFormatting>
  <dataValidations count="5">
    <dataValidation allowBlank="1" showInputMessage="1" showErrorMessage="1" promptTitle="SPF based on 17,800 vpd maximum" sqref="M8"/>
    <dataValidation type="list" allowBlank="1" showInputMessage="1" showErrorMessage="1" sqref="I13:P13">
      <formula1>Division</formula1>
    </dataValidation>
    <dataValidation type="list" allowBlank="1" showInputMessage="1" showErrorMessage="1" sqref="I10:P10">
      <formula1>LWidth</formula1>
    </dataValidation>
    <dataValidation type="list" allowBlank="1" showInputMessage="1" showErrorMessage="1" sqref="L11 J11 P11 N11">
      <formula1>SWidth</formula1>
    </dataValidation>
    <dataValidation type="list" allowBlank="1" showInputMessage="1" showErrorMessage="1" sqref="P14:P15 J14:J15 L14:L15 L12 J12 P12 N12 N14:N15">
      <formula1>SType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0"/>
  <sheetViews>
    <sheetView workbookViewId="0"/>
  </sheetViews>
  <sheetFormatPr defaultRowHeight="13.2" x14ac:dyDescent="0.25"/>
  <cols>
    <col min="2" max="13" width="13.6640625" customWidth="1"/>
    <col min="15" max="15" width="9.109375" style="51"/>
    <col min="16" max="16" width="13.6640625" customWidth="1"/>
    <col min="18" max="27" width="13.6640625" customWidth="1"/>
  </cols>
  <sheetData>
    <row r="2" spans="2:27" x14ac:dyDescent="0.25">
      <c r="B2" s="49" t="s">
        <v>115</v>
      </c>
      <c r="R2" s="49" t="s">
        <v>116</v>
      </c>
    </row>
    <row r="4" spans="2:27" ht="13.8" thickBot="1" x14ac:dyDescent="0.3">
      <c r="B4" s="8"/>
      <c r="E4" s="7"/>
      <c r="K4" s="9"/>
    </row>
    <row r="5" spans="2:27" ht="13.8" thickTop="1" x14ac:dyDescent="0.25">
      <c r="B5" s="219" t="s">
        <v>118</v>
      </c>
      <c r="C5" s="219"/>
      <c r="D5" s="219"/>
      <c r="E5" s="219"/>
      <c r="F5" s="219"/>
      <c r="G5" s="219"/>
      <c r="H5" s="219"/>
      <c r="I5" s="219"/>
      <c r="J5" s="219"/>
      <c r="K5" s="9"/>
      <c r="R5" s="185" t="s">
        <v>124</v>
      </c>
      <c r="S5" s="185"/>
      <c r="T5" s="185"/>
      <c r="U5" s="185"/>
      <c r="V5" s="185"/>
      <c r="W5" s="185"/>
      <c r="X5" s="185"/>
      <c r="Y5" s="185"/>
      <c r="Z5" s="185"/>
      <c r="AA5" s="185"/>
    </row>
    <row r="6" spans="2:27" ht="13.8" thickBot="1" x14ac:dyDescent="0.3">
      <c r="B6" s="186"/>
      <c r="C6" s="186"/>
      <c r="D6" s="186"/>
      <c r="E6" s="186"/>
      <c r="F6" s="186"/>
      <c r="G6" s="186"/>
      <c r="H6" s="186"/>
      <c r="I6" s="186"/>
      <c r="J6" s="186"/>
      <c r="K6" s="9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2:27" x14ac:dyDescent="0.25">
      <c r="B7" s="236" t="s">
        <v>33</v>
      </c>
      <c r="C7" s="237"/>
      <c r="D7" s="237"/>
      <c r="E7" s="227" t="s">
        <v>50</v>
      </c>
      <c r="F7" s="227"/>
      <c r="G7" s="227"/>
      <c r="H7" s="227"/>
      <c r="I7" s="227"/>
      <c r="J7" s="228"/>
      <c r="R7" s="300" t="s">
        <v>36</v>
      </c>
      <c r="S7" s="191" t="s">
        <v>7</v>
      </c>
      <c r="T7" s="191"/>
      <c r="U7" s="191"/>
      <c r="V7" s="191"/>
      <c r="W7" s="191"/>
      <c r="X7" s="191"/>
      <c r="Y7" s="191"/>
      <c r="Z7" s="191"/>
      <c r="AA7" s="192"/>
    </row>
    <row r="8" spans="2:27" x14ac:dyDescent="0.25">
      <c r="B8" s="215" t="s">
        <v>93</v>
      </c>
      <c r="C8" s="216"/>
      <c r="D8" s="52" t="s">
        <v>92</v>
      </c>
      <c r="E8" s="238" t="s">
        <v>51</v>
      </c>
      <c r="F8" s="238"/>
      <c r="G8" s="238"/>
      <c r="H8" s="231" t="s">
        <v>127</v>
      </c>
      <c r="I8" s="231"/>
      <c r="J8" s="232"/>
      <c r="R8" s="301"/>
      <c r="S8" s="14">
        <v>0</v>
      </c>
      <c r="T8" s="14">
        <v>1</v>
      </c>
      <c r="U8" s="14">
        <v>2</v>
      </c>
      <c r="V8" s="14">
        <v>3</v>
      </c>
      <c r="W8" s="14">
        <v>4</v>
      </c>
      <c r="X8" s="14">
        <v>5</v>
      </c>
      <c r="Y8" s="14">
        <v>6</v>
      </c>
      <c r="Z8" s="14">
        <v>7</v>
      </c>
      <c r="AA8" s="27">
        <v>8</v>
      </c>
    </row>
    <row r="9" spans="2:27" x14ac:dyDescent="0.25">
      <c r="B9" s="260" t="s">
        <v>43</v>
      </c>
      <c r="C9" s="261"/>
      <c r="D9" s="261"/>
      <c r="E9" s="233">
        <v>1.3</v>
      </c>
      <c r="F9" s="233"/>
      <c r="G9" s="233"/>
      <c r="H9" s="234">
        <v>3.1</v>
      </c>
      <c r="I9" s="234"/>
      <c r="J9" s="235"/>
      <c r="R9" s="37" t="s">
        <v>64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f>+(W9+Y9)/2</f>
        <v>1</v>
      </c>
      <c r="Y9" s="28">
        <v>1</v>
      </c>
      <c r="Z9" s="28">
        <f>+(Y9+AA9)/2</f>
        <v>1</v>
      </c>
      <c r="AA9" s="29">
        <v>1</v>
      </c>
    </row>
    <row r="10" spans="2:27" x14ac:dyDescent="0.25">
      <c r="B10" s="260" t="s">
        <v>44</v>
      </c>
      <c r="C10" s="261"/>
      <c r="D10" s="261"/>
      <c r="E10" s="220">
        <v>5.4</v>
      </c>
      <c r="F10" s="220"/>
      <c r="G10" s="220"/>
      <c r="H10" s="234">
        <v>7.7</v>
      </c>
      <c r="I10" s="234"/>
      <c r="J10" s="235"/>
      <c r="R10" s="37" t="s">
        <v>65</v>
      </c>
      <c r="S10" s="28">
        <v>1</v>
      </c>
      <c r="T10" s="28">
        <v>1</v>
      </c>
      <c r="U10" s="28">
        <v>1.01</v>
      </c>
      <c r="V10" s="28">
        <v>1.01</v>
      </c>
      <c r="W10" s="28">
        <v>1.01</v>
      </c>
      <c r="X10" s="28">
        <f>+(W10+Y10)/2</f>
        <v>1.0150000000000001</v>
      </c>
      <c r="Y10" s="28">
        <v>1.02</v>
      </c>
      <c r="Z10" s="28">
        <f>+(Y10+AA10)/2</f>
        <v>1.02</v>
      </c>
      <c r="AA10" s="29">
        <v>1.02</v>
      </c>
    </row>
    <row r="11" spans="2:27" x14ac:dyDescent="0.25">
      <c r="B11" s="260" t="s">
        <v>45</v>
      </c>
      <c r="C11" s="261"/>
      <c r="D11" s="261"/>
      <c r="E11" s="220">
        <v>10.9</v>
      </c>
      <c r="F11" s="220"/>
      <c r="G11" s="220"/>
      <c r="H11" s="234">
        <v>25.2</v>
      </c>
      <c r="I11" s="234"/>
      <c r="J11" s="235"/>
      <c r="R11" s="37" t="s">
        <v>66</v>
      </c>
      <c r="S11" s="28">
        <v>1</v>
      </c>
      <c r="T11" s="28">
        <v>1.01</v>
      </c>
      <c r="U11" s="28">
        <v>1.02</v>
      </c>
      <c r="V11" s="28">
        <v>1.02</v>
      </c>
      <c r="W11" s="28">
        <v>1.03</v>
      </c>
      <c r="X11" s="28">
        <f>+(W11+Y11)/2</f>
        <v>1.0350000000000001</v>
      </c>
      <c r="Y11" s="28">
        <v>1.04</v>
      </c>
      <c r="Z11" s="28">
        <f>+(Y11+AA11)/2</f>
        <v>1.05</v>
      </c>
      <c r="AA11" s="29">
        <v>1.06</v>
      </c>
    </row>
    <row r="12" spans="2:27" ht="13.8" thickBot="1" x14ac:dyDescent="0.3">
      <c r="B12" s="262" t="s">
        <v>46</v>
      </c>
      <c r="C12" s="263"/>
      <c r="D12" s="263"/>
      <c r="E12" s="223">
        <v>14.5</v>
      </c>
      <c r="F12" s="223"/>
      <c r="G12" s="223"/>
      <c r="H12" s="229">
        <v>18</v>
      </c>
      <c r="I12" s="229"/>
      <c r="J12" s="230"/>
      <c r="R12" s="38" t="s">
        <v>67</v>
      </c>
      <c r="S12" s="30">
        <v>1</v>
      </c>
      <c r="T12" s="30">
        <v>1.01</v>
      </c>
      <c r="U12" s="30">
        <v>1.03</v>
      </c>
      <c r="V12" s="30">
        <v>1.04</v>
      </c>
      <c r="W12" s="30">
        <v>1.05</v>
      </c>
      <c r="X12" s="28">
        <f>+(W12+Y12)/2</f>
        <v>1.0649999999999999</v>
      </c>
      <c r="Y12" s="30">
        <v>1.08</v>
      </c>
      <c r="Z12" s="28">
        <f>+(Y12+AA12)/2</f>
        <v>1.0950000000000002</v>
      </c>
      <c r="AA12" s="31">
        <v>1.1100000000000001</v>
      </c>
    </row>
    <row r="13" spans="2:27" ht="13.8" thickTop="1" x14ac:dyDescent="0.25">
      <c r="B13" s="264" t="s">
        <v>47</v>
      </c>
      <c r="C13" s="265"/>
      <c r="D13" s="265"/>
      <c r="E13" s="221">
        <f>SUM(E9:E12)</f>
        <v>32.1</v>
      </c>
      <c r="F13" s="221"/>
      <c r="G13" s="221"/>
      <c r="H13" s="221">
        <f>SUM(H9:H12)</f>
        <v>54</v>
      </c>
      <c r="I13" s="221"/>
      <c r="J13" s="222"/>
      <c r="R13" s="302" t="s">
        <v>89</v>
      </c>
      <c r="S13" s="303"/>
      <c r="T13" s="303"/>
      <c r="U13" s="303"/>
      <c r="V13" s="303"/>
      <c r="W13" s="303"/>
      <c r="X13" s="303"/>
      <c r="Y13" s="303"/>
      <c r="Z13" s="303"/>
      <c r="AA13" s="303"/>
    </row>
    <row r="14" spans="2:27" ht="13.8" thickBot="1" x14ac:dyDescent="0.3">
      <c r="B14" s="262" t="s">
        <v>48</v>
      </c>
      <c r="C14" s="263"/>
      <c r="D14" s="263"/>
      <c r="E14" s="223">
        <f>100-E13</f>
        <v>67.900000000000006</v>
      </c>
      <c r="F14" s="223"/>
      <c r="G14" s="223"/>
      <c r="H14" s="223">
        <f>100-H13</f>
        <v>46</v>
      </c>
      <c r="I14" s="223"/>
      <c r="J14" s="224"/>
      <c r="R14" s="290"/>
      <c r="S14" s="290"/>
      <c r="T14" s="290"/>
      <c r="U14" s="290"/>
      <c r="V14" s="290"/>
      <c r="W14" s="290"/>
      <c r="X14" s="290"/>
      <c r="Y14" s="290"/>
      <c r="Z14" s="290"/>
      <c r="AA14" s="290"/>
    </row>
    <row r="15" spans="2:27" ht="14.4" thickTop="1" thickBot="1" x14ac:dyDescent="0.3">
      <c r="B15" s="252" t="s">
        <v>49</v>
      </c>
      <c r="C15" s="253"/>
      <c r="D15" s="253"/>
      <c r="E15" s="225">
        <f>SUM(E13:E14)</f>
        <v>100</v>
      </c>
      <c r="F15" s="225"/>
      <c r="G15" s="225"/>
      <c r="H15" s="225">
        <f>SUM(H13:H14)</f>
        <v>100</v>
      </c>
      <c r="I15" s="225"/>
      <c r="J15" s="226"/>
    </row>
    <row r="16" spans="2:27" x14ac:dyDescent="0.25">
      <c r="B16" s="63" t="s">
        <v>121</v>
      </c>
      <c r="C16" s="10"/>
      <c r="D16" s="10"/>
      <c r="E16" s="10"/>
      <c r="F16" s="10"/>
    </row>
    <row r="17" spans="2:12" ht="13.8" thickBot="1" x14ac:dyDescent="0.3">
      <c r="B17" s="10"/>
      <c r="C17" s="10"/>
      <c r="D17" s="10"/>
      <c r="E17" s="10"/>
      <c r="F17" s="10"/>
    </row>
    <row r="18" spans="2:12" ht="13.8" thickTop="1" x14ac:dyDescent="0.25">
      <c r="B18" s="255" t="s">
        <v>119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 ht="13.8" thickBot="1" x14ac:dyDescent="0.3"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</row>
    <row r="20" spans="2:12" x14ac:dyDescent="0.25">
      <c r="B20" s="10"/>
      <c r="C20" s="10"/>
      <c r="D20" s="10"/>
      <c r="E20" s="239" t="s">
        <v>59</v>
      </c>
      <c r="F20" s="239"/>
      <c r="G20" s="239"/>
      <c r="H20" s="239"/>
      <c r="I20" s="239"/>
      <c r="J20" s="239"/>
      <c r="K20" s="239"/>
      <c r="L20" s="239"/>
    </row>
    <row r="21" spans="2:12" x14ac:dyDescent="0.25">
      <c r="E21" s="243" t="s">
        <v>51</v>
      </c>
      <c r="F21" s="244"/>
      <c r="G21" s="244"/>
      <c r="H21" s="245"/>
      <c r="I21" s="243" t="s">
        <v>127</v>
      </c>
      <c r="J21" s="244"/>
      <c r="K21" s="244"/>
      <c r="L21" s="244"/>
    </row>
    <row r="22" spans="2:12" x14ac:dyDescent="0.25">
      <c r="B22" s="41" t="s">
        <v>52</v>
      </c>
      <c r="C22" s="4"/>
      <c r="E22" s="257" t="s">
        <v>58</v>
      </c>
      <c r="F22" s="240" t="s">
        <v>60</v>
      </c>
      <c r="G22" s="240" t="s">
        <v>61</v>
      </c>
      <c r="H22" s="241"/>
      <c r="I22" s="246" t="s">
        <v>58</v>
      </c>
      <c r="J22" s="246" t="s">
        <v>60</v>
      </c>
      <c r="K22" s="246" t="s">
        <v>61</v>
      </c>
      <c r="L22" s="247"/>
    </row>
    <row r="23" spans="2:12" x14ac:dyDescent="0.25">
      <c r="B23" s="217" t="s">
        <v>93</v>
      </c>
      <c r="C23" s="218"/>
      <c r="D23" s="53" t="s">
        <v>92</v>
      </c>
      <c r="E23" s="257"/>
      <c r="F23" s="240"/>
      <c r="G23" s="242"/>
      <c r="H23" s="241"/>
      <c r="I23" s="246"/>
      <c r="J23" s="246"/>
      <c r="K23" s="247"/>
      <c r="L23" s="247"/>
    </row>
    <row r="24" spans="2:12" x14ac:dyDescent="0.25">
      <c r="B24" s="17" t="s">
        <v>53</v>
      </c>
      <c r="C24" s="18"/>
      <c r="D24" s="18"/>
      <c r="E24" s="19"/>
      <c r="F24" s="18"/>
      <c r="G24" s="214"/>
      <c r="H24" s="254"/>
      <c r="I24" s="18"/>
      <c r="J24" s="18"/>
      <c r="K24" s="269"/>
      <c r="L24" s="269"/>
    </row>
    <row r="25" spans="2:12" x14ac:dyDescent="0.25">
      <c r="B25" s="20" t="s">
        <v>22</v>
      </c>
      <c r="C25" s="4"/>
      <c r="D25" s="4"/>
      <c r="E25" s="21">
        <v>3.8</v>
      </c>
      <c r="F25" s="22">
        <v>18.399999999999999</v>
      </c>
      <c r="G25" s="268">
        <v>12.1</v>
      </c>
      <c r="H25" s="259"/>
      <c r="I25" s="54">
        <v>3.1</v>
      </c>
      <c r="J25" s="54">
        <v>12</v>
      </c>
      <c r="K25" s="270">
        <v>7.2</v>
      </c>
      <c r="L25" s="270"/>
    </row>
    <row r="26" spans="2:12" x14ac:dyDescent="0.25">
      <c r="B26" s="20" t="s">
        <v>23</v>
      </c>
      <c r="C26" s="4"/>
      <c r="D26" s="4"/>
      <c r="E26" s="21">
        <v>0.4</v>
      </c>
      <c r="F26" s="22">
        <v>0.1</v>
      </c>
      <c r="G26" s="268">
        <v>0.2</v>
      </c>
      <c r="H26" s="259"/>
      <c r="I26" s="54">
        <v>0.6</v>
      </c>
      <c r="J26" s="54">
        <v>0</v>
      </c>
      <c r="K26" s="270">
        <v>0.3</v>
      </c>
      <c r="L26" s="270"/>
    </row>
    <row r="27" spans="2:12" x14ac:dyDescent="0.25">
      <c r="B27" s="20" t="s">
        <v>24</v>
      </c>
      <c r="C27" s="4"/>
      <c r="D27" s="4"/>
      <c r="E27" s="21">
        <v>0.7</v>
      </c>
      <c r="F27" s="22">
        <v>0.1</v>
      </c>
      <c r="G27" s="268">
        <v>0.3</v>
      </c>
      <c r="H27" s="259"/>
      <c r="I27" s="54">
        <v>0.8</v>
      </c>
      <c r="J27" s="54">
        <v>0</v>
      </c>
      <c r="K27" s="270">
        <v>0.4</v>
      </c>
      <c r="L27" s="270"/>
    </row>
    <row r="28" spans="2:12" x14ac:dyDescent="0.25">
      <c r="B28" s="20" t="s">
        <v>25</v>
      </c>
      <c r="C28" s="4"/>
      <c r="D28" s="4"/>
      <c r="E28" s="21">
        <v>3.7</v>
      </c>
      <c r="F28" s="7">
        <v>1.5</v>
      </c>
      <c r="G28" s="258">
        <v>2.5</v>
      </c>
      <c r="H28" s="259"/>
      <c r="I28" s="54">
        <v>8.6</v>
      </c>
      <c r="J28" s="54">
        <v>3.8</v>
      </c>
      <c r="K28" s="270">
        <v>6.4</v>
      </c>
      <c r="L28" s="270"/>
    </row>
    <row r="29" spans="2:12" x14ac:dyDescent="0.25">
      <c r="B29" s="20" t="s">
        <v>26</v>
      </c>
      <c r="C29" s="4"/>
      <c r="D29" s="4"/>
      <c r="E29" s="21">
        <v>54.5</v>
      </c>
      <c r="F29" s="7">
        <v>50.5</v>
      </c>
      <c r="G29" s="258">
        <v>52.1</v>
      </c>
      <c r="H29" s="259"/>
      <c r="I29" s="54">
        <v>47.2</v>
      </c>
      <c r="J29" s="54">
        <v>39.1</v>
      </c>
      <c r="K29" s="270">
        <v>43.5</v>
      </c>
      <c r="L29" s="270"/>
    </row>
    <row r="30" spans="2:12" x14ac:dyDescent="0.25">
      <c r="B30" s="20" t="s">
        <v>54</v>
      </c>
      <c r="C30" s="4"/>
      <c r="D30" s="4"/>
      <c r="E30" s="21">
        <v>0.7</v>
      </c>
      <c r="F30" s="7">
        <v>2.9</v>
      </c>
      <c r="G30" s="258">
        <v>2.1</v>
      </c>
      <c r="H30" s="259"/>
      <c r="I30" s="54">
        <v>1.7</v>
      </c>
      <c r="J30" s="54">
        <v>1.3</v>
      </c>
      <c r="K30" s="270">
        <v>1.5</v>
      </c>
      <c r="L30" s="270"/>
    </row>
    <row r="31" spans="2:12" x14ac:dyDescent="0.25">
      <c r="B31" s="65" t="s">
        <v>27</v>
      </c>
      <c r="C31" s="58"/>
      <c r="D31" s="58"/>
      <c r="E31" s="57">
        <f>SUM(E25:E30)</f>
        <v>63.800000000000004</v>
      </c>
      <c r="F31" s="59">
        <f>SUM(F25:F30)</f>
        <v>73.5</v>
      </c>
      <c r="G31" s="216">
        <f>SUM(G25:H30)</f>
        <v>69.3</v>
      </c>
      <c r="H31" s="194"/>
      <c r="I31" s="60">
        <f>SUM(I25:I30)</f>
        <v>62.000000000000007</v>
      </c>
      <c r="J31" s="61">
        <f>SUM(J25:J30)</f>
        <v>56.2</v>
      </c>
      <c r="K31" s="249">
        <f>SUM(K25:L30)</f>
        <v>59.3</v>
      </c>
      <c r="L31" s="249"/>
    </row>
    <row r="32" spans="2:12" x14ac:dyDescent="0.25">
      <c r="B32" s="13" t="s">
        <v>55</v>
      </c>
      <c r="E32" s="21"/>
      <c r="F32" s="22"/>
      <c r="G32" s="214"/>
      <c r="H32" s="254"/>
      <c r="I32" s="5"/>
      <c r="J32" s="5"/>
      <c r="K32" s="250"/>
      <c r="L32" s="250"/>
    </row>
    <row r="33" spans="2:15" x14ac:dyDescent="0.25">
      <c r="B33" s="11" t="s">
        <v>28</v>
      </c>
      <c r="E33" s="34">
        <v>10</v>
      </c>
      <c r="F33" s="22">
        <v>7.2</v>
      </c>
      <c r="G33" s="268">
        <v>8.5</v>
      </c>
      <c r="H33" s="259"/>
      <c r="I33" s="55">
        <v>0.8</v>
      </c>
      <c r="J33" s="55">
        <v>0.7</v>
      </c>
      <c r="K33" s="251">
        <v>0.8</v>
      </c>
      <c r="L33" s="251"/>
    </row>
    <row r="34" spans="2:15" x14ac:dyDescent="0.25">
      <c r="B34" s="11" t="s">
        <v>29</v>
      </c>
      <c r="E34" s="21">
        <v>3.4</v>
      </c>
      <c r="F34" s="22">
        <v>0.3</v>
      </c>
      <c r="G34" s="268">
        <v>1.6</v>
      </c>
      <c r="H34" s="259"/>
      <c r="I34" s="55">
        <v>5.8</v>
      </c>
      <c r="J34" s="55">
        <v>1</v>
      </c>
      <c r="K34" s="251">
        <v>3.6</v>
      </c>
      <c r="L34" s="251"/>
    </row>
    <row r="35" spans="2:15" x14ac:dyDescent="0.25">
      <c r="B35" s="11" t="s">
        <v>30</v>
      </c>
      <c r="E35" s="21">
        <v>16.399999999999999</v>
      </c>
      <c r="F35" s="22">
        <v>12.2</v>
      </c>
      <c r="G35" s="268">
        <v>14.2</v>
      </c>
      <c r="H35" s="259"/>
      <c r="I35" s="55">
        <v>18.8</v>
      </c>
      <c r="J35" s="55">
        <v>21.5</v>
      </c>
      <c r="K35" s="251">
        <v>20.100000000000001</v>
      </c>
      <c r="L35" s="251"/>
    </row>
    <row r="36" spans="2:15" x14ac:dyDescent="0.25">
      <c r="B36" s="11" t="s">
        <v>31</v>
      </c>
      <c r="E36" s="21">
        <v>3.8</v>
      </c>
      <c r="F36" s="22">
        <v>3.8</v>
      </c>
      <c r="G36" s="258">
        <v>3.7</v>
      </c>
      <c r="H36" s="259"/>
      <c r="I36" s="55">
        <v>4.4000000000000004</v>
      </c>
      <c r="J36" s="55">
        <v>7.1</v>
      </c>
      <c r="K36" s="251">
        <v>5.6</v>
      </c>
      <c r="L36" s="251"/>
    </row>
    <row r="37" spans="2:15" x14ac:dyDescent="0.25">
      <c r="B37" s="11" t="s">
        <v>32</v>
      </c>
      <c r="E37" s="21">
        <v>2.6</v>
      </c>
      <c r="F37" s="25">
        <v>3</v>
      </c>
      <c r="G37" s="258">
        <v>2.7</v>
      </c>
      <c r="H37" s="259"/>
      <c r="I37" s="55">
        <v>8.1999999999999993</v>
      </c>
      <c r="J37" s="55">
        <v>13.5</v>
      </c>
      <c r="K37" s="251">
        <v>10.6</v>
      </c>
      <c r="L37" s="251"/>
    </row>
    <row r="38" spans="2:15" x14ac:dyDescent="0.25">
      <c r="B38" s="65" t="s">
        <v>56</v>
      </c>
      <c r="C38" s="58"/>
      <c r="D38" s="58"/>
      <c r="E38" s="57">
        <f>SUM(E33:E37)</f>
        <v>36.199999999999996</v>
      </c>
      <c r="F38" s="59">
        <f>SUM(F33:F37)</f>
        <v>26.5</v>
      </c>
      <c r="G38" s="193">
        <f>SUM(G33:H37)</f>
        <v>30.699999999999996</v>
      </c>
      <c r="H38" s="194"/>
      <c r="I38" s="60">
        <f>SUM(I33:I37)</f>
        <v>38</v>
      </c>
      <c r="J38" s="61">
        <f>SUM(J33:J37)</f>
        <v>43.8</v>
      </c>
      <c r="K38" s="248">
        <f>SUM(K33:L37)</f>
        <v>40.700000000000003</v>
      </c>
      <c r="L38" s="249"/>
    </row>
    <row r="39" spans="2:15" ht="13.8" thickBot="1" x14ac:dyDescent="0.3">
      <c r="B39" s="15" t="s">
        <v>57</v>
      </c>
      <c r="C39" s="16"/>
      <c r="D39" s="16"/>
      <c r="E39" s="23">
        <f>+E31+E38</f>
        <v>100</v>
      </c>
      <c r="F39" s="24">
        <f>+F31+F38</f>
        <v>100</v>
      </c>
      <c r="G39" s="266">
        <v>100</v>
      </c>
      <c r="H39" s="267"/>
      <c r="I39" s="23">
        <f>+I31+I38</f>
        <v>100</v>
      </c>
      <c r="J39" s="24">
        <f>+J31+J38</f>
        <v>100</v>
      </c>
      <c r="K39" s="266">
        <v>100</v>
      </c>
      <c r="L39" s="266"/>
    </row>
    <row r="40" spans="2:15" x14ac:dyDescent="0.25">
      <c r="B40" s="64" t="s">
        <v>120</v>
      </c>
    </row>
    <row r="42" spans="2:15" ht="13.8" thickBot="1" x14ac:dyDescent="0.3"/>
    <row r="43" spans="2:15" ht="13.8" thickBot="1" x14ac:dyDescent="0.3">
      <c r="B43" s="298" t="s">
        <v>126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45"/>
    </row>
    <row r="44" spans="2:15" x14ac:dyDescent="0.25">
      <c r="B44" s="299" t="s">
        <v>88</v>
      </c>
      <c r="C44" s="191" t="s">
        <v>86</v>
      </c>
      <c r="D44" s="296"/>
      <c r="E44" s="296"/>
      <c r="F44" s="296"/>
      <c r="G44" s="296"/>
      <c r="H44" s="296"/>
      <c r="I44" s="191" t="s">
        <v>87</v>
      </c>
      <c r="J44" s="296"/>
      <c r="K44" s="296"/>
      <c r="L44" s="296"/>
      <c r="M44" s="296"/>
      <c r="N44" s="304"/>
      <c r="O44" s="7"/>
    </row>
    <row r="45" spans="2:15" x14ac:dyDescent="0.25">
      <c r="B45" s="281"/>
      <c r="C45" s="217" t="s">
        <v>93</v>
      </c>
      <c r="D45" s="218"/>
      <c r="E45" s="62" t="s">
        <v>92</v>
      </c>
      <c r="F45" s="276" t="s">
        <v>85</v>
      </c>
      <c r="G45" s="277"/>
      <c r="H45" s="278"/>
      <c r="I45" s="295" t="s">
        <v>84</v>
      </c>
      <c r="J45" s="295"/>
      <c r="K45" s="295"/>
      <c r="L45" s="295" t="s">
        <v>85</v>
      </c>
      <c r="M45" s="295"/>
      <c r="N45" s="297"/>
      <c r="O45" s="56"/>
    </row>
    <row r="46" spans="2:15" x14ac:dyDescent="0.25">
      <c r="B46" s="281"/>
      <c r="C46" s="257" t="s">
        <v>84</v>
      </c>
      <c r="D46" s="290"/>
      <c r="E46" s="291"/>
      <c r="F46" s="279"/>
      <c r="G46" s="280"/>
      <c r="H46" s="281"/>
      <c r="I46" s="295"/>
      <c r="J46" s="295"/>
      <c r="K46" s="295"/>
      <c r="L46" s="295"/>
      <c r="M46" s="295"/>
      <c r="N46" s="297"/>
      <c r="O46" s="56"/>
    </row>
    <row r="47" spans="2:15" x14ac:dyDescent="0.25">
      <c r="B47" s="281"/>
      <c r="C47" s="292"/>
      <c r="D47" s="293"/>
      <c r="E47" s="294"/>
      <c r="F47" s="282"/>
      <c r="G47" s="283"/>
      <c r="H47" s="284"/>
      <c r="I47" s="295"/>
      <c r="J47" s="295"/>
      <c r="K47" s="295"/>
      <c r="L47" s="295"/>
      <c r="M47" s="295"/>
      <c r="N47" s="297"/>
      <c r="O47" s="56"/>
    </row>
    <row r="48" spans="2:15" ht="15.6" x14ac:dyDescent="0.35">
      <c r="B48" s="284"/>
      <c r="C48" s="231" t="s">
        <v>81</v>
      </c>
      <c r="D48" s="231"/>
      <c r="E48" s="14" t="s">
        <v>82</v>
      </c>
      <c r="F48" s="231" t="s">
        <v>83</v>
      </c>
      <c r="G48" s="190"/>
      <c r="H48" s="285"/>
      <c r="I48" s="231" t="s">
        <v>81</v>
      </c>
      <c r="J48" s="231"/>
      <c r="K48" s="14" t="s">
        <v>82</v>
      </c>
      <c r="L48" s="231" t="s">
        <v>83</v>
      </c>
      <c r="M48" s="190"/>
      <c r="N48" s="271"/>
      <c r="O48" s="42"/>
    </row>
    <row r="49" spans="2:15" ht="13.8" thickBot="1" x14ac:dyDescent="0.3">
      <c r="B49" s="35" t="s">
        <v>80</v>
      </c>
      <c r="C49" s="289">
        <v>0.38200000000000001</v>
      </c>
      <c r="D49" s="289"/>
      <c r="E49" s="2">
        <v>0.61799999999999999</v>
      </c>
      <c r="F49" s="286">
        <v>0.37</v>
      </c>
      <c r="G49" s="287"/>
      <c r="H49" s="288"/>
      <c r="I49" s="272">
        <v>0.54</v>
      </c>
      <c r="J49" s="272"/>
      <c r="K49" s="66">
        <v>0.46</v>
      </c>
      <c r="L49" s="273">
        <v>0.28000000000000003</v>
      </c>
      <c r="M49" s="274"/>
      <c r="N49" s="275"/>
      <c r="O49" s="42"/>
    </row>
    <row r="50" spans="2:15" x14ac:dyDescent="0.25">
      <c r="B50" s="64" t="s">
        <v>125</v>
      </c>
    </row>
  </sheetData>
  <mergeCells count="91">
    <mergeCell ref="C44:H44"/>
    <mergeCell ref="L45:N47"/>
    <mergeCell ref="B43:N43"/>
    <mergeCell ref="B44:B48"/>
    <mergeCell ref="R5:AA6"/>
    <mergeCell ref="R7:R8"/>
    <mergeCell ref="S7:AA7"/>
    <mergeCell ref="R13:AA14"/>
    <mergeCell ref="I44:N44"/>
    <mergeCell ref="I48:J48"/>
    <mergeCell ref="C49:D49"/>
    <mergeCell ref="C48:D48"/>
    <mergeCell ref="C45:D45"/>
    <mergeCell ref="C46:E47"/>
    <mergeCell ref="I45:K47"/>
    <mergeCell ref="I49:J49"/>
    <mergeCell ref="L49:N49"/>
    <mergeCell ref="F45:H47"/>
    <mergeCell ref="F48:H48"/>
    <mergeCell ref="F49:H49"/>
    <mergeCell ref="L48:N48"/>
    <mergeCell ref="K34:L34"/>
    <mergeCell ref="K35:L35"/>
    <mergeCell ref="K36:L36"/>
    <mergeCell ref="K37:L37"/>
    <mergeCell ref="K39:L39"/>
    <mergeCell ref="K24:L24"/>
    <mergeCell ref="K25:L25"/>
    <mergeCell ref="K26:L26"/>
    <mergeCell ref="G31:H31"/>
    <mergeCell ref="G33:H33"/>
    <mergeCell ref="G25:H25"/>
    <mergeCell ref="G26:H26"/>
    <mergeCell ref="G27:H27"/>
    <mergeCell ref="G28:H28"/>
    <mergeCell ref="G29:H29"/>
    <mergeCell ref="G30:H30"/>
    <mergeCell ref="K27:L27"/>
    <mergeCell ref="K28:L28"/>
    <mergeCell ref="K29:L29"/>
    <mergeCell ref="K30:L30"/>
    <mergeCell ref="B13:D13"/>
    <mergeCell ref="B14:D14"/>
    <mergeCell ref="G39:H39"/>
    <mergeCell ref="G32:H32"/>
    <mergeCell ref="G34:H34"/>
    <mergeCell ref="G35:H35"/>
    <mergeCell ref="K38:L38"/>
    <mergeCell ref="K32:L32"/>
    <mergeCell ref="K33:L33"/>
    <mergeCell ref="B15:D15"/>
    <mergeCell ref="G24:H24"/>
    <mergeCell ref="B18:L19"/>
    <mergeCell ref="E22:E23"/>
    <mergeCell ref="G38:H38"/>
    <mergeCell ref="G36:H36"/>
    <mergeCell ref="G37:H37"/>
    <mergeCell ref="E15:G15"/>
    <mergeCell ref="K31:L31"/>
    <mergeCell ref="B7:D7"/>
    <mergeCell ref="E8:G8"/>
    <mergeCell ref="E20:L20"/>
    <mergeCell ref="F22:F23"/>
    <mergeCell ref="G22:H23"/>
    <mergeCell ref="E21:H21"/>
    <mergeCell ref="I21:L21"/>
    <mergeCell ref="I22:I23"/>
    <mergeCell ref="J22:J23"/>
    <mergeCell ref="K22:L23"/>
    <mergeCell ref="B9:D9"/>
    <mergeCell ref="B10:D10"/>
    <mergeCell ref="B11:D11"/>
    <mergeCell ref="E13:G13"/>
    <mergeCell ref="E14:G14"/>
    <mergeCell ref="B12:D12"/>
    <mergeCell ref="B8:C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H11:J11"/>
  </mergeCells>
  <dataValidations count="1">
    <dataValidation type="list" allowBlank="1" showInputMessage="1" showErrorMessage="1" sqref="D8 E45 D23">
      <formula1>Local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7"/>
  <sheetViews>
    <sheetView workbookViewId="0"/>
  </sheetViews>
  <sheetFormatPr defaultRowHeight="13.2" x14ac:dyDescent="0.25"/>
  <cols>
    <col min="2" max="2" width="11.44140625" bestFit="1" customWidth="1"/>
    <col min="4" max="4" width="15.33203125" bestFit="1" customWidth="1"/>
    <col min="6" max="6" width="12.6640625" bestFit="1" customWidth="1"/>
    <col min="8" max="8" width="12.6640625" bestFit="1" customWidth="1"/>
    <col min="10" max="10" width="15" customWidth="1"/>
    <col min="12" max="12" width="10.6640625" customWidth="1"/>
  </cols>
  <sheetData>
    <row r="3" spans="2:12" x14ac:dyDescent="0.25">
      <c r="B3" s="12" t="s">
        <v>37</v>
      </c>
      <c r="D3" s="12" t="s">
        <v>62</v>
      </c>
      <c r="F3" s="6" t="s">
        <v>63</v>
      </c>
    </row>
    <row r="4" spans="2:12" x14ac:dyDescent="0.25">
      <c r="B4" s="26">
        <v>9</v>
      </c>
      <c r="D4" s="26">
        <v>0</v>
      </c>
      <c r="F4" s="1">
        <v>1</v>
      </c>
    </row>
    <row r="5" spans="2:12" x14ac:dyDescent="0.25">
      <c r="B5" s="26">
        <v>9.5</v>
      </c>
      <c r="D5" s="26">
        <v>1</v>
      </c>
      <c r="F5" s="1">
        <v>2</v>
      </c>
    </row>
    <row r="6" spans="2:12" x14ac:dyDescent="0.25">
      <c r="B6" s="26">
        <v>10</v>
      </c>
      <c r="D6" s="26">
        <v>2</v>
      </c>
      <c r="F6" s="1">
        <v>3</v>
      </c>
    </row>
    <row r="7" spans="2:12" x14ac:dyDescent="0.25">
      <c r="B7" s="26">
        <v>10.5</v>
      </c>
      <c r="D7" s="26">
        <v>3</v>
      </c>
      <c r="F7" s="1">
        <v>4</v>
      </c>
    </row>
    <row r="8" spans="2:12" x14ac:dyDescent="0.25">
      <c r="B8" s="26">
        <v>11</v>
      </c>
      <c r="D8" s="26">
        <v>4</v>
      </c>
      <c r="F8" s="1">
        <v>5</v>
      </c>
    </row>
    <row r="9" spans="2:12" x14ac:dyDescent="0.25">
      <c r="B9" s="26">
        <v>11.5</v>
      </c>
      <c r="D9" s="26">
        <v>5</v>
      </c>
      <c r="F9" s="1">
        <v>6</v>
      </c>
    </row>
    <row r="10" spans="2:12" x14ac:dyDescent="0.25">
      <c r="B10" s="26">
        <v>12</v>
      </c>
      <c r="D10" s="26">
        <v>6</v>
      </c>
      <c r="F10" s="1">
        <v>7</v>
      </c>
    </row>
    <row r="11" spans="2:12" x14ac:dyDescent="0.25">
      <c r="D11" s="26">
        <v>7</v>
      </c>
    </row>
    <row r="12" spans="2:12" x14ac:dyDescent="0.25">
      <c r="D12" s="26">
        <v>8</v>
      </c>
    </row>
    <row r="15" spans="2:12" x14ac:dyDescent="0.25">
      <c r="H15" s="6" t="s">
        <v>71</v>
      </c>
      <c r="J15" s="6" t="s">
        <v>73</v>
      </c>
      <c r="L15" s="6" t="s">
        <v>90</v>
      </c>
    </row>
    <row r="16" spans="2:12" x14ac:dyDescent="0.25">
      <c r="D16" s="6" t="s">
        <v>36</v>
      </c>
      <c r="F16" s="6" t="s">
        <v>68</v>
      </c>
      <c r="H16" s="6" t="s">
        <v>72</v>
      </c>
      <c r="J16" s="6" t="s">
        <v>74</v>
      </c>
      <c r="L16" s="39" t="s">
        <v>91</v>
      </c>
    </row>
    <row r="17" spans="4:12" x14ac:dyDescent="0.25">
      <c r="D17" s="26" t="s">
        <v>64</v>
      </c>
      <c r="F17" s="26" t="s">
        <v>69</v>
      </c>
      <c r="H17" s="26" t="s">
        <v>69</v>
      </c>
      <c r="J17" s="26" t="s">
        <v>69</v>
      </c>
      <c r="L17" s="39" t="s">
        <v>92</v>
      </c>
    </row>
    <row r="18" spans="4:12" x14ac:dyDescent="0.25">
      <c r="D18" s="26" t="s">
        <v>65</v>
      </c>
      <c r="F18" s="26" t="s">
        <v>70</v>
      </c>
      <c r="H18" s="26" t="s">
        <v>70</v>
      </c>
      <c r="J18" s="26" t="s">
        <v>78</v>
      </c>
    </row>
    <row r="19" spans="4:12" x14ac:dyDescent="0.25">
      <c r="D19" s="39" t="s">
        <v>66</v>
      </c>
      <c r="F19" s="36" t="s">
        <v>117</v>
      </c>
      <c r="J19" s="26" t="s">
        <v>79</v>
      </c>
    </row>
    <row r="20" spans="4:12" x14ac:dyDescent="0.25">
      <c r="D20" s="26" t="s">
        <v>67</v>
      </c>
    </row>
    <row r="22" spans="4:12" x14ac:dyDescent="0.25">
      <c r="F22" s="6" t="s">
        <v>38</v>
      </c>
      <c r="H22" s="6" t="s">
        <v>39</v>
      </c>
      <c r="J22" s="6" t="s">
        <v>75</v>
      </c>
    </row>
    <row r="23" spans="4:12" x14ac:dyDescent="0.25">
      <c r="F23" s="26" t="s">
        <v>69</v>
      </c>
      <c r="H23" s="26" t="s">
        <v>69</v>
      </c>
      <c r="J23" s="26" t="s">
        <v>69</v>
      </c>
    </row>
    <row r="24" spans="4:12" x14ac:dyDescent="0.25">
      <c r="F24" s="26" t="s">
        <v>70</v>
      </c>
      <c r="H24" s="26" t="s">
        <v>70</v>
      </c>
      <c r="J24" s="26" t="s">
        <v>70</v>
      </c>
    </row>
    <row r="28" spans="4:12" x14ac:dyDescent="0.25">
      <c r="D28" s="39" t="s">
        <v>94</v>
      </c>
      <c r="F28" s="39" t="s">
        <v>98</v>
      </c>
      <c r="H28" s="39" t="s">
        <v>99</v>
      </c>
      <c r="J28" s="39" t="s">
        <v>100</v>
      </c>
      <c r="L28" s="6" t="s">
        <v>102</v>
      </c>
    </row>
    <row r="29" spans="4:12" x14ac:dyDescent="0.25">
      <c r="D29" s="39" t="s">
        <v>95</v>
      </c>
      <c r="F29" s="1">
        <v>0</v>
      </c>
      <c r="H29" s="1">
        <v>0</v>
      </c>
      <c r="J29" s="39" t="s">
        <v>69</v>
      </c>
      <c r="L29" s="39" t="s">
        <v>91</v>
      </c>
    </row>
    <row r="30" spans="4:12" x14ac:dyDescent="0.25">
      <c r="D30" s="39" t="s">
        <v>96</v>
      </c>
      <c r="F30" s="1">
        <v>1</v>
      </c>
      <c r="H30" s="1">
        <v>1</v>
      </c>
      <c r="J30" s="39" t="s">
        <v>70</v>
      </c>
      <c r="L30" s="39" t="s">
        <v>92</v>
      </c>
    </row>
    <row r="31" spans="4:12" x14ac:dyDescent="0.25">
      <c r="D31" s="39" t="s">
        <v>97</v>
      </c>
      <c r="F31" s="1">
        <v>2</v>
      </c>
      <c r="H31" s="1">
        <v>2</v>
      </c>
    </row>
    <row r="32" spans="4:12" x14ac:dyDescent="0.25">
      <c r="F32" s="1">
        <v>3</v>
      </c>
      <c r="H32" s="1">
        <v>3</v>
      </c>
    </row>
    <row r="33" spans="4:12" x14ac:dyDescent="0.25">
      <c r="F33" s="1">
        <v>4</v>
      </c>
      <c r="H33" s="1">
        <v>4</v>
      </c>
    </row>
    <row r="36" spans="4:12" x14ac:dyDescent="0.25">
      <c r="D36" s="6" t="s">
        <v>103</v>
      </c>
      <c r="F36" s="6" t="s">
        <v>106</v>
      </c>
      <c r="H36" s="6" t="s">
        <v>107</v>
      </c>
      <c r="J36" s="6" t="s">
        <v>113</v>
      </c>
      <c r="L36" s="6" t="s">
        <v>114</v>
      </c>
    </row>
    <row r="37" spans="4:12" x14ac:dyDescent="0.25">
      <c r="D37" s="1">
        <v>10</v>
      </c>
      <c r="F37" s="39" t="s">
        <v>104</v>
      </c>
      <c r="H37" s="39" t="s">
        <v>108</v>
      </c>
      <c r="J37" s="26">
        <v>0</v>
      </c>
      <c r="L37" s="1">
        <v>0</v>
      </c>
    </row>
    <row r="38" spans="4:12" x14ac:dyDescent="0.25">
      <c r="D38" s="1">
        <v>20</v>
      </c>
      <c r="F38" s="39" t="s">
        <v>105</v>
      </c>
      <c r="H38" s="46" t="s">
        <v>109</v>
      </c>
      <c r="J38" s="26">
        <v>1</v>
      </c>
      <c r="L38" s="1">
        <v>1</v>
      </c>
    </row>
    <row r="39" spans="4:12" x14ac:dyDescent="0.25">
      <c r="D39" s="1">
        <v>30</v>
      </c>
      <c r="F39" s="1"/>
      <c r="H39" s="47" t="s">
        <v>110</v>
      </c>
      <c r="J39" s="26">
        <v>2</v>
      </c>
      <c r="L39" s="1">
        <v>2</v>
      </c>
    </row>
    <row r="40" spans="4:12" x14ac:dyDescent="0.25">
      <c r="D40" s="1">
        <v>40</v>
      </c>
      <c r="F40" s="1"/>
      <c r="H40" s="47" t="s">
        <v>111</v>
      </c>
      <c r="J40" s="26">
        <v>3</v>
      </c>
    </row>
    <row r="41" spans="4:12" x14ac:dyDescent="0.25">
      <c r="D41" s="1">
        <v>50</v>
      </c>
      <c r="F41" s="1"/>
      <c r="H41" s="47" t="s">
        <v>112</v>
      </c>
      <c r="J41" s="26">
        <v>4</v>
      </c>
    </row>
    <row r="42" spans="4:12" x14ac:dyDescent="0.25">
      <c r="D42" s="1">
        <v>60</v>
      </c>
      <c r="F42" s="1"/>
      <c r="J42" s="26">
        <v>5</v>
      </c>
    </row>
    <row r="43" spans="4:12" x14ac:dyDescent="0.25">
      <c r="D43" s="1">
        <v>70</v>
      </c>
      <c r="F43" s="1"/>
      <c r="J43" s="26">
        <v>6</v>
      </c>
    </row>
    <row r="44" spans="4:12" x14ac:dyDescent="0.25">
      <c r="D44" s="1">
        <v>80</v>
      </c>
      <c r="F44" s="1"/>
      <c r="J44" s="26">
        <v>7</v>
      </c>
    </row>
    <row r="45" spans="4:12" x14ac:dyDescent="0.25">
      <c r="D45" s="1">
        <v>90</v>
      </c>
      <c r="F45" s="1"/>
      <c r="J45" s="26">
        <v>8</v>
      </c>
    </row>
    <row r="46" spans="4:12" x14ac:dyDescent="0.25">
      <c r="D46" s="1">
        <v>100</v>
      </c>
      <c r="J46" s="39">
        <v>9</v>
      </c>
    </row>
    <row r="47" spans="4:12" x14ac:dyDescent="0.25">
      <c r="J47" s="39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0d6ee03e5f9e2c3ceb13dd99690e7774">
  <xsd:schema xmlns:xsd="http://www.w3.org/2001/XMLSchema" xmlns:xs="http://www.w3.org/2001/XMLSchema" xmlns:p="http://schemas.microsoft.com/office/2006/metadata/properties" xmlns:ns1="http://schemas.microsoft.com/sharepoint/v3" xmlns:ns2="5b656afb-3c8d-4b34-a1c1-337981dce21b" targetNamespace="http://schemas.microsoft.com/office/2006/metadata/properties" ma:root="true" ma:fieldsID="9945467a0d5f085aa107d7cd64bac1d4" ns1:_="" ns2:_="">
    <xsd:import namespace="http://schemas.microsoft.com/sharepoint/v3"/>
    <xsd:import namespace="5b656afb-3c8d-4b34-a1c1-337981dce21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56afb-3c8d-4b34-a1c1-337981dce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b656afb-3c8d-4b34-a1c1-337981dce21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F11A6F-4F29-4000-A682-36C0E32E42BF}"/>
</file>

<file path=customXml/itemProps2.xml><?xml version="1.0" encoding="utf-8"?>
<ds:datastoreItem xmlns:ds="http://schemas.openxmlformats.org/officeDocument/2006/customXml" ds:itemID="{BC1BB1C5-5277-4F80-A4CF-8F59B5C73A9F}"/>
</file>

<file path=customXml/itemProps3.xml><?xml version="1.0" encoding="utf-8"?>
<ds:datastoreItem xmlns:ds="http://schemas.openxmlformats.org/officeDocument/2006/customXml" ds:itemID="{6FEA6FD1-45E4-45EF-84CC-DE51DE59E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Rural Two-Lane Two-Way Road</vt:lpstr>
      <vt:lpstr>Rural Multi-Lane Road</vt:lpstr>
      <vt:lpstr>Segment Tables</vt:lpstr>
      <vt:lpstr>Construction - Do Not Delete</vt:lpstr>
      <vt:lpstr>CRumble</vt:lpstr>
      <vt:lpstr>Differ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PLane</vt:lpstr>
      <vt:lpstr>PLane2</vt:lpstr>
      <vt:lpstr>RApproach</vt:lpstr>
      <vt:lpstr>RHR</vt:lpstr>
      <vt:lpstr>Shld2</vt:lpstr>
      <vt:lpstr>SpEnforce</vt:lpstr>
      <vt:lpstr>Spiral</vt:lpstr>
      <vt:lpstr>Spiral2</vt:lpstr>
      <vt:lpstr>SSlope</vt:lpstr>
      <vt:lpstr>SType</vt:lpstr>
      <vt:lpstr>SWidth</vt:lpstr>
      <vt:lpstr>TWLTL</vt:lpstr>
    </vt:vector>
  </TitlesOfParts>
  <Manager>J. Hershock</Manager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HSM Part D</dc:subject>
  <dc:creator>Ben Brubaker</dc:creator>
  <cp:keywords>HSM Part D</cp:keywords>
  <dc:description>Prepared for HSM Training -- NCHRP 17-38</dc:description>
  <cp:lastModifiedBy>Ben Brubaker</cp:lastModifiedBy>
  <cp:lastPrinted>2010-06-17T15:42:43Z</cp:lastPrinted>
  <dcterms:created xsi:type="dcterms:W3CDTF">2009-11-22T21:24:43Z</dcterms:created>
  <dcterms:modified xsi:type="dcterms:W3CDTF">2018-10-02T20:20:40Z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