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jhershock_pa_gov/Documents/Highway Safety Section Website/April 2021 Update/Data/"/>
    </mc:Choice>
  </mc:AlternateContent>
  <xr:revisionPtr revIDLastSave="1" documentId="13_ncr:1_{96FCCFBE-E6FD-4239-B5A8-94E0BA22723E}" xr6:coauthVersionLast="45" xr6:coauthVersionMax="46" xr10:uidLastSave="{A97016E9-3D9E-4962-B062-C2657DAD0EBE}"/>
  <bookViews>
    <workbookView xWindow="-29100" yWindow="1710" windowWidth="28290" windowHeight="15420" xr2:uid="{2BC66536-85E7-42FA-9334-69BD80EFB13A}"/>
  </bookViews>
  <sheets>
    <sheet name="Count Summary 04-12-21" sheetId="1" r:id="rId1"/>
  </sheets>
  <definedNames>
    <definedName name="_xlnm._FilterDatabase" localSheetId="0" hidden="1">'Count Summary 04-12-21'!$A$2:$T$1101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01" i="1" l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P954" i="1"/>
  <c r="T954" i="1" s="1"/>
  <c r="T953" i="1"/>
  <c r="P953" i="1"/>
  <c r="T952" i="1"/>
  <c r="P952" i="1"/>
  <c r="T951" i="1"/>
  <c r="P950" i="1"/>
  <c r="T950" i="1" s="1"/>
  <c r="P949" i="1"/>
  <c r="T949" i="1" s="1"/>
  <c r="P948" i="1"/>
  <c r="T948" i="1" s="1"/>
  <c r="T947" i="1"/>
  <c r="P947" i="1"/>
  <c r="P946" i="1"/>
  <c r="T946" i="1" s="1"/>
  <c r="T945" i="1"/>
  <c r="P945" i="1"/>
  <c r="P944" i="1"/>
  <c r="T944" i="1" s="1"/>
  <c r="T943" i="1"/>
  <c r="P943" i="1"/>
  <c r="T942" i="1"/>
  <c r="P941" i="1"/>
  <c r="T941" i="1" s="1"/>
  <c r="P940" i="1"/>
  <c r="T940" i="1" s="1"/>
  <c r="P939" i="1"/>
  <c r="T939" i="1" s="1"/>
  <c r="T938" i="1"/>
  <c r="P938" i="1"/>
  <c r="P937" i="1"/>
  <c r="T937" i="1" s="1"/>
  <c r="T936" i="1"/>
  <c r="P936" i="1"/>
  <c r="P935" i="1"/>
  <c r="T935" i="1" s="1"/>
  <c r="T934" i="1"/>
  <c r="P934" i="1"/>
  <c r="P933" i="1"/>
  <c r="T933" i="1" s="1"/>
  <c r="T932" i="1"/>
  <c r="P932" i="1"/>
  <c r="T931" i="1"/>
  <c r="P930" i="1"/>
  <c r="T930" i="1" s="1"/>
  <c r="P929" i="1"/>
  <c r="T929" i="1" s="1"/>
  <c r="T928" i="1"/>
  <c r="T927" i="1"/>
  <c r="P927" i="1"/>
  <c r="P926" i="1"/>
  <c r="T926" i="1" s="1"/>
  <c r="T925" i="1"/>
  <c r="P925" i="1"/>
  <c r="P924" i="1"/>
  <c r="T924" i="1" s="1"/>
  <c r="T923" i="1"/>
  <c r="P923" i="1"/>
  <c r="P922" i="1"/>
  <c r="T922" i="1" s="1"/>
  <c r="T921" i="1"/>
  <c r="P921" i="1"/>
  <c r="P920" i="1"/>
  <c r="T920" i="1" s="1"/>
  <c r="T919" i="1"/>
  <c r="P919" i="1"/>
  <c r="P918" i="1"/>
  <c r="T918" i="1" s="1"/>
  <c r="T917" i="1"/>
  <c r="P917" i="1"/>
  <c r="P916" i="1"/>
  <c r="T916" i="1" s="1"/>
  <c r="T915" i="1"/>
  <c r="P915" i="1"/>
  <c r="P914" i="1"/>
  <c r="T914" i="1" s="1"/>
  <c r="T913" i="1"/>
  <c r="P913" i="1"/>
  <c r="P912" i="1"/>
  <c r="T912" i="1" s="1"/>
  <c r="T911" i="1"/>
  <c r="P911" i="1"/>
  <c r="P910" i="1"/>
  <c r="T910" i="1" s="1"/>
  <c r="T909" i="1"/>
  <c r="P909" i="1"/>
  <c r="P908" i="1"/>
  <c r="T908" i="1" s="1"/>
  <c r="T907" i="1"/>
  <c r="P907" i="1"/>
  <c r="P906" i="1"/>
  <c r="T906" i="1" s="1"/>
  <c r="T905" i="1"/>
  <c r="P905" i="1"/>
  <c r="P904" i="1"/>
  <c r="T904" i="1" s="1"/>
  <c r="T903" i="1"/>
  <c r="P903" i="1"/>
  <c r="T902" i="1"/>
  <c r="T901" i="1"/>
  <c r="T900" i="1"/>
  <c r="P900" i="1"/>
  <c r="P899" i="1"/>
  <c r="T899" i="1" s="1"/>
  <c r="T898" i="1"/>
  <c r="P898" i="1"/>
  <c r="P897" i="1"/>
  <c r="T897" i="1" s="1"/>
  <c r="T896" i="1"/>
  <c r="P896" i="1"/>
  <c r="P895" i="1"/>
  <c r="T895" i="1" s="1"/>
  <c r="T894" i="1"/>
  <c r="P894" i="1"/>
  <c r="P893" i="1"/>
  <c r="T893" i="1" s="1"/>
  <c r="T892" i="1"/>
  <c r="P892" i="1"/>
  <c r="P891" i="1"/>
  <c r="T891" i="1" s="1"/>
  <c r="T890" i="1"/>
  <c r="P890" i="1"/>
  <c r="P889" i="1"/>
  <c r="T889" i="1" s="1"/>
  <c r="T888" i="1"/>
  <c r="P888" i="1"/>
  <c r="P887" i="1"/>
  <c r="T887" i="1" s="1"/>
  <c r="T886" i="1"/>
  <c r="P886" i="1"/>
  <c r="P885" i="1"/>
  <c r="T885" i="1" s="1"/>
  <c r="T884" i="1"/>
  <c r="P884" i="1"/>
  <c r="P883" i="1"/>
  <c r="T883" i="1" s="1"/>
  <c r="T882" i="1"/>
  <c r="P882" i="1"/>
  <c r="P881" i="1"/>
  <c r="T881" i="1" s="1"/>
  <c r="T880" i="1"/>
  <c r="P880" i="1"/>
  <c r="P879" i="1"/>
  <c r="T879" i="1" s="1"/>
  <c r="T878" i="1"/>
  <c r="P878" i="1"/>
  <c r="P877" i="1"/>
  <c r="T877" i="1" s="1"/>
  <c r="T876" i="1"/>
  <c r="P876" i="1"/>
  <c r="P875" i="1"/>
  <c r="T875" i="1" s="1"/>
  <c r="T874" i="1"/>
  <c r="P874" i="1"/>
  <c r="P873" i="1"/>
  <c r="T873" i="1" s="1"/>
  <c r="T872" i="1"/>
  <c r="P872" i="1"/>
  <c r="P871" i="1"/>
  <c r="T871" i="1" s="1"/>
  <c r="T870" i="1"/>
  <c r="P870" i="1"/>
  <c r="P869" i="1"/>
  <c r="T869" i="1" s="1"/>
  <c r="T868" i="1"/>
  <c r="P868" i="1"/>
  <c r="T867" i="1"/>
  <c r="T866" i="1"/>
  <c r="T865" i="1"/>
  <c r="P864" i="1"/>
  <c r="T864" i="1" s="1"/>
  <c r="P863" i="1"/>
  <c r="T863" i="1" s="1"/>
  <c r="P862" i="1"/>
  <c r="T862" i="1" s="1"/>
  <c r="P861" i="1"/>
  <c r="T861" i="1" s="1"/>
  <c r="P860" i="1"/>
  <c r="T860" i="1" s="1"/>
  <c r="P859" i="1"/>
  <c r="T859" i="1" s="1"/>
  <c r="P858" i="1"/>
  <c r="T858" i="1" s="1"/>
  <c r="P857" i="1"/>
  <c r="T857" i="1" s="1"/>
  <c r="P856" i="1"/>
  <c r="T856" i="1" s="1"/>
  <c r="P855" i="1"/>
  <c r="T855" i="1" s="1"/>
  <c r="P854" i="1"/>
  <c r="T854" i="1" s="1"/>
  <c r="P853" i="1"/>
  <c r="T853" i="1" s="1"/>
  <c r="P852" i="1"/>
  <c r="T852" i="1" s="1"/>
  <c r="T851" i="1"/>
  <c r="T850" i="1"/>
  <c r="T849" i="1"/>
  <c r="P848" i="1"/>
  <c r="T848" i="1" s="1"/>
  <c r="T847" i="1"/>
  <c r="P847" i="1"/>
  <c r="P846" i="1"/>
  <c r="T846" i="1" s="1"/>
  <c r="T845" i="1"/>
  <c r="P845" i="1"/>
  <c r="P844" i="1"/>
  <c r="T844" i="1" s="1"/>
  <c r="T843" i="1"/>
  <c r="T842" i="1"/>
  <c r="T841" i="1"/>
  <c r="P840" i="1"/>
  <c r="T840" i="1" s="1"/>
  <c r="T839" i="1"/>
  <c r="T838" i="1"/>
  <c r="T837" i="1"/>
  <c r="T836" i="1"/>
  <c r="P836" i="1"/>
  <c r="P835" i="1"/>
  <c r="T835" i="1" s="1"/>
  <c r="T834" i="1"/>
  <c r="P834" i="1"/>
  <c r="P833" i="1"/>
  <c r="T833" i="1" s="1"/>
  <c r="T832" i="1"/>
  <c r="P832" i="1"/>
  <c r="T831" i="1"/>
  <c r="P830" i="1"/>
  <c r="T830" i="1" s="1"/>
  <c r="P829" i="1"/>
  <c r="T829" i="1" s="1"/>
  <c r="P828" i="1"/>
  <c r="T828" i="1" s="1"/>
  <c r="P827" i="1"/>
  <c r="T827" i="1" s="1"/>
  <c r="P826" i="1"/>
  <c r="T826" i="1" s="1"/>
  <c r="P825" i="1"/>
  <c r="T825" i="1" s="1"/>
  <c r="P824" i="1"/>
  <c r="T824" i="1" s="1"/>
  <c r="P823" i="1"/>
  <c r="T823" i="1" s="1"/>
  <c r="P822" i="1"/>
  <c r="T822" i="1" s="1"/>
  <c r="P821" i="1"/>
  <c r="T821" i="1" s="1"/>
  <c r="P820" i="1"/>
  <c r="T820" i="1" s="1"/>
  <c r="P819" i="1"/>
  <c r="T819" i="1" s="1"/>
  <c r="P818" i="1"/>
  <c r="T818" i="1" s="1"/>
  <c r="P817" i="1"/>
  <c r="T817" i="1" s="1"/>
  <c r="P816" i="1"/>
  <c r="T816" i="1" s="1"/>
  <c r="P815" i="1"/>
  <c r="T815" i="1" s="1"/>
  <c r="P814" i="1"/>
  <c r="T814" i="1" s="1"/>
  <c r="P813" i="1"/>
  <c r="T813" i="1" s="1"/>
  <c r="P812" i="1"/>
  <c r="T812" i="1" s="1"/>
  <c r="P811" i="1"/>
  <c r="T811" i="1" s="1"/>
  <c r="T810" i="1"/>
  <c r="T809" i="1"/>
  <c r="T808" i="1"/>
  <c r="T807" i="1"/>
  <c r="T806" i="1"/>
  <c r="T805" i="1"/>
  <c r="P805" i="1"/>
  <c r="T804" i="1"/>
  <c r="P803" i="1"/>
  <c r="T803" i="1" s="1"/>
  <c r="P802" i="1"/>
  <c r="T802" i="1" s="1"/>
  <c r="P801" i="1"/>
  <c r="T801" i="1" s="1"/>
  <c r="P800" i="1"/>
  <c r="T800" i="1" s="1"/>
  <c r="T799" i="1"/>
  <c r="T798" i="1"/>
  <c r="P798" i="1"/>
  <c r="P797" i="1"/>
  <c r="T797" i="1" s="1"/>
  <c r="T796" i="1"/>
  <c r="T795" i="1"/>
  <c r="T794" i="1"/>
  <c r="T793" i="1"/>
  <c r="T792" i="1"/>
  <c r="P791" i="1"/>
  <c r="T791" i="1" s="1"/>
  <c r="T790" i="1"/>
  <c r="T789" i="1"/>
  <c r="T788" i="1"/>
  <c r="T787" i="1"/>
  <c r="T786" i="1"/>
  <c r="T785" i="1"/>
  <c r="P785" i="1"/>
  <c r="T784" i="1"/>
  <c r="T783" i="1"/>
  <c r="T782" i="1"/>
  <c r="P782" i="1"/>
  <c r="P781" i="1"/>
  <c r="T781" i="1" s="1"/>
  <c r="T780" i="1"/>
  <c r="P780" i="1"/>
  <c r="P779" i="1"/>
  <c r="T779" i="1" s="1"/>
  <c r="T778" i="1"/>
  <c r="P777" i="1"/>
  <c r="T777" i="1" s="1"/>
  <c r="T776" i="1"/>
  <c r="T775" i="1"/>
  <c r="P774" i="1"/>
  <c r="T774" i="1" s="1"/>
  <c r="P773" i="1"/>
  <c r="T773" i="1" s="1"/>
  <c r="T772" i="1"/>
  <c r="P771" i="1"/>
  <c r="T771" i="1" s="1"/>
  <c r="T770" i="1"/>
  <c r="P770" i="1"/>
  <c r="P769" i="1"/>
  <c r="T769" i="1" s="1"/>
  <c r="T768" i="1"/>
  <c r="P768" i="1"/>
  <c r="P767" i="1"/>
  <c r="T767" i="1" s="1"/>
  <c r="T766" i="1"/>
  <c r="P766" i="1"/>
  <c r="P765" i="1"/>
  <c r="T765" i="1" s="1"/>
  <c r="T764" i="1"/>
  <c r="P764" i="1"/>
  <c r="P763" i="1"/>
  <c r="T763" i="1" s="1"/>
  <c r="T762" i="1"/>
  <c r="P762" i="1"/>
  <c r="T761" i="1"/>
  <c r="T760" i="1"/>
  <c r="T759" i="1"/>
  <c r="P758" i="1"/>
  <c r="T758" i="1" s="1"/>
  <c r="P757" i="1"/>
  <c r="T757" i="1" s="1"/>
  <c r="P756" i="1"/>
  <c r="T756" i="1" s="1"/>
  <c r="P755" i="1"/>
  <c r="T755" i="1" s="1"/>
  <c r="T754" i="1"/>
  <c r="T753" i="1"/>
  <c r="T752" i="1"/>
  <c r="T751" i="1"/>
  <c r="P751" i="1"/>
  <c r="P750" i="1"/>
  <c r="T750" i="1" s="1"/>
  <c r="T749" i="1"/>
  <c r="P749" i="1"/>
  <c r="P748" i="1"/>
  <c r="T748" i="1" s="1"/>
  <c r="T747" i="1"/>
  <c r="P747" i="1"/>
  <c r="P746" i="1"/>
  <c r="T746" i="1" s="1"/>
  <c r="T745" i="1"/>
  <c r="P745" i="1"/>
  <c r="P744" i="1"/>
  <c r="T744" i="1" s="1"/>
  <c r="T743" i="1"/>
  <c r="P743" i="1"/>
  <c r="P742" i="1"/>
  <c r="T742" i="1" s="1"/>
  <c r="T741" i="1"/>
  <c r="P741" i="1"/>
  <c r="P740" i="1"/>
  <c r="T740" i="1" s="1"/>
  <c r="T739" i="1"/>
  <c r="P739" i="1"/>
  <c r="T738" i="1"/>
  <c r="P737" i="1"/>
  <c r="T737" i="1" s="1"/>
  <c r="P736" i="1"/>
  <c r="T736" i="1" s="1"/>
  <c r="P735" i="1"/>
  <c r="T735" i="1" s="1"/>
  <c r="T734" i="1"/>
  <c r="T733" i="1"/>
  <c r="T732" i="1"/>
  <c r="T731" i="1"/>
  <c r="P731" i="1"/>
  <c r="P730" i="1"/>
  <c r="T730" i="1" s="1"/>
  <c r="T729" i="1"/>
  <c r="P729" i="1"/>
  <c r="P728" i="1"/>
  <c r="T728" i="1" s="1"/>
  <c r="T727" i="1"/>
  <c r="P726" i="1"/>
  <c r="T726" i="1" s="1"/>
  <c r="P725" i="1"/>
  <c r="T725" i="1" s="1"/>
  <c r="P724" i="1"/>
  <c r="T724" i="1" s="1"/>
  <c r="P723" i="1"/>
  <c r="T723" i="1" s="1"/>
  <c r="P722" i="1"/>
  <c r="T722" i="1" s="1"/>
  <c r="P721" i="1"/>
  <c r="T721" i="1" s="1"/>
  <c r="P720" i="1"/>
  <c r="T720" i="1" s="1"/>
  <c r="P719" i="1"/>
  <c r="T719" i="1" s="1"/>
  <c r="P718" i="1"/>
  <c r="T718" i="1" s="1"/>
  <c r="P717" i="1"/>
  <c r="T717" i="1" s="1"/>
  <c r="P716" i="1"/>
  <c r="T716" i="1" s="1"/>
  <c r="P715" i="1"/>
  <c r="T715" i="1" s="1"/>
  <c r="P714" i="1"/>
  <c r="T714" i="1" s="1"/>
  <c r="P713" i="1"/>
  <c r="T713" i="1" s="1"/>
  <c r="P712" i="1"/>
  <c r="T712" i="1" s="1"/>
  <c r="P711" i="1"/>
  <c r="T711" i="1" s="1"/>
  <c r="P710" i="1"/>
  <c r="T710" i="1" s="1"/>
  <c r="P709" i="1"/>
  <c r="T709" i="1" s="1"/>
  <c r="P708" i="1"/>
  <c r="T708" i="1" s="1"/>
  <c r="P707" i="1"/>
  <c r="T707" i="1" s="1"/>
  <c r="P706" i="1"/>
  <c r="T706" i="1" s="1"/>
  <c r="P705" i="1"/>
  <c r="T705" i="1" s="1"/>
  <c r="P704" i="1"/>
  <c r="T704" i="1" s="1"/>
  <c r="P703" i="1"/>
  <c r="T703" i="1" s="1"/>
  <c r="P702" i="1"/>
  <c r="T702" i="1" s="1"/>
  <c r="P701" i="1"/>
  <c r="T701" i="1" s="1"/>
  <c r="P700" i="1"/>
  <c r="T700" i="1" s="1"/>
  <c r="P699" i="1"/>
  <c r="T699" i="1" s="1"/>
  <c r="P698" i="1"/>
  <c r="T698" i="1" s="1"/>
  <c r="P697" i="1"/>
  <c r="T697" i="1" s="1"/>
  <c r="P696" i="1"/>
  <c r="T696" i="1" s="1"/>
  <c r="P695" i="1"/>
  <c r="T695" i="1" s="1"/>
  <c r="P694" i="1"/>
  <c r="T694" i="1" s="1"/>
  <c r="P693" i="1"/>
  <c r="T693" i="1" s="1"/>
  <c r="P692" i="1"/>
  <c r="T692" i="1" s="1"/>
  <c r="P691" i="1"/>
  <c r="T691" i="1" s="1"/>
  <c r="P690" i="1"/>
  <c r="T690" i="1" s="1"/>
  <c r="P689" i="1"/>
  <c r="T689" i="1" s="1"/>
  <c r="P688" i="1"/>
  <c r="T688" i="1" s="1"/>
  <c r="P687" i="1"/>
  <c r="T687" i="1" s="1"/>
  <c r="T686" i="1"/>
  <c r="T685" i="1"/>
  <c r="P684" i="1"/>
  <c r="T684" i="1" s="1"/>
  <c r="P683" i="1"/>
  <c r="T683" i="1" s="1"/>
  <c r="T682" i="1"/>
  <c r="T681" i="1"/>
  <c r="P681" i="1"/>
  <c r="P680" i="1"/>
  <c r="T680" i="1" s="1"/>
  <c r="T679" i="1"/>
  <c r="P679" i="1"/>
  <c r="P678" i="1"/>
  <c r="T678" i="1" s="1"/>
  <c r="T677" i="1"/>
  <c r="P676" i="1"/>
  <c r="T676" i="1" s="1"/>
  <c r="T675" i="1"/>
  <c r="T674" i="1"/>
  <c r="T673" i="1"/>
  <c r="P672" i="1"/>
  <c r="T672" i="1" s="1"/>
  <c r="T671" i="1"/>
  <c r="T670" i="1"/>
  <c r="P669" i="1"/>
  <c r="T669" i="1" s="1"/>
  <c r="T668" i="1"/>
  <c r="P668" i="1"/>
  <c r="T667" i="1"/>
  <c r="P666" i="1"/>
  <c r="T666" i="1" s="1"/>
  <c r="P665" i="1"/>
  <c r="T665" i="1" s="1"/>
  <c r="P664" i="1"/>
  <c r="T664" i="1" s="1"/>
  <c r="T663" i="1"/>
  <c r="P662" i="1"/>
  <c r="T662" i="1" s="1"/>
  <c r="T661" i="1"/>
  <c r="T660" i="1"/>
  <c r="P659" i="1"/>
  <c r="T659" i="1" s="1"/>
  <c r="T658" i="1"/>
  <c r="P658" i="1"/>
  <c r="T657" i="1"/>
  <c r="T656" i="1"/>
  <c r="T655" i="1"/>
  <c r="T654" i="1"/>
  <c r="P653" i="1"/>
  <c r="T653" i="1" s="1"/>
  <c r="T652" i="1"/>
  <c r="T651" i="1"/>
  <c r="T650" i="1"/>
  <c r="P649" i="1"/>
  <c r="T649" i="1" s="1"/>
  <c r="P648" i="1"/>
  <c r="T648" i="1" s="1"/>
  <c r="P647" i="1"/>
  <c r="T647" i="1" s="1"/>
  <c r="T646" i="1"/>
  <c r="P645" i="1"/>
  <c r="T645" i="1" s="1"/>
  <c r="T644" i="1"/>
  <c r="P644" i="1"/>
  <c r="P643" i="1"/>
  <c r="T643" i="1" s="1"/>
  <c r="T642" i="1"/>
  <c r="T641" i="1"/>
  <c r="T640" i="1"/>
  <c r="T639" i="1"/>
  <c r="T638" i="1"/>
  <c r="T637" i="1"/>
  <c r="T636" i="1"/>
  <c r="P635" i="1"/>
  <c r="T635" i="1" s="1"/>
  <c r="P634" i="1"/>
  <c r="T634" i="1" s="1"/>
  <c r="P633" i="1"/>
  <c r="T633" i="1" s="1"/>
  <c r="P632" i="1"/>
  <c r="T632" i="1" s="1"/>
  <c r="P631" i="1"/>
  <c r="T631" i="1" s="1"/>
  <c r="P630" i="1"/>
  <c r="T630" i="1" s="1"/>
  <c r="P629" i="1"/>
  <c r="T629" i="1" s="1"/>
  <c r="P628" i="1"/>
  <c r="T628" i="1" s="1"/>
  <c r="P627" i="1"/>
  <c r="T627" i="1" s="1"/>
  <c r="P626" i="1"/>
  <c r="T626" i="1" s="1"/>
  <c r="P625" i="1"/>
  <c r="T625" i="1" s="1"/>
  <c r="P624" i="1"/>
  <c r="T624" i="1" s="1"/>
  <c r="P623" i="1"/>
  <c r="T623" i="1" s="1"/>
  <c r="P622" i="1"/>
  <c r="T622" i="1" s="1"/>
  <c r="P621" i="1"/>
  <c r="T621" i="1" s="1"/>
  <c r="P620" i="1"/>
  <c r="T620" i="1" s="1"/>
  <c r="P619" i="1"/>
  <c r="T619" i="1" s="1"/>
  <c r="P618" i="1"/>
  <c r="T618" i="1" s="1"/>
  <c r="P617" i="1"/>
  <c r="T617" i="1" s="1"/>
  <c r="P616" i="1"/>
  <c r="T616" i="1" s="1"/>
  <c r="P615" i="1"/>
  <c r="T615" i="1" s="1"/>
  <c r="P614" i="1"/>
  <c r="T614" i="1" s="1"/>
  <c r="P613" i="1"/>
  <c r="T613" i="1" s="1"/>
  <c r="P612" i="1"/>
  <c r="T612" i="1" s="1"/>
  <c r="P611" i="1"/>
  <c r="T611" i="1" s="1"/>
  <c r="P610" i="1"/>
  <c r="T610" i="1" s="1"/>
  <c r="P609" i="1"/>
  <c r="T609" i="1" s="1"/>
  <c r="P608" i="1"/>
  <c r="T608" i="1" s="1"/>
  <c r="P607" i="1"/>
  <c r="T607" i="1" s="1"/>
  <c r="P606" i="1"/>
  <c r="T606" i="1" s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<sst xmlns="http://schemas.openxmlformats.org/spreadsheetml/2006/main" count="12197" uniqueCount="2607">
  <si>
    <t>Major Road</t>
  </si>
  <si>
    <t>Minor Road</t>
  </si>
  <si>
    <t>Count ID</t>
  </si>
  <si>
    <t>Firm Counting</t>
  </si>
  <si>
    <t>District</t>
  </si>
  <si>
    <t>County</t>
  </si>
  <si>
    <t>Municipality</t>
  </si>
  <si>
    <t>Road Name</t>
  </si>
  <si>
    <t>Designation</t>
  </si>
  <si>
    <t>Segment</t>
  </si>
  <si>
    <t>Offset</t>
  </si>
  <si>
    <t>Latitude</t>
  </si>
  <si>
    <t>Longitude</t>
  </si>
  <si>
    <t>Local Road 24-Hour AADT</t>
  </si>
  <si>
    <t>Count Date</t>
  </si>
  <si>
    <t>Traffic Counter Type (i.e. ATR)</t>
  </si>
  <si>
    <t>Intersection Leg (i.e. East)</t>
  </si>
  <si>
    <t>Adjusted Counts</t>
  </si>
  <si>
    <t>COVID Adjustment Factors</t>
  </si>
  <si>
    <t>Tri-State</t>
  </si>
  <si>
    <t>Crawford</t>
  </si>
  <si>
    <t>Conneaut Lake Boro</t>
  </si>
  <si>
    <t>Water St</t>
  </si>
  <si>
    <t>SR 0006</t>
  </si>
  <si>
    <t>1st St</t>
  </si>
  <si>
    <t>Local Road</t>
  </si>
  <si>
    <t>N/A</t>
  </si>
  <si>
    <t>ATR</t>
  </si>
  <si>
    <t>South</t>
  </si>
  <si>
    <t>Vernon Twp</t>
  </si>
  <si>
    <t>Grand Army Of The Rep Hw</t>
  </si>
  <si>
    <t>Pine Rd</t>
  </si>
  <si>
    <t>Walmart Dwy / Toyota Dwy</t>
  </si>
  <si>
    <t>Video</t>
  </si>
  <si>
    <t>North</t>
  </si>
  <si>
    <t>Woodcock Twp</t>
  </si>
  <si>
    <t>French Creek Py</t>
  </si>
  <si>
    <t>E Cole Rd</t>
  </si>
  <si>
    <t>East</t>
  </si>
  <si>
    <t>Hayfield Twp</t>
  </si>
  <si>
    <t>Hill Rd</t>
  </si>
  <si>
    <t>Titusville City</t>
  </si>
  <si>
    <t>Central Av</t>
  </si>
  <si>
    <t>SR 0008</t>
  </si>
  <si>
    <t>N Washington St / S Washington St</t>
  </si>
  <si>
    <t>Spring St</t>
  </si>
  <si>
    <t>N 4th St</t>
  </si>
  <si>
    <t>Meadville City</t>
  </si>
  <si>
    <t>Washington St</t>
  </si>
  <si>
    <t>SR 0027</t>
  </si>
  <si>
    <t>N Morgan St</t>
  </si>
  <si>
    <t>Graff Ave</t>
  </si>
  <si>
    <t>East Mead Twp</t>
  </si>
  <si>
    <t>Sr 0027 Sh</t>
  </si>
  <si>
    <t>S Wayland Rd</t>
  </si>
  <si>
    <t>Oil Creek Twp</t>
  </si>
  <si>
    <t>Pastoris Rd / Pvt Dwy</t>
  </si>
  <si>
    <t>Local Road / Private Dwy</t>
  </si>
  <si>
    <t>N/A /N/A</t>
  </si>
  <si>
    <t>Hickory St</t>
  </si>
  <si>
    <t>SR 0077</t>
  </si>
  <si>
    <t>State St</t>
  </si>
  <si>
    <t xml:space="preserve">West </t>
  </si>
  <si>
    <t>Cussewago Twp</t>
  </si>
  <si>
    <t>Sr 0098 Sh</t>
  </si>
  <si>
    <t>SR 0098</t>
  </si>
  <si>
    <t>Center Rd</t>
  </si>
  <si>
    <t>Sr 0102 Sh</t>
  </si>
  <si>
    <t>SR 0102</t>
  </si>
  <si>
    <t>Williams St</t>
  </si>
  <si>
    <t>Dickson St</t>
  </si>
  <si>
    <t>SR 0198</t>
  </si>
  <si>
    <t>Wolf Rd</t>
  </si>
  <si>
    <t>West Fallowfield Twp</t>
  </si>
  <si>
    <t>Twentyeighth Division Hw</t>
  </si>
  <si>
    <t>SR 0322</t>
  </si>
  <si>
    <t>Crystal Lake Rd</t>
  </si>
  <si>
    <t>Main St</t>
  </si>
  <si>
    <t>SR 0886</t>
  </si>
  <si>
    <t>Church St / Rose Ln</t>
  </si>
  <si>
    <t>Sr 0886 Sh</t>
  </si>
  <si>
    <t>Craig Rd</t>
  </si>
  <si>
    <t>Woodcock Ln</t>
  </si>
  <si>
    <t>Park Av Et</t>
  </si>
  <si>
    <t>SR 1001</t>
  </si>
  <si>
    <t>Cole Rd</t>
  </si>
  <si>
    <t>Morris Rd</t>
  </si>
  <si>
    <t>Saegertown Boro</t>
  </si>
  <si>
    <t>Erie St</t>
  </si>
  <si>
    <t>SR 1004</t>
  </si>
  <si>
    <t>Grant St</t>
  </si>
  <si>
    <t>Liberty St</t>
  </si>
  <si>
    <t>SR 2035</t>
  </si>
  <si>
    <t>Walnut St</t>
  </si>
  <si>
    <t>Baldwin St</t>
  </si>
  <si>
    <t>SR 2037</t>
  </si>
  <si>
    <t>Prospect St</t>
  </si>
  <si>
    <t>West Mead Twp</t>
  </si>
  <si>
    <t>Baldwin St Et</t>
  </si>
  <si>
    <t>Walker Dr</t>
  </si>
  <si>
    <t>East Fallowfield Twp</t>
  </si>
  <si>
    <t>Adamsville Rd</t>
  </si>
  <si>
    <t>SR 3004</t>
  </si>
  <si>
    <t>Kellogg Rd</t>
  </si>
  <si>
    <t>Krider Rd</t>
  </si>
  <si>
    <t>SR 3025</t>
  </si>
  <si>
    <t>Mullen Rd</t>
  </si>
  <si>
    <t>Erie</t>
  </si>
  <si>
    <t>Erie City</t>
  </si>
  <si>
    <t>Twelfth St</t>
  </si>
  <si>
    <t>SR 0005</t>
  </si>
  <si>
    <t>Holland St</t>
  </si>
  <si>
    <t>Greene Twp</t>
  </si>
  <si>
    <t>Wattsburg Rd</t>
  </si>
  <si>
    <t>Dewey Rd / Dutch Rd</t>
  </si>
  <si>
    <t>Millcreek Twp</t>
  </si>
  <si>
    <t>Schrimper Rd</t>
  </si>
  <si>
    <t>Pine Av</t>
  </si>
  <si>
    <t>E 33rd St / Driveway</t>
  </si>
  <si>
    <t>Conneaut Twp</t>
  </si>
  <si>
    <t>Sr 0018 Sh</t>
  </si>
  <si>
    <t>SR 0018</t>
  </si>
  <si>
    <t>Pennside Rd / Moses Rd</t>
  </si>
  <si>
    <t>Waterford Boro</t>
  </si>
  <si>
    <t>High St</t>
  </si>
  <si>
    <t>SR 0019</t>
  </si>
  <si>
    <t>5th St</t>
  </si>
  <si>
    <t>Summit Twp</t>
  </si>
  <si>
    <t>Peach St</t>
  </si>
  <si>
    <t>New Rd</t>
  </si>
  <si>
    <t>Zimmerly Rd / W 54th St</t>
  </si>
  <si>
    <t>Girard Twp</t>
  </si>
  <si>
    <t>Ridge Rd</t>
  </si>
  <si>
    <t>SR 0020</t>
  </si>
  <si>
    <t>Townline Rd / Cross Station Rd</t>
  </si>
  <si>
    <t>Imperial Pkwy</t>
  </si>
  <si>
    <t>Fairplan Rd</t>
  </si>
  <si>
    <t>Colonial Ave</t>
  </si>
  <si>
    <t>Twentysixth St</t>
  </si>
  <si>
    <t>Lowell Ave / Driveway</t>
  </si>
  <si>
    <t>Rudolph Ave</t>
  </si>
  <si>
    <t>Hudson St / Geist Rd</t>
  </si>
  <si>
    <t>Cascade St</t>
  </si>
  <si>
    <t>Chestnut St</t>
  </si>
  <si>
    <t>Myrtle St</t>
  </si>
  <si>
    <t>Perry St</t>
  </si>
  <si>
    <t>East Ave</t>
  </si>
  <si>
    <t>Harborcreek Twp</t>
  </si>
  <si>
    <t>Buffalo Rd</t>
  </si>
  <si>
    <t>Gifford Dr</t>
  </si>
  <si>
    <t>North East Twp</t>
  </si>
  <si>
    <t>Brickyard Road</t>
  </si>
  <si>
    <t>Fairview Twp</t>
  </si>
  <si>
    <t>Sterrettania Rd</t>
  </si>
  <si>
    <t>SR 0832</t>
  </si>
  <si>
    <t>Platz Rd</t>
  </si>
  <si>
    <t>Middle Rd</t>
  </si>
  <si>
    <t>SR 4002</t>
  </si>
  <si>
    <t>Fairplain Rd</t>
  </si>
  <si>
    <t>Oliver Rd</t>
  </si>
  <si>
    <t>SR 4008</t>
  </si>
  <si>
    <t>Hamot Rd</t>
  </si>
  <si>
    <t>Grandview Bl</t>
  </si>
  <si>
    <t>SR 4014</t>
  </si>
  <si>
    <t>Green Garden Blvd</t>
  </si>
  <si>
    <t>38th St</t>
  </si>
  <si>
    <t>SR 4016</t>
  </si>
  <si>
    <t>Robison Rd</t>
  </si>
  <si>
    <t>SR 4024</t>
  </si>
  <si>
    <t>Old French Rd</t>
  </si>
  <si>
    <t>Mercer</t>
  </si>
  <si>
    <t>Pymatuning Twp</t>
  </si>
  <si>
    <t>Kidds Mill Rd</t>
  </si>
  <si>
    <t>SR 4012</t>
  </si>
  <si>
    <t>North River Rd</t>
  </si>
  <si>
    <t>Venango</t>
  </si>
  <si>
    <t>Barkeyville Boro</t>
  </si>
  <si>
    <t>William Flynn  Hw</t>
  </si>
  <si>
    <t>Gibb Rd</t>
  </si>
  <si>
    <t>Franklin City</t>
  </si>
  <si>
    <t>Fifteenth St</t>
  </si>
  <si>
    <t>Evergreen Dr / Private Dwy</t>
  </si>
  <si>
    <t>Polk Boro</t>
  </si>
  <si>
    <t>SR 0062</t>
  </si>
  <si>
    <t>School Dr</t>
  </si>
  <si>
    <t>12th St</t>
  </si>
  <si>
    <t>Sugarcreek Boro</t>
  </si>
  <si>
    <t>Allegheny Bl</t>
  </si>
  <si>
    <t>Private Dwy</t>
  </si>
  <si>
    <t>Cranberry Twp</t>
  </si>
  <si>
    <t>Salina Rd</t>
  </si>
  <si>
    <t>SR 0257</t>
  </si>
  <si>
    <t>Fairfield Dr /  Pvt Dwy</t>
  </si>
  <si>
    <t>Education Dr</t>
  </si>
  <si>
    <t>Meadow Rd / Private Dwy</t>
  </si>
  <si>
    <t>Astral Rd</t>
  </si>
  <si>
    <t>Home Depot Dr</t>
  </si>
  <si>
    <t>Ross Dr / Cranberry Mall Dwy</t>
  </si>
  <si>
    <t>Regina Dr / Cranberry Mall Dwy</t>
  </si>
  <si>
    <t>Rocky Grove Av</t>
  </si>
  <si>
    <t>SR 0417</t>
  </si>
  <si>
    <t>Gilfillan St</t>
  </si>
  <si>
    <t>Warren Rd</t>
  </si>
  <si>
    <t>Halyday Run Rd</t>
  </si>
  <si>
    <t>SR 0428</t>
  </si>
  <si>
    <t>Shaffer Run Rd</t>
  </si>
  <si>
    <t>Oil City City</t>
  </si>
  <si>
    <t>Plummer St</t>
  </si>
  <si>
    <t>Grove Ave / Murray St</t>
  </si>
  <si>
    <t>Pearl Ave</t>
  </si>
  <si>
    <t>Hone Ave</t>
  </si>
  <si>
    <t>Bredinsburg Rd</t>
  </si>
  <si>
    <t>SR 2006</t>
  </si>
  <si>
    <t>Osenider Rd</t>
  </si>
  <si>
    <t>Innis St</t>
  </si>
  <si>
    <t>SR 2027</t>
  </si>
  <si>
    <t>Fifth St</t>
  </si>
  <si>
    <t>Warren</t>
  </si>
  <si>
    <t>Pittsfield Twp</t>
  </si>
  <si>
    <t>Miles Run Rd</t>
  </si>
  <si>
    <t>Brokenstraw Twp</t>
  </si>
  <si>
    <t>Abraham Hollow Rd</t>
  </si>
  <si>
    <t>Conewango Twp</t>
  </si>
  <si>
    <t>Weiler Rd</t>
  </si>
  <si>
    <t>Clarendon Boro</t>
  </si>
  <si>
    <t>Brown Ave / Private Dwy</t>
  </si>
  <si>
    <t>Mead Twp</t>
  </si>
  <si>
    <t>Kinzua Rd</t>
  </si>
  <si>
    <t>SR 0059</t>
  </si>
  <si>
    <t>Keenan St</t>
  </si>
  <si>
    <t>Warren City</t>
  </si>
  <si>
    <t>Pennsylvania Av</t>
  </si>
  <si>
    <t>Beech St</t>
  </si>
  <si>
    <t>Market St</t>
  </si>
  <si>
    <t>Farm Colony Dr</t>
  </si>
  <si>
    <t>Sheffield Twp</t>
  </si>
  <si>
    <t>David Zeisberger Hw</t>
  </si>
  <si>
    <t>SR 0666</t>
  </si>
  <si>
    <t>Henrys Mill Rd</t>
  </si>
  <si>
    <t>Deerfield Twp</t>
  </si>
  <si>
    <t>Davey Hill Rd</t>
  </si>
  <si>
    <t>SR 3007</t>
  </si>
  <si>
    <t>Althom Rd</t>
  </si>
  <si>
    <t>Penna Av</t>
  </si>
  <si>
    <t>SR 6006</t>
  </si>
  <si>
    <t>Central Ave</t>
  </si>
  <si>
    <t>Cameron</t>
  </si>
  <si>
    <t>Gibson Twp</t>
  </si>
  <si>
    <t>Wykoff Run Rd</t>
  </si>
  <si>
    <t>SR 2001</t>
  </si>
  <si>
    <t>Old Wykoff Run Rd</t>
  </si>
  <si>
    <t>Centre</t>
  </si>
  <si>
    <t>Ferguson Twp</t>
  </si>
  <si>
    <t>College Av</t>
  </si>
  <si>
    <t>SR 0026</t>
  </si>
  <si>
    <t>Bristol Ave</t>
  </si>
  <si>
    <t>State College Boro</t>
  </si>
  <si>
    <t>Patterson St</t>
  </si>
  <si>
    <t>Gill St</t>
  </si>
  <si>
    <t>Beaver Av</t>
  </si>
  <si>
    <t>McAllister St</t>
  </si>
  <si>
    <t>Hetzel St</t>
  </si>
  <si>
    <t>College Twp</t>
  </si>
  <si>
    <t>Nittany Commons Rd</t>
  </si>
  <si>
    <t>Private Rd</t>
  </si>
  <si>
    <t>Gerald St / Struble Rd</t>
  </si>
  <si>
    <t>Harris Twp</t>
  </si>
  <si>
    <t>Earlystown Rd</t>
  </si>
  <si>
    <t>SR 0045</t>
  </si>
  <si>
    <t>Rosslyn Rd</t>
  </si>
  <si>
    <t>Potter Twp</t>
  </si>
  <si>
    <t>Homan Ln</t>
  </si>
  <si>
    <t>Gregg Twp</t>
  </si>
  <si>
    <t>Ross Hill Rd</t>
  </si>
  <si>
    <t>Shook Hollow Rd</t>
  </si>
  <si>
    <t>Penn Valley Rd</t>
  </si>
  <si>
    <t>Walker Twp</t>
  </si>
  <si>
    <t>Nittany Valley Dr</t>
  </si>
  <si>
    <t>SR 0064</t>
  </si>
  <si>
    <t>Wise Rd</t>
  </si>
  <si>
    <t>Sr 0144 Sh</t>
  </si>
  <si>
    <t>SR 0144</t>
  </si>
  <si>
    <t>Short Rd</t>
  </si>
  <si>
    <t xml:space="preserve">Bible Rd / Short Rd </t>
  </si>
  <si>
    <t>Centre Hall Boro</t>
  </si>
  <si>
    <t>Ridge  St</t>
  </si>
  <si>
    <t>Spring Twp</t>
  </si>
  <si>
    <t>Centre Hall Mtn Rd</t>
  </si>
  <si>
    <t>Black Hawk Road</t>
  </si>
  <si>
    <t>Benner Twp</t>
  </si>
  <si>
    <t>Willowbank St</t>
  </si>
  <si>
    <t>SR 0150</t>
  </si>
  <si>
    <t xml:space="preserve">Stonecrest Dr / District Court </t>
  </si>
  <si>
    <t>Boggs Twp</t>
  </si>
  <si>
    <t>Bald Eagle Valley Rd</t>
  </si>
  <si>
    <t>Curtlin Hollow Road</t>
  </si>
  <si>
    <t>Howard Twp</t>
  </si>
  <si>
    <t>Schencks Grove Rd / Main Park Rd</t>
  </si>
  <si>
    <t>Liberty Twp</t>
  </si>
  <si>
    <t>N Liberty St / Liberty St</t>
  </si>
  <si>
    <t>Patton Twp</t>
  </si>
  <si>
    <t>North Atherton St</t>
  </si>
  <si>
    <t>SR 3014</t>
  </si>
  <si>
    <t>Patriot Ln / Private Dwy</t>
  </si>
  <si>
    <t>South Atherton St</t>
  </si>
  <si>
    <t>Logan Ave</t>
  </si>
  <si>
    <t>Pugh St / Private Dwy</t>
  </si>
  <si>
    <t>University Dr</t>
  </si>
  <si>
    <t>SR 3018</t>
  </si>
  <si>
    <t>Marylyn Ave / Private Dwy</t>
  </si>
  <si>
    <t>SR 3022</t>
  </si>
  <si>
    <t>Curtin Rd</t>
  </si>
  <si>
    <t>Clearfield</t>
  </si>
  <si>
    <t>Coalport Boro</t>
  </si>
  <si>
    <t>SR 0053</t>
  </si>
  <si>
    <t>Franklin St</t>
  </si>
  <si>
    <t>Beccaria Twp</t>
  </si>
  <si>
    <t>53 Blvd</t>
  </si>
  <si>
    <t>Shore Ln</t>
  </si>
  <si>
    <t>Bigler Twp</t>
  </si>
  <si>
    <t>Front St</t>
  </si>
  <si>
    <t>Mo Valley Rd</t>
  </si>
  <si>
    <t>Morris Twp</t>
  </si>
  <si>
    <t>Philipsburg Area Hw</t>
  </si>
  <si>
    <t>Lil Troy Dr</t>
  </si>
  <si>
    <t>Sandy Twp</t>
  </si>
  <si>
    <t>Blinker Py</t>
  </si>
  <si>
    <t>SR 0119</t>
  </si>
  <si>
    <t>S Main St Et / Sheetz Dwy</t>
  </si>
  <si>
    <t>Lawrence Twp</t>
  </si>
  <si>
    <t>Crooked Sewer Hw</t>
  </si>
  <si>
    <t>SR 0153</t>
  </si>
  <si>
    <t>Waring Rd</t>
  </si>
  <si>
    <t>Fire Tower Rd</t>
  </si>
  <si>
    <t>Clearfield Boro</t>
  </si>
  <si>
    <t>Pine St</t>
  </si>
  <si>
    <t>Dubois City</t>
  </si>
  <si>
    <t>Dubois Av</t>
  </si>
  <si>
    <t>SR 0219</t>
  </si>
  <si>
    <t>First St</t>
  </si>
  <si>
    <t>East Dubois Av</t>
  </si>
  <si>
    <t>SR 0255</t>
  </si>
  <si>
    <t>College Pl</t>
  </si>
  <si>
    <t>Bee Line Hy</t>
  </si>
  <si>
    <t>Old 255 Rd</t>
  </si>
  <si>
    <t>Coral Reef Rd</t>
  </si>
  <si>
    <t>Bridge St</t>
  </si>
  <si>
    <t>Third St</t>
  </si>
  <si>
    <t>Woodland Rd</t>
  </si>
  <si>
    <t>Nineteenth St</t>
  </si>
  <si>
    <t>Bradford Twp</t>
  </si>
  <si>
    <t>Peters Rd / Turner Rd</t>
  </si>
  <si>
    <t>Decatur Twp</t>
  </si>
  <si>
    <t>Irwin Dr</t>
  </si>
  <si>
    <t>Shawville Rd</t>
  </si>
  <si>
    <t>SR 0879</t>
  </si>
  <si>
    <t>Walmart Dwy / Sheetz Dwy</t>
  </si>
  <si>
    <t>Private Dwy / Private Dwy</t>
  </si>
  <si>
    <t>Sr 0970 Sh</t>
  </si>
  <si>
    <t>SR 0970</t>
  </si>
  <si>
    <t>Owens Rd / Doe Hill Rd</t>
  </si>
  <si>
    <t>Washington Av</t>
  </si>
  <si>
    <t>Lawhead St</t>
  </si>
  <si>
    <t>South Second St</t>
  </si>
  <si>
    <t>George St</t>
  </si>
  <si>
    <t>Clark St</t>
  </si>
  <si>
    <t>Glen Richey Hw</t>
  </si>
  <si>
    <t>SR 2023</t>
  </si>
  <si>
    <t>Log Cabin Rd / Antes Hil Rd</t>
  </si>
  <si>
    <t>Clinton</t>
  </si>
  <si>
    <t>Porter Twp</t>
  </si>
  <si>
    <t>Sr 0064 Sh</t>
  </si>
  <si>
    <t>Peach Orchard Rd</t>
  </si>
  <si>
    <t>Mill Hall Boro</t>
  </si>
  <si>
    <t>Girard St</t>
  </si>
  <si>
    <t>Eagle Valley Rd</t>
  </si>
  <si>
    <t>Willow Ln</t>
  </si>
  <si>
    <t>Bald Eagle Twp</t>
  </si>
  <si>
    <t>Hogan Blvd</t>
  </si>
  <si>
    <t>King Arthur Dr / Millbrook Plz</t>
  </si>
  <si>
    <t>Local Road / Private Rd</t>
  </si>
  <si>
    <t xml:space="preserve">N/A </t>
  </si>
  <si>
    <t>Flemington Boro</t>
  </si>
  <si>
    <t>Canal St</t>
  </si>
  <si>
    <t>Lock Haven City</t>
  </si>
  <si>
    <t>Frederick St / Irwin St</t>
  </si>
  <si>
    <t>Barton St / Second Ave</t>
  </si>
  <si>
    <t>Bellefonte Av</t>
  </si>
  <si>
    <t>Commerce St</t>
  </si>
  <si>
    <t>Fairview St</t>
  </si>
  <si>
    <t>SR 1024</t>
  </si>
  <si>
    <t>Fourth St</t>
  </si>
  <si>
    <t>Elk</t>
  </si>
  <si>
    <t>Ridgway Boro</t>
  </si>
  <si>
    <t>SR 0120</t>
  </si>
  <si>
    <t>Upper Front St</t>
  </si>
  <si>
    <t>St Marys City</t>
  </si>
  <si>
    <t>Bucktail Trail Hw</t>
  </si>
  <si>
    <t>Belsole Rd</t>
  </si>
  <si>
    <t>Ridgway Rd / State St</t>
  </si>
  <si>
    <t>0210 / 0220</t>
  </si>
  <si>
    <t>2747 / 0000</t>
  </si>
  <si>
    <t>Sugar Hill Rd</t>
  </si>
  <si>
    <t>Jay Twp</t>
  </si>
  <si>
    <t>Sr 0255 Sh</t>
  </si>
  <si>
    <t>Chestnut Ave</t>
  </si>
  <si>
    <t>Fox Twp</t>
  </si>
  <si>
    <t>Million Dollar Hw</t>
  </si>
  <si>
    <t>Arbutus Ln</t>
  </si>
  <si>
    <t>West Theresa Rd</t>
  </si>
  <si>
    <t>Earth Rd</t>
  </si>
  <si>
    <t>Haller Rd / Private Dwy</t>
  </si>
  <si>
    <t>Saint Marys St</t>
  </si>
  <si>
    <t>Arch St</t>
  </si>
  <si>
    <t>Paul Rd</t>
  </si>
  <si>
    <t>SR 0948</t>
  </si>
  <si>
    <t>Elk Ave / Private Dwy</t>
  </si>
  <si>
    <t>Montmorenci Av</t>
  </si>
  <si>
    <t>Dewey Circle</t>
  </si>
  <si>
    <t>St Marys Rd</t>
  </si>
  <si>
    <t>Parade Street / Evers Avenue</t>
  </si>
  <si>
    <t>SR 1003</t>
  </si>
  <si>
    <t>Lafayette Street</t>
  </si>
  <si>
    <t>Michael St</t>
  </si>
  <si>
    <t>SR 2008</t>
  </si>
  <si>
    <t>Beech Road</t>
  </si>
  <si>
    <t>Juniata</t>
  </si>
  <si>
    <t>Fermanagh Twp</t>
  </si>
  <si>
    <t>Sr 0035 Sh</t>
  </si>
  <si>
    <t>SR 0035</t>
  </si>
  <si>
    <t>Parkside Ct</t>
  </si>
  <si>
    <t>Delaware Twp</t>
  </si>
  <si>
    <t>Sr 0235 Sh</t>
  </si>
  <si>
    <t>SR 0235</t>
  </si>
  <si>
    <t>Black Dog Rd</t>
  </si>
  <si>
    <t>Milford Twp</t>
  </si>
  <si>
    <t>Sr 0333 Sh</t>
  </si>
  <si>
    <t>SR 0333</t>
  </si>
  <si>
    <t>River Rd</t>
  </si>
  <si>
    <t>Mckean</t>
  </si>
  <si>
    <t>Wetmore Twp</t>
  </si>
  <si>
    <t>Grand Army Of The Repu Hw</t>
  </si>
  <si>
    <t>Midway Rd</t>
  </si>
  <si>
    <t>Keating Twp</t>
  </si>
  <si>
    <t>East St</t>
  </si>
  <si>
    <t>Kleisath Rd</t>
  </si>
  <si>
    <t>Pierce Brook Rd</t>
  </si>
  <si>
    <t>Bradford City</t>
  </si>
  <si>
    <t>SR 0346</t>
  </si>
  <si>
    <t>Bennett Street</t>
  </si>
  <si>
    <t>Washington St / South Ave</t>
  </si>
  <si>
    <t>Barbour St / Boylston St</t>
  </si>
  <si>
    <t>Forman St</t>
  </si>
  <si>
    <t>Vavalo Drive</t>
  </si>
  <si>
    <t>Tarport Road</t>
  </si>
  <si>
    <t>Foster Twp</t>
  </si>
  <si>
    <t>Derrick Rd</t>
  </si>
  <si>
    <t>Skaggs Drive</t>
  </si>
  <si>
    <t>SR 4005</t>
  </si>
  <si>
    <t>Futures Way</t>
  </si>
  <si>
    <t>Mifflin</t>
  </si>
  <si>
    <t>Granville Twp</t>
  </si>
  <si>
    <t>Delaware Av</t>
  </si>
  <si>
    <t>SR 0103</t>
  </si>
  <si>
    <t>Helen Street</t>
  </si>
  <si>
    <t>Belle Av</t>
  </si>
  <si>
    <t>Belle Ave</t>
  </si>
  <si>
    <t>Derry Twp</t>
  </si>
  <si>
    <t>Glenwood Rd</t>
  </si>
  <si>
    <t>SR 0522</t>
  </si>
  <si>
    <t>Landfill Road</t>
  </si>
  <si>
    <t>Peachwood Ave</t>
  </si>
  <si>
    <t>Union Twp</t>
  </si>
  <si>
    <t>Sr 0655 Sh</t>
  </si>
  <si>
    <t>SR 0655</t>
  </si>
  <si>
    <t>Applehouse Rd</t>
  </si>
  <si>
    <t>N Dryhouse Rd / S Dryhouse Rd</t>
  </si>
  <si>
    <t>Brown Twp</t>
  </si>
  <si>
    <t>Carriage House Lane / Gateway Drive</t>
  </si>
  <si>
    <t>Lewistown Boro</t>
  </si>
  <si>
    <t>Valley St</t>
  </si>
  <si>
    <t>SR 1005</t>
  </si>
  <si>
    <t>Pine Street</t>
  </si>
  <si>
    <t>Electric Av</t>
  </si>
  <si>
    <t>2nd Street</t>
  </si>
  <si>
    <t>Armagh Twp</t>
  </si>
  <si>
    <t>Milroy Rd</t>
  </si>
  <si>
    <t>Auto Auction Circle / Commerce Drive</t>
  </si>
  <si>
    <t>Green Av Et</t>
  </si>
  <si>
    <t>SR 2004</t>
  </si>
  <si>
    <t xml:space="preserve">Knepp Avenue </t>
  </si>
  <si>
    <t>SR 3001</t>
  </si>
  <si>
    <t>Fleming Ave</t>
  </si>
  <si>
    <t>Tr 0022 Business</t>
  </si>
  <si>
    <t>SR 3002</t>
  </si>
  <si>
    <t>LC to Wal Mart</t>
  </si>
  <si>
    <t>Franklin Ave</t>
  </si>
  <si>
    <t>3rd Street / River Access Road</t>
  </si>
  <si>
    <t>E Charles St</t>
  </si>
  <si>
    <t>Dorcas Street / Kishacoquillas Street</t>
  </si>
  <si>
    <t>Mcveytown Boro</t>
  </si>
  <si>
    <t>John St</t>
  </si>
  <si>
    <t>West Freedom Av</t>
  </si>
  <si>
    <t>SR 4013</t>
  </si>
  <si>
    <t>Mifflin County Commons / Commons Blvd</t>
  </si>
  <si>
    <t>Potter</t>
  </si>
  <si>
    <t>Coudersport Boro</t>
  </si>
  <si>
    <t>Eulalia St</t>
  </si>
  <si>
    <t>S West St</t>
  </si>
  <si>
    <t>Second St</t>
  </si>
  <si>
    <t>Allegany Twp</t>
  </si>
  <si>
    <t>Hollow Rd</t>
  </si>
  <si>
    <t>Long Rd</t>
  </si>
  <si>
    <t>Bradford</t>
  </si>
  <si>
    <t>Troy Twp</t>
  </si>
  <si>
    <t>Grand Army Of Republic Hw</t>
  </si>
  <si>
    <t>E Main St / Barrett Hill Rd</t>
  </si>
  <si>
    <t>West</t>
  </si>
  <si>
    <t>West Burlington Twp</t>
  </si>
  <si>
    <t>Lampman Dr</t>
  </si>
  <si>
    <t>North Towanda Twp</t>
  </si>
  <si>
    <t>Tomahawk Rd</t>
  </si>
  <si>
    <t>Reuter Bl</t>
  </si>
  <si>
    <t>Colonial Dr</t>
  </si>
  <si>
    <t>Hospital Dr</t>
  </si>
  <si>
    <t>Towanda Boro</t>
  </si>
  <si>
    <t>Elizabeth St</t>
  </si>
  <si>
    <t>Wysox Twp</t>
  </si>
  <si>
    <t>Ennis Ln</t>
  </si>
  <si>
    <t>Wyalusing Twp</t>
  </si>
  <si>
    <t>Pond Hollow Ln / Cross Rd</t>
  </si>
  <si>
    <t>Wyalusing Boro</t>
  </si>
  <si>
    <t>Tuscarora Twp</t>
  </si>
  <si>
    <t>Old Route 6 Rd</t>
  </si>
  <si>
    <t>Canton Twp</t>
  </si>
  <si>
    <t>Springbrook Dr</t>
  </si>
  <si>
    <t>SR 0014</t>
  </si>
  <si>
    <t>Lycoming St / South Ave</t>
  </si>
  <si>
    <t>Rome Twp</t>
  </si>
  <si>
    <t>Rome Rd</t>
  </si>
  <si>
    <t>SR 0187</t>
  </si>
  <si>
    <t>Maximus Ln</t>
  </si>
  <si>
    <t>Monroe Twp</t>
  </si>
  <si>
    <t>Sr 0220 Sh</t>
  </si>
  <si>
    <t>SR 0220</t>
  </si>
  <si>
    <t>S Branch Rd</t>
  </si>
  <si>
    <t>Shores Hill Rd</t>
  </si>
  <si>
    <t>SR 1035</t>
  </si>
  <si>
    <t>Post Rd</t>
  </si>
  <si>
    <t>Athens Twp</t>
  </si>
  <si>
    <t>Elmira St</t>
  </si>
  <si>
    <t>SR 1069</t>
  </si>
  <si>
    <t>Walmart Plaza Drive</t>
  </si>
  <si>
    <t>Westbrook Street / Private Driveway</t>
  </si>
  <si>
    <t>Local / Private Driveway</t>
  </si>
  <si>
    <t>Lowes Plaza / Calvin C. Cole, Inc.</t>
  </si>
  <si>
    <t>Patterson Bl</t>
  </si>
  <si>
    <t>SR 2036</t>
  </si>
  <si>
    <t>Plaza Dr</t>
  </si>
  <si>
    <t>Towanda Twp</t>
  </si>
  <si>
    <t>Bridge Street Hill Rd</t>
  </si>
  <si>
    <t>Mahoney Rd</t>
  </si>
  <si>
    <t>Wilawana Rd</t>
  </si>
  <si>
    <t>SR 4022</t>
  </si>
  <si>
    <t>King Rd / White Wagon Rd</t>
  </si>
  <si>
    <t>Lycoming</t>
  </si>
  <si>
    <t>Clinton Twp</t>
  </si>
  <si>
    <t>Marine Corps Leag Mem Hw</t>
  </si>
  <si>
    <t>SR 0015</t>
  </si>
  <si>
    <t>Allenwood Camp Ln / McNett Rd</t>
  </si>
  <si>
    <t>Nippenose Twp</t>
  </si>
  <si>
    <t>Sr 0044 Sh</t>
  </si>
  <si>
    <t>SR 0044</t>
  </si>
  <si>
    <t>Antes Fort Main St</t>
  </si>
  <si>
    <t>Sr 0054 Sh</t>
  </si>
  <si>
    <t>SR 0054</t>
  </si>
  <si>
    <t>Brouse Rd / Old Rd</t>
  </si>
  <si>
    <t>Plunketts Creek Twp</t>
  </si>
  <si>
    <t>Sr 0087 Sh</t>
  </si>
  <si>
    <t>SR 0087</t>
  </si>
  <si>
    <t>Little Bear Creek Rd</t>
  </si>
  <si>
    <t>Wolf Twp</t>
  </si>
  <si>
    <t>Lairdsville Rd</t>
  </si>
  <si>
    <t>SR 0118</t>
  </si>
  <si>
    <t>T-863</t>
  </si>
  <si>
    <t>Jordan Twp</t>
  </si>
  <si>
    <t>Woods Rd</t>
  </si>
  <si>
    <t>Woodward Twp</t>
  </si>
  <si>
    <t>Reynolds Rd / Front St</t>
  </si>
  <si>
    <t>Muncy Twp</t>
  </si>
  <si>
    <t>Narber Fry Rd</t>
  </si>
  <si>
    <t>Shrewsbury Twp</t>
  </si>
  <si>
    <t>Roaring Run Rd</t>
  </si>
  <si>
    <t>Salladasburg Boro</t>
  </si>
  <si>
    <t>Sr 0287 Sh</t>
  </si>
  <si>
    <t>SR 0287</t>
  </si>
  <si>
    <t>Church St</t>
  </si>
  <si>
    <t>Hughesville Boro</t>
  </si>
  <si>
    <t>SR 0405</t>
  </si>
  <si>
    <t>Cemetery Street / Broadway Street</t>
  </si>
  <si>
    <t>Old Lycoming Twp</t>
  </si>
  <si>
    <t>Lycoming Creek Rd</t>
  </si>
  <si>
    <t>SR 1017</t>
  </si>
  <si>
    <t>Roosevelt Avenue</t>
  </si>
  <si>
    <t>Vesta Avenue</t>
  </si>
  <si>
    <t>Loyalsock Twp</t>
  </si>
  <si>
    <t>SR 2014</t>
  </si>
  <si>
    <t>Russell Avenue</t>
  </si>
  <si>
    <t>Lycoming Mall Dr</t>
  </si>
  <si>
    <t>Eastern Mall Dr</t>
  </si>
  <si>
    <t>Williamsport City</t>
  </si>
  <si>
    <t>North Street</t>
  </si>
  <si>
    <t>Local</t>
  </si>
  <si>
    <t>Muncy Creek Twp</t>
  </si>
  <si>
    <t>Clarkstown Rd</t>
  </si>
  <si>
    <t>SR 2061</t>
  </si>
  <si>
    <t>Fogelman Rd</t>
  </si>
  <si>
    <t>Tioga</t>
  </si>
  <si>
    <t>Wellsboro Boro</t>
  </si>
  <si>
    <t>Tioga St</t>
  </si>
  <si>
    <t>Old Tioga St / Private Dwy</t>
  </si>
  <si>
    <t>Local / Private Dwy</t>
  </si>
  <si>
    <t>East Av</t>
  </si>
  <si>
    <t>Walnut St / Private Dwy</t>
  </si>
  <si>
    <t>McInroy St / Grant St</t>
  </si>
  <si>
    <t>Richmond Twp</t>
  </si>
  <si>
    <t>E Roosevelt Hw</t>
  </si>
  <si>
    <t>Westgate Rd</t>
  </si>
  <si>
    <t>Sr 0014 Sh</t>
  </si>
  <si>
    <t>Mill Hill Rd</t>
  </si>
  <si>
    <t>Sr 0414 Sh</t>
  </si>
  <si>
    <t>SR 0414</t>
  </si>
  <si>
    <t>Doane Flats Ln</t>
  </si>
  <si>
    <t>Main St (Bus.15)</t>
  </si>
  <si>
    <t>SR 2005</t>
  </si>
  <si>
    <t>Brueilly Rd / Private Dwy</t>
  </si>
  <si>
    <t>Mansfield Boro</t>
  </si>
  <si>
    <t>Fourth St / Private Dwy</t>
  </si>
  <si>
    <t>Union</t>
  </si>
  <si>
    <t>Mifflinburg Boro</t>
  </si>
  <si>
    <t>Industrial Park Rd</t>
  </si>
  <si>
    <t>Meadow Green Dr / Mabel St</t>
  </si>
  <si>
    <t>Forest Hill Rd</t>
  </si>
  <si>
    <t>Lackawanna</t>
  </si>
  <si>
    <t>Scranton City</t>
  </si>
  <si>
    <t>Joseph M Mcdade Ex</t>
  </si>
  <si>
    <t>SR 0011</t>
  </si>
  <si>
    <t>Mifflin Ave</t>
  </si>
  <si>
    <t>Scott Twp</t>
  </si>
  <si>
    <t>Heartlake Rd</t>
  </si>
  <si>
    <t>SR 0107</t>
  </si>
  <si>
    <t>Jermyn Farm Rd</t>
  </si>
  <si>
    <t>Wildcat Rd</t>
  </si>
  <si>
    <t>SR 0247</t>
  </si>
  <si>
    <t>Mary St</t>
  </si>
  <si>
    <t>School Entr Rd</t>
  </si>
  <si>
    <t>Spring Brook Twp</t>
  </si>
  <si>
    <t>Scranton Pocono Hw</t>
  </si>
  <si>
    <t>SR 0307</t>
  </si>
  <si>
    <t>Laurel Rd</t>
  </si>
  <si>
    <t>Roaring Brook Twp</t>
  </si>
  <si>
    <t>Homestead Dr</t>
  </si>
  <si>
    <t>Newton Twp</t>
  </si>
  <si>
    <t>Winola Rd</t>
  </si>
  <si>
    <t>Camelot Dr</t>
  </si>
  <si>
    <t>Jefferson Twp</t>
  </si>
  <si>
    <t>Mt Cobb Rd</t>
  </si>
  <si>
    <t>SR 0348</t>
  </si>
  <si>
    <t>Oak Lane Ave</t>
  </si>
  <si>
    <t>SR 0590</t>
  </si>
  <si>
    <t>Golf Club Rd</t>
  </si>
  <si>
    <t>Sr 1027 Sh</t>
  </si>
  <si>
    <t>SR 1027</t>
  </si>
  <si>
    <t>Rovinsky Rd / Mundro Rd</t>
  </si>
  <si>
    <t>Wimmers Rd</t>
  </si>
  <si>
    <t>SR 2002</t>
  </si>
  <si>
    <t>Arnold Dr</t>
  </si>
  <si>
    <t>Newton Rd</t>
  </si>
  <si>
    <t>SR 3003</t>
  </si>
  <si>
    <t>Cummings Pond Rd</t>
  </si>
  <si>
    <t>Main Av</t>
  </si>
  <si>
    <t>SR 3013</t>
  </si>
  <si>
    <t>Euclid Ave</t>
  </si>
  <si>
    <t>Wood St</t>
  </si>
  <si>
    <t>Dickson City Boro</t>
  </si>
  <si>
    <t>Scranton-Carbondale Hw</t>
  </si>
  <si>
    <t>Viewmont Mall</t>
  </si>
  <si>
    <t>Ravine St</t>
  </si>
  <si>
    <t>Harrison Av</t>
  </si>
  <si>
    <t>SR 6011</t>
  </si>
  <si>
    <t>Vine St</t>
  </si>
  <si>
    <t>Luzerne</t>
  </si>
  <si>
    <t>Salem Twp</t>
  </si>
  <si>
    <t>Salem Bl</t>
  </si>
  <si>
    <t>Hicks Ferry Rd</t>
  </si>
  <si>
    <t xml:space="preserve">Local Road  </t>
  </si>
  <si>
    <t>Shickshinny Boro</t>
  </si>
  <si>
    <t>S Main St</t>
  </si>
  <si>
    <t>Furnance St</t>
  </si>
  <si>
    <t>Forty Fort Boro</t>
  </si>
  <si>
    <t>Wyoming Av</t>
  </si>
  <si>
    <t>River St / Wesley St</t>
  </si>
  <si>
    <t>Wyoming Boro</t>
  </si>
  <si>
    <t>6th St</t>
  </si>
  <si>
    <t>Lehman Twp</t>
  </si>
  <si>
    <t>Sr 0029 Sh</t>
  </si>
  <si>
    <t>SR 0029</t>
  </si>
  <si>
    <t>Willow St</t>
  </si>
  <si>
    <t>Sugarloaf Twp</t>
  </si>
  <si>
    <t>Berwick-Hazleton Hw</t>
  </si>
  <si>
    <t>SR 0093</t>
  </si>
  <si>
    <t>Banks Ave</t>
  </si>
  <si>
    <t>Sr 0118 Sh</t>
  </si>
  <si>
    <t>Trojan Rd</t>
  </si>
  <si>
    <t>Loyalville Rd</t>
  </si>
  <si>
    <t>Dallas Twp</t>
  </si>
  <si>
    <t>Tunkhannock Hw</t>
  </si>
  <si>
    <t>SR 0309</t>
  </si>
  <si>
    <t>Jay Ln</t>
  </si>
  <si>
    <t>Old Highway Rd / Elston Ln</t>
  </si>
  <si>
    <t>Wright Twp</t>
  </si>
  <si>
    <t>SR 0437</t>
  </si>
  <si>
    <t>South Church St / Tunnel Rd</t>
  </si>
  <si>
    <t>Hanover Twp</t>
  </si>
  <si>
    <t>Sans Souci Py</t>
  </si>
  <si>
    <t>Alta Rd / Ashley St</t>
  </si>
  <si>
    <t>Plains Twp</t>
  </si>
  <si>
    <t>SR 2020</t>
  </si>
  <si>
    <t>Wilkes-Barre Twp</t>
  </si>
  <si>
    <t>Highland Park Bl</t>
  </si>
  <si>
    <t>SR 2063</t>
  </si>
  <si>
    <t>Private Driveway / Private Driveway</t>
  </si>
  <si>
    <t>Schechter Dr</t>
  </si>
  <si>
    <t>Pike</t>
  </si>
  <si>
    <t>Shohola Twp</t>
  </si>
  <si>
    <t>G.A.R. Hw</t>
  </si>
  <si>
    <t>Deer Run Rd</t>
  </si>
  <si>
    <t>Bridge Rd</t>
  </si>
  <si>
    <t>Schocopee Rd</t>
  </si>
  <si>
    <t>Harford St</t>
  </si>
  <si>
    <t>Owega Rd / 9th St</t>
  </si>
  <si>
    <t>Milford Boro</t>
  </si>
  <si>
    <t>Broad St</t>
  </si>
  <si>
    <t>Catherine St</t>
  </si>
  <si>
    <t>Westfall Twp</t>
  </si>
  <si>
    <t>Constitution Av</t>
  </si>
  <si>
    <t>Roberts Ln</t>
  </si>
  <si>
    <t>Walmart Access Rd</t>
  </si>
  <si>
    <t>Milford Landing Dr</t>
  </si>
  <si>
    <t>Wenlock Rd</t>
  </si>
  <si>
    <t>Matamoras Boro</t>
  </si>
  <si>
    <t>SR 0209</t>
  </si>
  <si>
    <t>Blackberry Aly</t>
  </si>
  <si>
    <t>Palmyra Twp</t>
  </si>
  <si>
    <t>Promised Land Rd</t>
  </si>
  <si>
    <t>SR 0390</t>
  </si>
  <si>
    <t>Fairview Rd</t>
  </si>
  <si>
    <t>Wallenpaupack Rd</t>
  </si>
  <si>
    <t>SR 0507</t>
  </si>
  <si>
    <t>Yacht Club Dr</t>
  </si>
  <si>
    <t>Blooming Grove Twp</t>
  </si>
  <si>
    <t>Sr 0739 Sh</t>
  </si>
  <si>
    <t>SR 0739</t>
  </si>
  <si>
    <t>Hemlock Farms Rd</t>
  </si>
  <si>
    <t>Twin Lakes Rd</t>
  </si>
  <si>
    <t>Handsome Eddy Rd</t>
  </si>
  <si>
    <t>Dingman Twp</t>
  </si>
  <si>
    <t>Sr 2001 Sh</t>
  </si>
  <si>
    <t>Fisher Ln</t>
  </si>
  <si>
    <t>Mill St</t>
  </si>
  <si>
    <t>Sawkill Ave</t>
  </si>
  <si>
    <t>Susquehanna</t>
  </si>
  <si>
    <t>Lenox Twp</t>
  </si>
  <si>
    <t>Turnpike St</t>
  </si>
  <si>
    <t>SR 0374</t>
  </si>
  <si>
    <t>Knickerbocker Rd</t>
  </si>
  <si>
    <t>Jackson Twp</t>
  </si>
  <si>
    <t>Jackson St</t>
  </si>
  <si>
    <t>SR 0492</t>
  </si>
  <si>
    <t>Franks Rd</t>
  </si>
  <si>
    <t>Bridgewater Twp</t>
  </si>
  <si>
    <t>Wyalusing St</t>
  </si>
  <si>
    <t>SR 0706</t>
  </si>
  <si>
    <t>Singer Rd</t>
  </si>
  <si>
    <t>Forest City Boro</t>
  </si>
  <si>
    <t>Hudson St</t>
  </si>
  <si>
    <t>SR 2025</t>
  </si>
  <si>
    <t>Maxey St</t>
  </si>
  <si>
    <t>Clifford Twp</t>
  </si>
  <si>
    <t>Sr 2067 Sh</t>
  </si>
  <si>
    <t>SR 2067</t>
  </si>
  <si>
    <t>Williams Rd</t>
  </si>
  <si>
    <t>Wayne</t>
  </si>
  <si>
    <t>Honesdale Boro</t>
  </si>
  <si>
    <t>11th St</t>
  </si>
  <si>
    <t>9th St</t>
  </si>
  <si>
    <t>Willow Av</t>
  </si>
  <si>
    <t>Lincoln St</t>
  </si>
  <si>
    <t>Private Drivway / Private Driveway</t>
  </si>
  <si>
    <t>Grandview Av</t>
  </si>
  <si>
    <t>Old Willow Ave</t>
  </si>
  <si>
    <t>Alley</t>
  </si>
  <si>
    <t>Texas Twp</t>
  </si>
  <si>
    <t>Texas Palmyra Hwy</t>
  </si>
  <si>
    <t xml:space="preserve"> Old Willow Ave</t>
  </si>
  <si>
    <t>Mall Entrance / Mall Entrance</t>
  </si>
  <si>
    <t>Hawley Boro</t>
  </si>
  <si>
    <t>Main Av / Bellemonte Av</t>
  </si>
  <si>
    <t>Dreher Twp</t>
  </si>
  <si>
    <t>SR 0191</t>
  </si>
  <si>
    <t>Charphil Dr</t>
  </si>
  <si>
    <t>Cherry Ridge Twp</t>
  </si>
  <si>
    <t>Lake Ariel Hw</t>
  </si>
  <si>
    <t>Evans Rd</t>
  </si>
  <si>
    <t>Bertsche Ln</t>
  </si>
  <si>
    <t>Lebanon Twp</t>
  </si>
  <si>
    <t>Great Bend Tp</t>
  </si>
  <si>
    <t>SR 0371</t>
  </si>
  <si>
    <t>Duck Harbor Rd / Stevenson Spur Rd</t>
  </si>
  <si>
    <t>Lehigh Twp</t>
  </si>
  <si>
    <t>Drinker Pk</t>
  </si>
  <si>
    <t>SR 0435</t>
  </si>
  <si>
    <t>Keystone Rd / Riverfront Way</t>
  </si>
  <si>
    <t>Hamlin Hw</t>
  </si>
  <si>
    <t>Sawmill Rd</t>
  </si>
  <si>
    <t>Township Building Rd</t>
  </si>
  <si>
    <t>Plaza Entry Rd</t>
  </si>
  <si>
    <t>Private Road</t>
  </si>
  <si>
    <t>Cemetery Rd / Private Dwy</t>
  </si>
  <si>
    <t>Paupack Twp</t>
  </si>
  <si>
    <t>Purdytown Tp</t>
  </si>
  <si>
    <t>Crane Rd</t>
  </si>
  <si>
    <t>Berlin Twp</t>
  </si>
  <si>
    <t>Beach Lake Hw</t>
  </si>
  <si>
    <t>SR 0652</t>
  </si>
  <si>
    <t>Bayly Rd</t>
  </si>
  <si>
    <t>Damascus Twp</t>
  </si>
  <si>
    <t>Bavarian Hill Rd</t>
  </si>
  <si>
    <t>Owego Tpk</t>
  </si>
  <si>
    <t>SR 3028</t>
  </si>
  <si>
    <t>Hoadleys Rd</t>
  </si>
  <si>
    <t>SR 3031</t>
  </si>
  <si>
    <t>Wangaum Falls Rd</t>
  </si>
  <si>
    <t>Terrace St</t>
  </si>
  <si>
    <t>Cherry St / Green St</t>
  </si>
  <si>
    <t>Commercial St / Vine St</t>
  </si>
  <si>
    <t>Wyoming</t>
  </si>
  <si>
    <t>Meshoppen Twp</t>
  </si>
  <si>
    <t>Sr 0006 Sh</t>
  </si>
  <si>
    <t>Phillips Rd</t>
  </si>
  <si>
    <t>Meshoppen Boro</t>
  </si>
  <si>
    <t>Stanek Rd / Rails Rd</t>
  </si>
  <si>
    <t>Procter &amp; Gamble Warehouse Way</t>
  </si>
  <si>
    <t>Washington Twp</t>
  </si>
  <si>
    <t>Dark Hollow Rd</t>
  </si>
  <si>
    <t>Tunkhannock Twp</t>
  </si>
  <si>
    <t>Kim Ave</t>
  </si>
  <si>
    <t>Bolouski Rd</t>
  </si>
  <si>
    <t>Eaton Twp</t>
  </si>
  <si>
    <t>Joseph W Hunter Hw</t>
  </si>
  <si>
    <t>Montross Rd</t>
  </si>
  <si>
    <t>Church Rd</t>
  </si>
  <si>
    <t>Walmart Entrance Rd/Plaza Entrance Rd</t>
  </si>
  <si>
    <t>Runway Rd</t>
  </si>
  <si>
    <t>Dymond Ter</t>
  </si>
  <si>
    <t>Tunkhannock Boro</t>
  </si>
  <si>
    <t>RIver St</t>
  </si>
  <si>
    <t>Mile Rd</t>
  </si>
  <si>
    <t>Sr 0092 Sh</t>
  </si>
  <si>
    <t>SR 0092</t>
  </si>
  <si>
    <t>Ash St / Black Diamon Beach Rd</t>
  </si>
  <si>
    <t>Overpeck Ln</t>
  </si>
  <si>
    <t>Windham Twp</t>
  </si>
  <si>
    <t>Sr 3001 Sh</t>
  </si>
  <si>
    <t>Ball Park Rd</t>
  </si>
  <si>
    <t>SR 3006</t>
  </si>
  <si>
    <t>Warren St</t>
  </si>
  <si>
    <t>Kaiserville Rd</t>
  </si>
  <si>
    <t>SR 4019</t>
  </si>
  <si>
    <t>Ellsworth Rd</t>
  </si>
  <si>
    <t>Adams</t>
  </si>
  <si>
    <t>Latimore Twp</t>
  </si>
  <si>
    <t>Blue-Gray Hw</t>
  </si>
  <si>
    <t>Bonners Hill Rd</t>
  </si>
  <si>
    <t>Hamiltonban Twp</t>
  </si>
  <si>
    <t>Waynesboro Pk</t>
  </si>
  <si>
    <t>SR 0016</t>
  </si>
  <si>
    <t>Old Waynesboro Rd</t>
  </si>
  <si>
    <t>Cumberland Twp</t>
  </si>
  <si>
    <t>Chambersburg Rd</t>
  </si>
  <si>
    <t>SR 0030</t>
  </si>
  <si>
    <t>Herrs Ridge Rd</t>
  </si>
  <si>
    <t>New Oxford Boro</t>
  </si>
  <si>
    <t>Lincoln Way West</t>
  </si>
  <si>
    <t>Kohler Mill Rd</t>
  </si>
  <si>
    <t>Butler Twp</t>
  </si>
  <si>
    <t>Biglerville Rd</t>
  </si>
  <si>
    <t>SR 0034</t>
  </si>
  <si>
    <t>Goldenville Rd</t>
  </si>
  <si>
    <t>Berwick Twp</t>
  </si>
  <si>
    <t>Carlisle Pk</t>
  </si>
  <si>
    <t>SR 0094</t>
  </si>
  <si>
    <t>Hershey Heights Rd</t>
  </si>
  <si>
    <t>Enterprise Dr / Village Dr</t>
  </si>
  <si>
    <t>Adams Av</t>
  </si>
  <si>
    <t>Little Av</t>
  </si>
  <si>
    <t>Hamilton Twp</t>
  </si>
  <si>
    <t>Gun Club Rd</t>
  </si>
  <si>
    <t>700 Rd</t>
  </si>
  <si>
    <t>Carroll Valley Boro</t>
  </si>
  <si>
    <t>Fairfield Rd</t>
  </si>
  <si>
    <t>SR 0116</t>
  </si>
  <si>
    <t>Sanders Rd</t>
  </si>
  <si>
    <t>Bullfrog Rd</t>
  </si>
  <si>
    <t>Gettysburg Boro</t>
  </si>
  <si>
    <t>Hanover St</t>
  </si>
  <si>
    <t>Sixth St</t>
  </si>
  <si>
    <t>Mount Pleasant Twp</t>
  </si>
  <si>
    <t>Hanover Rd</t>
  </si>
  <si>
    <t>Low Dutch Rd</t>
  </si>
  <si>
    <t>Conewago Twp</t>
  </si>
  <si>
    <t>Delone Av / Maple Av</t>
  </si>
  <si>
    <t>Germany Twp</t>
  </si>
  <si>
    <t>Frederick Pk</t>
  </si>
  <si>
    <t>SR 0194</t>
  </si>
  <si>
    <t>Gettysburg Rd / Ulricktown Rd</t>
  </si>
  <si>
    <t>Abbottstown Pk</t>
  </si>
  <si>
    <t>Beaver Creek Village Dr</t>
  </si>
  <si>
    <t>Heidlersburg Rd</t>
  </si>
  <si>
    <t>SR 0234</t>
  </si>
  <si>
    <t>Center Mills Rd / Stone Jug Rd</t>
  </si>
  <si>
    <t>Reading Twp</t>
  </si>
  <si>
    <t>East Berlin Rd</t>
  </si>
  <si>
    <t>Van Cleve Rd / Lake Meade Rd</t>
  </si>
  <si>
    <t xml:space="preserve">North </t>
  </si>
  <si>
    <t>SR 1015</t>
  </si>
  <si>
    <t>Centennial Rd</t>
  </si>
  <si>
    <t>Storms Store Rd</t>
  </si>
  <si>
    <t>Narrow Dr</t>
  </si>
  <si>
    <t>Sheppard Rd / Narrow Dr</t>
  </si>
  <si>
    <t>Pine Grove Rd</t>
  </si>
  <si>
    <t>Pinetown Rd</t>
  </si>
  <si>
    <t>Menallen Twp</t>
  </si>
  <si>
    <t>Brysonia Rd</t>
  </si>
  <si>
    <t>Heckenluber Rd / Fairground Rd</t>
  </si>
  <si>
    <t>Cumberland</t>
  </si>
  <si>
    <t>West Pennsboro Twp</t>
  </si>
  <si>
    <t>Ritner Hw</t>
  </si>
  <si>
    <t>McAllister Church Rd</t>
  </si>
  <si>
    <t>Carlisle Boro</t>
  </si>
  <si>
    <t>Clay St / East St</t>
  </si>
  <si>
    <t>Hampden Twp</t>
  </si>
  <si>
    <t>Brondle Bl / Private Drive</t>
  </si>
  <si>
    <t>Jeffrey Rd / Kmart Pz</t>
  </si>
  <si>
    <t>Dickinson Twp</t>
  </si>
  <si>
    <t>Carlisle Rd</t>
  </si>
  <si>
    <t>Peach Glen Rd</t>
  </si>
  <si>
    <t>Mount Holly Springs Boro</t>
  </si>
  <si>
    <t>Baltimore Av</t>
  </si>
  <si>
    <t>Butler St</t>
  </si>
  <si>
    <t>Creek Ave</t>
  </si>
  <si>
    <t>Carlisle Springs Rd</t>
  </si>
  <si>
    <t>G St</t>
  </si>
  <si>
    <t>York Rd</t>
  </si>
  <si>
    <t>SR 0074</t>
  </si>
  <si>
    <t>Miller Blvd</t>
  </si>
  <si>
    <t>Creek Rd</t>
  </si>
  <si>
    <t>Baish Rd</t>
  </si>
  <si>
    <t>South Middleton Twp</t>
  </si>
  <si>
    <t>Shughart Rd</t>
  </si>
  <si>
    <t>Old York Rd</t>
  </si>
  <si>
    <t>SR 0174</t>
  </si>
  <si>
    <t>Monstera Rd</t>
  </si>
  <si>
    <t>Zion Rd</t>
  </si>
  <si>
    <t>Petersburg Rd</t>
  </si>
  <si>
    <t>Walnut Bottom Rd</t>
  </si>
  <si>
    <t>SR 0465</t>
  </si>
  <si>
    <t>Burnt House Rd</t>
  </si>
  <si>
    <t>Newville Boro</t>
  </si>
  <si>
    <t>SR 0641</t>
  </si>
  <si>
    <t>Corporation St</t>
  </si>
  <si>
    <t>Newville Rd</t>
  </si>
  <si>
    <t>Kerrsville Rd / Grahms Woods Rd</t>
  </si>
  <si>
    <t>Middlesex Twp</t>
  </si>
  <si>
    <t>Trindle Rd</t>
  </si>
  <si>
    <t>Horners Rd</t>
  </si>
  <si>
    <t>Hollenbaugh Rd</t>
  </si>
  <si>
    <t>Hickorytown Ln</t>
  </si>
  <si>
    <t>Silver Spring Twp</t>
  </si>
  <si>
    <t>Clouser Rd</t>
  </si>
  <si>
    <t>Wertzville Rd</t>
  </si>
  <si>
    <t>SR 0944</t>
  </si>
  <si>
    <t xml:space="preserve">Sherwood Dr / Hollowbrook Dr </t>
  </si>
  <si>
    <t>Mountain Rd</t>
  </si>
  <si>
    <t>Banks Ln</t>
  </si>
  <si>
    <t>East Pennsboro Twp</t>
  </si>
  <si>
    <t>Pine Hill Rd</t>
  </si>
  <si>
    <t>Lisburn Rd</t>
  </si>
  <si>
    <t>Middlesex Rd / Hollenbaugh Rd</t>
  </si>
  <si>
    <t>Southampton Twp</t>
  </si>
  <si>
    <t>Britton Rd</t>
  </si>
  <si>
    <t>Mud Level Rd</t>
  </si>
  <si>
    <t>SR 3023</t>
  </si>
  <si>
    <t>Pitt St</t>
  </si>
  <si>
    <t>Upper Frankford Twp</t>
  </si>
  <si>
    <t>Brick Church Rd</t>
  </si>
  <si>
    <t>Bloserville Rd</t>
  </si>
  <si>
    <t>SR 4021</t>
  </si>
  <si>
    <t>Old Mill Rd</t>
  </si>
  <si>
    <t>SR 4025</t>
  </si>
  <si>
    <t>Franklin</t>
  </si>
  <si>
    <t>Greencastle Boro</t>
  </si>
  <si>
    <t>Antrim Wy</t>
  </si>
  <si>
    <t>Chambersburg Boro</t>
  </si>
  <si>
    <t>Mercersburg Boro</t>
  </si>
  <si>
    <t>Mercer Ave / Linden Ave</t>
  </si>
  <si>
    <t>Montgomery Twp</t>
  </si>
  <si>
    <t>Buchanan Tr</t>
  </si>
  <si>
    <t>Anderson Rd / Oellig Rd</t>
  </si>
  <si>
    <t>Antrim Twp</t>
  </si>
  <si>
    <t>Willowdale Rd</t>
  </si>
  <si>
    <t>Hollowell Church Rd / Private Dr</t>
  </si>
  <si>
    <t>Peters Twp</t>
  </si>
  <si>
    <t>Lincoln Wy</t>
  </si>
  <si>
    <t>Hawbaker Rd</t>
  </si>
  <si>
    <t>Guilford Twp</t>
  </si>
  <si>
    <t>Franklin Center Pz / Private Drive</t>
  </si>
  <si>
    <t>Garman Dr / St Johns Dr</t>
  </si>
  <si>
    <t>Rocky Mountain Rd</t>
  </si>
  <si>
    <t>SR 0233</t>
  </si>
  <si>
    <t>Biesecker Gap Rd</t>
  </si>
  <si>
    <t>Quincy Twp</t>
  </si>
  <si>
    <t>Wayne Hw</t>
  </si>
  <si>
    <t>SR 0316</t>
  </si>
  <si>
    <t>Altenwald Rd</t>
  </si>
  <si>
    <t>Wayne Av</t>
  </si>
  <si>
    <t>Sheller Av</t>
  </si>
  <si>
    <t>Waynesboro Boro</t>
  </si>
  <si>
    <t>SR 0997</t>
  </si>
  <si>
    <t>Schier's Wy</t>
  </si>
  <si>
    <t>Anthony Hw</t>
  </si>
  <si>
    <t>Nunnery Rd</t>
  </si>
  <si>
    <t>Perry</t>
  </si>
  <si>
    <t>Carroll Twp</t>
  </si>
  <si>
    <t>Spring Rd</t>
  </si>
  <si>
    <t>Sleepy Hollow Rd</t>
  </si>
  <si>
    <t>Newport Boro</t>
  </si>
  <si>
    <t>3rd St</t>
  </si>
  <si>
    <t>Howe Twp</t>
  </si>
  <si>
    <t>Red Hill Rd</t>
  </si>
  <si>
    <t>Red Hill Ct</t>
  </si>
  <si>
    <t>Buffalo Twp</t>
  </si>
  <si>
    <t>Hunters Valley Rd</t>
  </si>
  <si>
    <t>Lovers Ln</t>
  </si>
  <si>
    <t>Shermans Valley Rd</t>
  </si>
  <si>
    <t>SR 0274</t>
  </si>
  <si>
    <t>Mahanoy Ridge Rd</t>
  </si>
  <si>
    <t>Bloomfield Boro</t>
  </si>
  <si>
    <t>Main Street</t>
  </si>
  <si>
    <t>Black Al</t>
  </si>
  <si>
    <t>Wheatfield Twp</t>
  </si>
  <si>
    <t>Bloomfield Rd</t>
  </si>
  <si>
    <t>Roseglen Rd</t>
  </si>
  <si>
    <t>Penn Twp</t>
  </si>
  <si>
    <t>Business Campus Way</t>
  </si>
  <si>
    <t>Municipal Building Rd</t>
  </si>
  <si>
    <t>SR 0849</t>
  </si>
  <si>
    <t>Caroline St</t>
  </si>
  <si>
    <t>Oliver Twp</t>
  </si>
  <si>
    <t>Middle Ridge Rd</t>
  </si>
  <si>
    <t>Legion Rd</t>
  </si>
  <si>
    <t>York</t>
  </si>
  <si>
    <t>Dover Twp</t>
  </si>
  <si>
    <t>Conewago Rd</t>
  </si>
  <si>
    <t>Stoney Run Rd</t>
  </si>
  <si>
    <t>Hanover Boro</t>
  </si>
  <si>
    <t>Carlisle St</t>
  </si>
  <si>
    <t>Gail St</t>
  </si>
  <si>
    <t>Spring Grove Boro</t>
  </si>
  <si>
    <t>Glenview Rd / Sprenkle Rd</t>
  </si>
  <si>
    <t>Broadway St</t>
  </si>
  <si>
    <t>Flickinger Rd</t>
  </si>
  <si>
    <t>Shady Dell Rd</t>
  </si>
  <si>
    <t>Local  Road</t>
  </si>
  <si>
    <t>Lower Chanceford Twp</t>
  </si>
  <si>
    <t>Holtwood Rd</t>
  </si>
  <si>
    <t>SR 0372</t>
  </si>
  <si>
    <t>Slab Rd</t>
  </si>
  <si>
    <t>Codorus Twp</t>
  </si>
  <si>
    <t>Steltz Rd</t>
  </si>
  <si>
    <t>SR 0851</t>
  </si>
  <si>
    <t>Huffmanville Rd</t>
  </si>
  <si>
    <t>York City</t>
  </si>
  <si>
    <t>Roosevelt Av</t>
  </si>
  <si>
    <t>SR 4001</t>
  </si>
  <si>
    <t>Marbrook Ln</t>
  </si>
  <si>
    <t>Warrington Twp</t>
  </si>
  <si>
    <t>SR 4026</t>
  </si>
  <si>
    <t>Franklin Twp</t>
  </si>
  <si>
    <t>SR 4040</t>
  </si>
  <si>
    <t>Union Church Rd</t>
  </si>
  <si>
    <t>Blair</t>
  </si>
  <si>
    <t>Taylor Twp</t>
  </si>
  <si>
    <t>Woodbury Pk</t>
  </si>
  <si>
    <t>SR 0036</t>
  </si>
  <si>
    <t>Orchard Rd</t>
  </si>
  <si>
    <t>Closson Rd</t>
  </si>
  <si>
    <t>Freedom Twp</t>
  </si>
  <si>
    <t>Back St</t>
  </si>
  <si>
    <t>Cove Mountain Rd</t>
  </si>
  <si>
    <t>SR 0164</t>
  </si>
  <si>
    <t>Brumbaugh Rd / Pine Grove Ln</t>
  </si>
  <si>
    <t>North Woodbury Twp</t>
  </si>
  <si>
    <t>Agway Rd</t>
  </si>
  <si>
    <t>Martinsburg Boro</t>
  </si>
  <si>
    <t>Allegheny St</t>
  </si>
  <si>
    <t>Highland St</t>
  </si>
  <si>
    <t>Altoona City</t>
  </si>
  <si>
    <t>6th Av</t>
  </si>
  <si>
    <t>SR 0764</t>
  </si>
  <si>
    <t>18th St</t>
  </si>
  <si>
    <t>Curryville Rd</t>
  </si>
  <si>
    <t>SR 0866</t>
  </si>
  <si>
    <t>Airport Entrance Rd</t>
  </si>
  <si>
    <t>New Unnamed Rd / Private Driveway</t>
  </si>
  <si>
    <t>Givler Dr</t>
  </si>
  <si>
    <t>Allegheny Twp</t>
  </si>
  <si>
    <t>Plank Rd</t>
  </si>
  <si>
    <t>Jennifer Rd / Vipond St</t>
  </si>
  <si>
    <t>0060</t>
  </si>
  <si>
    <t>Plank Road Commons</t>
  </si>
  <si>
    <t>0070</t>
  </si>
  <si>
    <t>Parkview Ln / Sheraton Dr</t>
  </si>
  <si>
    <t>Sellers Dr</t>
  </si>
  <si>
    <t>Valley View Bl</t>
  </si>
  <si>
    <t>Fifthteenth St</t>
  </si>
  <si>
    <t>Pleasant Valley Bl</t>
  </si>
  <si>
    <t>Tyrone Twp</t>
  </si>
  <si>
    <t>Kettle Rd</t>
  </si>
  <si>
    <t>SR 1013</t>
  </si>
  <si>
    <t>Holland Rd</t>
  </si>
  <si>
    <t>Seventeenth St</t>
  </si>
  <si>
    <t>SR 4010</t>
  </si>
  <si>
    <t>Fourth Av</t>
  </si>
  <si>
    <t>Logan Twp</t>
  </si>
  <si>
    <t>McMahon Dr</t>
  </si>
  <si>
    <t>Chestnut Av</t>
  </si>
  <si>
    <t>Grandview Rd</t>
  </si>
  <si>
    <t>SR 4015</t>
  </si>
  <si>
    <t>Homers Gap Rd</t>
  </si>
  <si>
    <t>Antis Twp</t>
  </si>
  <si>
    <t>Hollen Rd</t>
  </si>
  <si>
    <t>Snyder Twp</t>
  </si>
  <si>
    <t>Back Vail Rd</t>
  </si>
  <si>
    <t>SR 4031</t>
  </si>
  <si>
    <t>Cooks Hollow Rd</t>
  </si>
  <si>
    <t>Huntingdon</t>
  </si>
  <si>
    <t>Mount Union Boro</t>
  </si>
  <si>
    <t>Division St</t>
  </si>
  <si>
    <t>SR 2026</t>
  </si>
  <si>
    <t>Smithfield Twp</t>
  </si>
  <si>
    <t>William Penn Hw</t>
  </si>
  <si>
    <t>SR 0022</t>
  </si>
  <si>
    <t>To US 22</t>
  </si>
  <si>
    <t>SR 8006 / SR 8006</t>
  </si>
  <si>
    <t>0500 / 0510</t>
  </si>
  <si>
    <t>0000 / 0626</t>
  </si>
  <si>
    <t>Henderson Twp</t>
  </si>
  <si>
    <t>Main St / Smokers Hill Rd</t>
  </si>
  <si>
    <t>Raystown Rd</t>
  </si>
  <si>
    <t>Shaner Blvd / Towne Center Blvd</t>
  </si>
  <si>
    <t>Fourteenth St</t>
  </si>
  <si>
    <t>Huntingdon Boro</t>
  </si>
  <si>
    <t>Penn St</t>
  </si>
  <si>
    <t>Barree Twp</t>
  </si>
  <si>
    <t>Mcalevys Fort Rd</t>
  </si>
  <si>
    <t>Harrys Valley Rd</t>
  </si>
  <si>
    <t>Juniata Valley Pk</t>
  </si>
  <si>
    <t>SR 0305</t>
  </si>
  <si>
    <t>Shelton Av</t>
  </si>
  <si>
    <t>Cromwell Twp</t>
  </si>
  <si>
    <t>Croghan Pk</t>
  </si>
  <si>
    <t>Starr Farm Rd</t>
  </si>
  <si>
    <t>Enyart Rd</t>
  </si>
  <si>
    <t>Armstrong</t>
  </si>
  <si>
    <t>Manor Twp</t>
  </si>
  <si>
    <t>Sr 0066 Sh</t>
  </si>
  <si>
    <t>SR 0066</t>
  </si>
  <si>
    <t>Ross Av</t>
  </si>
  <si>
    <t>Elm Dr</t>
  </si>
  <si>
    <t>Kittanning Twp</t>
  </si>
  <si>
    <t>Benjamin Franklin Hw</t>
  </si>
  <si>
    <t>SR 0422</t>
  </si>
  <si>
    <t>Blaney Rd / Johnston Rd</t>
  </si>
  <si>
    <t>Indiana Rd</t>
  </si>
  <si>
    <t>SR 1422</t>
  </si>
  <si>
    <t>Buffington Dr</t>
  </si>
  <si>
    <t>Butler</t>
  </si>
  <si>
    <t>Pittsburgh Rd</t>
  </si>
  <si>
    <t>Denny Rd</t>
  </si>
  <si>
    <t>McFann Rd</t>
  </si>
  <si>
    <t>Center Twp</t>
  </si>
  <si>
    <t>N Main St Ext</t>
  </si>
  <si>
    <t>Clearview Cir</t>
  </si>
  <si>
    <t>Brady Twp</t>
  </si>
  <si>
    <t>William Flinn Hw</t>
  </si>
  <si>
    <t>Duffy Rd</t>
  </si>
  <si>
    <t>Perry Hw</t>
  </si>
  <si>
    <t>Progress Ave</t>
  </si>
  <si>
    <t>Forward Twp</t>
  </si>
  <si>
    <t>SR 0068</t>
  </si>
  <si>
    <t>Ash Av</t>
  </si>
  <si>
    <t>Slippery Rock Twp</t>
  </si>
  <si>
    <t>Franklin Rd</t>
  </si>
  <si>
    <t>SR 0108</t>
  </si>
  <si>
    <t>Harmony Rd</t>
  </si>
  <si>
    <t>Mars Crider Rd</t>
  </si>
  <si>
    <t>SR 0228</t>
  </si>
  <si>
    <t>Cranberry Springs Dr / Cranberry Woods Dr</t>
  </si>
  <si>
    <t>Seven Fields Boro</t>
  </si>
  <si>
    <t>Seven Fields Blvd</t>
  </si>
  <si>
    <t>Adams Twp</t>
  </si>
  <si>
    <t>Adams Ridge Blvd</t>
  </si>
  <si>
    <t>Park Rd / Harbison Rd</t>
  </si>
  <si>
    <t>North Pike Rd</t>
  </si>
  <si>
    <t>SR 0356</t>
  </si>
  <si>
    <t>Bonniebrook Rd / Old Pike Ln</t>
  </si>
  <si>
    <t>New Castle Rd</t>
  </si>
  <si>
    <t>Point Plaza</t>
  </si>
  <si>
    <t>Alameda Park Rd</t>
  </si>
  <si>
    <t>Hospital Rd / Butler Commons</t>
  </si>
  <si>
    <t>Clearfield Twp</t>
  </si>
  <si>
    <t>Hardwood Rd / McGrady Rd</t>
  </si>
  <si>
    <t xml:space="preserve"> N/A</t>
  </si>
  <si>
    <t>Lindsay Rd</t>
  </si>
  <si>
    <t>SR 0528</t>
  </si>
  <si>
    <t>Ramsey Rd</t>
  </si>
  <si>
    <t>Freedom Rd</t>
  </si>
  <si>
    <t>SR 3020</t>
  </si>
  <si>
    <t>Executive Dr</t>
  </si>
  <si>
    <t>Cherry Twp</t>
  </si>
  <si>
    <t>Branchton Rd</t>
  </si>
  <si>
    <t>New Hope Rd</t>
  </si>
  <si>
    <t>Clarion</t>
  </si>
  <si>
    <t>Limestone Twp</t>
  </si>
  <si>
    <t>McGregor Rd</t>
  </si>
  <si>
    <t>Paint Twp</t>
  </si>
  <si>
    <t>Paint Bl</t>
  </si>
  <si>
    <t>Pine Terrace Rd</t>
  </si>
  <si>
    <t>Route 66</t>
  </si>
  <si>
    <t>Knox Twp</t>
  </si>
  <si>
    <t>Lawn Dr / Maple Dr</t>
  </si>
  <si>
    <t>Piney Twp</t>
  </si>
  <si>
    <t>Sr 0068 Sh</t>
  </si>
  <si>
    <t>Shamrock Dr</t>
  </si>
  <si>
    <t>Beaver Twp</t>
  </si>
  <si>
    <t>SR 0208</t>
  </si>
  <si>
    <t>Popetown Rd</t>
  </si>
  <si>
    <t>Elk Twp</t>
  </si>
  <si>
    <t>Sr 0208 Sh</t>
  </si>
  <si>
    <t>Millerstown Rd</t>
  </si>
  <si>
    <t>Kiser Wagner Rd</t>
  </si>
  <si>
    <t>Clarion Boro</t>
  </si>
  <si>
    <t>Clarion Twp</t>
  </si>
  <si>
    <t>Detrick Rd</t>
  </si>
  <si>
    <t>Sr 0338 Sh</t>
  </si>
  <si>
    <t>SR 0338</t>
  </si>
  <si>
    <t>Boyle Memorial Dr</t>
  </si>
  <si>
    <t>Ashland Twp</t>
  </si>
  <si>
    <t>Ninevah Rd / St Mark Rd</t>
  </si>
  <si>
    <t>Perry Twp</t>
  </si>
  <si>
    <t>Sr 0368 Sh</t>
  </si>
  <si>
    <t>SR 0368</t>
  </si>
  <si>
    <t>Terwilliger Rd / Lime Plant Rd</t>
  </si>
  <si>
    <t>Fifth Av</t>
  </si>
  <si>
    <t>Madison Rd</t>
  </si>
  <si>
    <t>Jefferson</t>
  </si>
  <si>
    <t>Rose Twp</t>
  </si>
  <si>
    <t>SR 0028</t>
  </si>
  <si>
    <t>S Main St / Private Dr</t>
  </si>
  <si>
    <t>Brockway Boro</t>
  </si>
  <si>
    <t>5th Ave / Alexander St</t>
  </si>
  <si>
    <t>7th Ave</t>
  </si>
  <si>
    <t>Punxsutawney Boro</t>
  </si>
  <si>
    <t>Mahoning St</t>
  </si>
  <si>
    <t>Foundry St</t>
  </si>
  <si>
    <t>Eldred Twp</t>
  </si>
  <si>
    <t>Colonel Drake Hw</t>
  </si>
  <si>
    <t>Mcmanigle Rd / Private Dwy</t>
  </si>
  <si>
    <t>Bell Twp</t>
  </si>
  <si>
    <t>Buffalo Pittsburgh Hw</t>
  </si>
  <si>
    <t>Albion Rd</t>
  </si>
  <si>
    <t>Paradise Rd</t>
  </si>
  <si>
    <t>Broad St Ext</t>
  </si>
  <si>
    <t>Glasshurst Rd</t>
  </si>
  <si>
    <t>Young Twp</t>
  </si>
  <si>
    <t>Elk Run Av</t>
  </si>
  <si>
    <t>SR 0310</t>
  </si>
  <si>
    <t>Adrian Rd</t>
  </si>
  <si>
    <t>Brookville Boro</t>
  </si>
  <si>
    <t>Waterford Pike</t>
  </si>
  <si>
    <t>Reynoldsville Boro</t>
  </si>
  <si>
    <t>Yellow Brick Road</t>
  </si>
  <si>
    <t>Winslow Twp</t>
  </si>
  <si>
    <t>Reynoldsville Sykesvil Rd</t>
  </si>
  <si>
    <t>SR 2031</t>
  </si>
  <si>
    <t>Shinbone Rd</t>
  </si>
  <si>
    <t>Walston Rd</t>
  </si>
  <si>
    <t>SR 3021</t>
  </si>
  <si>
    <t>Ellermeyer Rd / Gagliardi Alley</t>
  </si>
  <si>
    <t>Allegheny</t>
  </si>
  <si>
    <t>Pittsburgh City</t>
  </si>
  <si>
    <t>Penn Av</t>
  </si>
  <si>
    <t>Brushton Av</t>
  </si>
  <si>
    <t>East End Av</t>
  </si>
  <si>
    <t>Hampton Twp</t>
  </si>
  <si>
    <t>Clearview Rd</t>
  </si>
  <si>
    <t>Upper St Clair Twp</t>
  </si>
  <si>
    <t>Washington Rd</t>
  </si>
  <si>
    <t>Devonwood Dr / Brookside Blvd</t>
  </si>
  <si>
    <t>Pine Twp</t>
  </si>
  <si>
    <t>Brown Rd/ Private Dr</t>
  </si>
  <si>
    <t>Robinson Twp</t>
  </si>
  <si>
    <t>Old Steubenville Pk</t>
  </si>
  <si>
    <t>SR 0060</t>
  </si>
  <si>
    <t>McKees Rocks Rd / Windhaven Rd</t>
  </si>
  <si>
    <t>Sewickley Boro</t>
  </si>
  <si>
    <t>Ohio River Bl</t>
  </si>
  <si>
    <t>SR 0065</t>
  </si>
  <si>
    <t>Chestnut St / Bank St</t>
  </si>
  <si>
    <t>East Mckeesport Boro</t>
  </si>
  <si>
    <t>SR 0148</t>
  </si>
  <si>
    <t>LaCivita Wy</t>
  </si>
  <si>
    <t>Baum Bl</t>
  </si>
  <si>
    <t>SR 0400</t>
  </si>
  <si>
    <t>Roup Av</t>
  </si>
  <si>
    <t>Penn Hills Twp</t>
  </si>
  <si>
    <t>Frankstown Rd</t>
  </si>
  <si>
    <t>Duff Rd / Private Drive</t>
  </si>
  <si>
    <t>White Oak Boro</t>
  </si>
  <si>
    <t>Rankin Rd</t>
  </si>
  <si>
    <t>Monroeville Boro</t>
  </si>
  <si>
    <t>Wm Penn Hw</t>
  </si>
  <si>
    <t>SR 2048</t>
  </si>
  <si>
    <t>McMasters Dr / Lowes Dr</t>
  </si>
  <si>
    <t>Shaler Twp</t>
  </si>
  <si>
    <t>Geyer Rd</t>
  </si>
  <si>
    <t>Glenwood Av</t>
  </si>
  <si>
    <t>Beaver</t>
  </si>
  <si>
    <t>Frankfort Rd</t>
  </si>
  <si>
    <t>Parkside Dr</t>
  </si>
  <si>
    <t>Raccoon Twp</t>
  </si>
  <si>
    <t>Upper Service Rd</t>
  </si>
  <si>
    <t>Beaver Falls City</t>
  </si>
  <si>
    <t>7th Av</t>
  </si>
  <si>
    <t>Lincoln Hw</t>
  </si>
  <si>
    <t>Silver Slipper Rd</t>
  </si>
  <si>
    <t>Raccoon Park Rd</t>
  </si>
  <si>
    <t>Bridgewater Boro</t>
  </si>
  <si>
    <t>Constitution Bl</t>
  </si>
  <si>
    <t>SR 0051</t>
  </si>
  <si>
    <t>Veterans Mem Br</t>
  </si>
  <si>
    <t>Chippewa Twp</t>
  </si>
  <si>
    <t>Chippewa Ctr</t>
  </si>
  <si>
    <t>Darlington Twp</t>
  </si>
  <si>
    <t>N Pleasant Dr / State Line Rd</t>
  </si>
  <si>
    <t>Rochester Boro</t>
  </si>
  <si>
    <t>Adams St</t>
  </si>
  <si>
    <t>Giant Eagle Dr / Century Pl</t>
  </si>
  <si>
    <t>Independence Twp</t>
  </si>
  <si>
    <t>Bocktown Rd</t>
  </si>
  <si>
    <t>SR 0151</t>
  </si>
  <si>
    <t>Hookstown Grade Rd</t>
  </si>
  <si>
    <t>New Sewickley Twp</t>
  </si>
  <si>
    <t>Big Knob Rd</t>
  </si>
  <si>
    <t>SR 1028</t>
  </si>
  <si>
    <t>Taffy Run Rd</t>
  </si>
  <si>
    <t>Freedom Crider Rd</t>
  </si>
  <si>
    <t>Danburry Dr</t>
  </si>
  <si>
    <t>Conway Boro</t>
  </si>
  <si>
    <t>11 St</t>
  </si>
  <si>
    <t>2nd Av</t>
  </si>
  <si>
    <t>Green Garden Rd</t>
  </si>
  <si>
    <t>SR 3016</t>
  </si>
  <si>
    <t>Service Church Rd</t>
  </si>
  <si>
    <t>Park Rd</t>
  </si>
  <si>
    <t>E Hookstown Grade Rd</t>
  </si>
  <si>
    <t>South Beaver Twp</t>
  </si>
  <si>
    <t>Old Darlington Rd</t>
  </si>
  <si>
    <t>Louthan Rd</t>
  </si>
  <si>
    <t>Lawrence</t>
  </si>
  <si>
    <t>New Beaver Boro</t>
  </si>
  <si>
    <t>Mahoning Av</t>
  </si>
  <si>
    <t>Possum Hollow Ext / Industrial Park Dr</t>
  </si>
  <si>
    <t>Wampum Boro</t>
  </si>
  <si>
    <t>Clyde Street</t>
  </si>
  <si>
    <t>North Beaver Twp</t>
  </si>
  <si>
    <t>Vance Rd / Grant St</t>
  </si>
  <si>
    <t>New Castle City</t>
  </si>
  <si>
    <t>Jefferson St</t>
  </si>
  <si>
    <t>South St</t>
  </si>
  <si>
    <t>Lincoln Av</t>
  </si>
  <si>
    <t>Wilmington Av</t>
  </si>
  <si>
    <t>Laurel Av</t>
  </si>
  <si>
    <t>Neshannock Twp</t>
  </si>
  <si>
    <t>Wilmington Rd</t>
  </si>
  <si>
    <t>Clover Ln / Nesbitt Rd</t>
  </si>
  <si>
    <t>Wilmington Twp</t>
  </si>
  <si>
    <t>Heather Heights Rd / Beechwood Rd</t>
  </si>
  <si>
    <t>Shenango Twp</t>
  </si>
  <si>
    <t>E Washington St</t>
  </si>
  <si>
    <t>Cass St</t>
  </si>
  <si>
    <t>Lathrop St / Marshall Av</t>
  </si>
  <si>
    <t>Harrison St</t>
  </si>
  <si>
    <t>Mt Jackson Rd</t>
  </si>
  <si>
    <t>Brewster Rd</t>
  </si>
  <si>
    <t>Hickory Twp</t>
  </si>
  <si>
    <t>Harlandsburg Rd</t>
  </si>
  <si>
    <t>Cameron Rd</t>
  </si>
  <si>
    <t>Plain Grove Twp</t>
  </si>
  <si>
    <t>Elliot Ln</t>
  </si>
  <si>
    <t>North Jefferson St</t>
  </si>
  <si>
    <t>SR 0158</t>
  </si>
  <si>
    <t>Wilson Mill Rd</t>
  </si>
  <si>
    <t>Phillips School Rd / Johnston Rd</t>
  </si>
  <si>
    <t>New Wilmington Boro</t>
  </si>
  <si>
    <t>New Castle St</t>
  </si>
  <si>
    <t>Beechwood Rd</t>
  </si>
  <si>
    <t>Neshannock Av</t>
  </si>
  <si>
    <t>Means Rd / Fayette-New Wilmington Rd</t>
  </si>
  <si>
    <t>Mahoning Twp</t>
  </si>
  <si>
    <t>Youngstown-Poland Rd</t>
  </si>
  <si>
    <t>SR 0224</t>
  </si>
  <si>
    <t>Martin Kelly Spears Rd</t>
  </si>
  <si>
    <t>East Poland Av / Mohawk School Rd</t>
  </si>
  <si>
    <t>SR 0317</t>
  </si>
  <si>
    <t>0090</t>
  </si>
  <si>
    <t>Mohawk School Rd / Blaz Ln</t>
  </si>
  <si>
    <t>Ellwood City Boro</t>
  </si>
  <si>
    <t>Lawrence Av</t>
  </si>
  <si>
    <t>SR 0351</t>
  </si>
  <si>
    <t>State Rd</t>
  </si>
  <si>
    <t>SR 0388</t>
  </si>
  <si>
    <t>Princetown Rd / Old Princetown Rd</t>
  </si>
  <si>
    <t>Mt Hope Furnace Rd</t>
  </si>
  <si>
    <t>McConnells Mill Rd</t>
  </si>
  <si>
    <t>Fountain Av</t>
  </si>
  <si>
    <t>SR 0488</t>
  </si>
  <si>
    <t>Ellport Boro</t>
  </si>
  <si>
    <t>Portersville Rd</t>
  </si>
  <si>
    <t>Railroad St</t>
  </si>
  <si>
    <t>Highland Av</t>
  </si>
  <si>
    <t>Stewart Pl</t>
  </si>
  <si>
    <t>Winter Av</t>
  </si>
  <si>
    <t>Garfield Av</t>
  </si>
  <si>
    <t>Euclid Av</t>
  </si>
  <si>
    <t>Fairmont Av</t>
  </si>
  <si>
    <t>Columbiana Rd</t>
  </si>
  <si>
    <t>Smalls Ferry Rd</t>
  </si>
  <si>
    <t>2000A</t>
  </si>
  <si>
    <t>8</t>
  </si>
  <si>
    <t>Lancaster</t>
  </si>
  <si>
    <t>Manheim Twp</t>
  </si>
  <si>
    <t>Millport Road (Count either Millport leg)</t>
  </si>
  <si>
    <t>Kissel Hill Road</t>
  </si>
  <si>
    <t>40° 7'42.75"N</t>
  </si>
  <si>
    <t>76°16'58.11"W</t>
  </si>
  <si>
    <t>2005A</t>
  </si>
  <si>
    <t>Washington Township Blvd. (Count either Wash Twp Blvd Leg)</t>
  </si>
  <si>
    <t>N Welty Road</t>
  </si>
  <si>
    <t>39°45'12.28"N</t>
  </si>
  <si>
    <t>77°32'32.78"W</t>
  </si>
  <si>
    <t>2006A</t>
  </si>
  <si>
    <t>10</t>
  </si>
  <si>
    <t>Longtree Way (count the east leg)</t>
  </si>
  <si>
    <t>Cranberry Woods Drive</t>
  </si>
  <si>
    <t>40°41'2.55"N</t>
  </si>
  <si>
    <t>80° 4'51.98"W</t>
  </si>
  <si>
    <t>Longtree Way</t>
  </si>
  <si>
    <t>Cranberry Woods Drive (Count either leg)</t>
  </si>
  <si>
    <t>12</t>
  </si>
  <si>
    <t>Westmoreland</t>
  </si>
  <si>
    <t>New Stanton Boro</t>
  </si>
  <si>
    <t>Bair Rd.</t>
  </si>
  <si>
    <t>Rachel Dr. (count south Rachel Dr leg)</t>
  </si>
  <si>
    <t>40°13'7.99"N</t>
  </si>
  <si>
    <t>79°36'51.68"W</t>
  </si>
  <si>
    <t>3</t>
  </si>
  <si>
    <t>Via Bella St.</t>
  </si>
  <si>
    <t>?</t>
  </si>
  <si>
    <t>Court St. (count this leg)</t>
  </si>
  <si>
    <t>41°14'19.65"N</t>
  </si>
  <si>
    <t>77° 0'1.06"W</t>
  </si>
  <si>
    <t>6</t>
  </si>
  <si>
    <t>Delaware</t>
  </si>
  <si>
    <t>Swarthmore Boro</t>
  </si>
  <si>
    <t>S. Chester St.</t>
  </si>
  <si>
    <t>SR 0320</t>
  </si>
  <si>
    <t>Rutgers Ave. &amp; Fieldhouse Ln. (count either leg)</t>
  </si>
  <si>
    <t>39°54'3.66"N</t>
  </si>
  <si>
    <t>75°21'3.16"W</t>
  </si>
  <si>
    <t>Millport Road</t>
  </si>
  <si>
    <t>Kissel Hill Road (Count this eg)</t>
  </si>
  <si>
    <t>Lebanon</t>
  </si>
  <si>
    <t>South Londonderry Twp</t>
  </si>
  <si>
    <t>SR 0117</t>
  </si>
  <si>
    <t>Northside Drive (Count this leg)</t>
  </si>
  <si>
    <t>40°17'4.53"N</t>
  </si>
  <si>
    <t>76°34'24.24"W</t>
  </si>
  <si>
    <t>Lambs Gap Road</t>
  </si>
  <si>
    <t>Bali Hai Road (Count this leg)</t>
  </si>
  <si>
    <t>40°16'9.98"N</t>
  </si>
  <si>
    <t>77° 0'27.65"W</t>
  </si>
  <si>
    <t>Dauphin</t>
  </si>
  <si>
    <t>SR 0322 &amp; Homestead Lane</t>
  </si>
  <si>
    <t>Homestead Lane (Count either Homestead leg)</t>
  </si>
  <si>
    <t>40°16'29.99"N</t>
  </si>
  <si>
    <t>76°38'0.88"W</t>
  </si>
  <si>
    <t>SR 0322 &amp; Meadow Lane</t>
  </si>
  <si>
    <t>Meadow Lane (Count either Meadow leg)</t>
  </si>
  <si>
    <t>40°16'28.83"N</t>
  </si>
  <si>
    <t>76°37'32.05"W</t>
  </si>
  <si>
    <t>Washington Township Blvd.</t>
  </si>
  <si>
    <t>N Welty Road (Count this leg)</t>
  </si>
  <si>
    <t>Drive</t>
  </si>
  <si>
    <t>Berks</t>
  </si>
  <si>
    <t>Caernarvon Twp</t>
  </si>
  <si>
    <t>Morgantown Rd</t>
  </si>
  <si>
    <t>SR 0010</t>
  </si>
  <si>
    <t>Quarry Rd</t>
  </si>
  <si>
    <t>Miovision</t>
  </si>
  <si>
    <t>Reading City</t>
  </si>
  <si>
    <t>Centre Av</t>
  </si>
  <si>
    <t>SR 0061</t>
  </si>
  <si>
    <t>Douglass St</t>
  </si>
  <si>
    <t>Ontelaunee Twp</t>
  </si>
  <si>
    <t>Ashley Way / Orchard Ln</t>
  </si>
  <si>
    <t>Hamburg Boro</t>
  </si>
  <si>
    <t>Sr 0061 Sh</t>
  </si>
  <si>
    <t>S Fourth St / Private Driveway (Station Rd)</t>
  </si>
  <si>
    <t>Maidencreek Twp</t>
  </si>
  <si>
    <t>Lake Shore Dr</t>
  </si>
  <si>
    <t>SR 0073</t>
  </si>
  <si>
    <t>Calcium Rd / Orchard Rd</t>
  </si>
  <si>
    <t xml:space="preserve">ATR </t>
  </si>
  <si>
    <t>Ruscombmanor Twp</t>
  </si>
  <si>
    <t>Blandon Rd</t>
  </si>
  <si>
    <t>Hartz Rd</t>
  </si>
  <si>
    <t>Allentown Pk</t>
  </si>
  <si>
    <t>SR 0222</t>
  </si>
  <si>
    <t>Dries Rd</t>
  </si>
  <si>
    <t>Lyons Boro</t>
  </si>
  <si>
    <t>Fleetwood\Lyons Rd</t>
  </si>
  <si>
    <t>SR 1010</t>
  </si>
  <si>
    <t>Main St / Private Dwy</t>
  </si>
  <si>
    <t>SR 2003</t>
  </si>
  <si>
    <t>Court St</t>
  </si>
  <si>
    <t>Paper Mill Rd</t>
  </si>
  <si>
    <t>N Meridian Blvd</t>
  </si>
  <si>
    <t>Century Blvd / Mall Entrance</t>
  </si>
  <si>
    <t>Wyomissing Boro</t>
  </si>
  <si>
    <t>State Hill Rd</t>
  </si>
  <si>
    <t>Greenwood Mall</t>
  </si>
  <si>
    <t>Bucks</t>
  </si>
  <si>
    <t>Springfield Twp</t>
  </si>
  <si>
    <t>Old Bethlehem Rd</t>
  </si>
  <si>
    <t>SR 0212</t>
  </si>
  <si>
    <t>Pleasant View Rd / Township Rd</t>
  </si>
  <si>
    <t>Springtown Rd</t>
  </si>
  <si>
    <t>Hickory Ln</t>
  </si>
  <si>
    <t>Hilltown Twp</t>
  </si>
  <si>
    <t>Bethlehem Pk</t>
  </si>
  <si>
    <t>Hilltown Crossings Plaza</t>
  </si>
  <si>
    <t>Richland Twp</t>
  </si>
  <si>
    <t>Sr 0309 Sh</t>
  </si>
  <si>
    <t>Quakertown Plaza / Trainers Town Plaza</t>
  </si>
  <si>
    <t>East Rockhill Twp</t>
  </si>
  <si>
    <t>Dublin Pk</t>
  </si>
  <si>
    <t>SR 0313</t>
  </si>
  <si>
    <t>Three Mile Run Rd</t>
  </si>
  <si>
    <t xml:space="preserve">Local Road </t>
  </si>
  <si>
    <t>Tinicum Twp</t>
  </si>
  <si>
    <t>Easton Rd</t>
  </si>
  <si>
    <t>SR 0611</t>
  </si>
  <si>
    <t>Durham Rd / Private Dr</t>
  </si>
  <si>
    <t>Nockamixon Twp</t>
  </si>
  <si>
    <t>Tabor Rd</t>
  </si>
  <si>
    <t>John Fries Hw</t>
  </si>
  <si>
    <t>SR 0663</t>
  </si>
  <si>
    <t>Klines Mill Rd</t>
  </si>
  <si>
    <t>Solebury Twp</t>
  </si>
  <si>
    <t>Mechanicsville Rd</t>
  </si>
  <si>
    <t>SR 1002</t>
  </si>
  <si>
    <t>Street Rd</t>
  </si>
  <si>
    <t>Plumstead Twp</t>
  </si>
  <si>
    <t>Stump Rd</t>
  </si>
  <si>
    <t>Haring Rd</t>
  </si>
  <si>
    <t>Bridgeton Twp</t>
  </si>
  <si>
    <t>Bridgeton Hill Rd</t>
  </si>
  <si>
    <t>Hambone Ln</t>
  </si>
  <si>
    <t>Buckingham Twp</t>
  </si>
  <si>
    <t>Stoney Hill Rd</t>
  </si>
  <si>
    <t>SR 2103</t>
  </si>
  <si>
    <t>West Rockhill Twp</t>
  </si>
  <si>
    <t>Allentown Rd</t>
  </si>
  <si>
    <t>SR 4027</t>
  </si>
  <si>
    <t xml:space="preserve">Lower Rocky Dale Rd </t>
  </si>
  <si>
    <t>Richlandtown Pk</t>
  </si>
  <si>
    <t>SR 4047</t>
  </si>
  <si>
    <t>Passer Rd</t>
  </si>
  <si>
    <t>Carbon</t>
  </si>
  <si>
    <t>Lansford Boro</t>
  </si>
  <si>
    <t>Powell St</t>
  </si>
  <si>
    <t>1/25 - 1/26</t>
  </si>
  <si>
    <t>Nesquehoning Boro</t>
  </si>
  <si>
    <t>Sr 0209 Sh</t>
  </si>
  <si>
    <t>Catawissa St</t>
  </si>
  <si>
    <t>Mermon Ave</t>
  </si>
  <si>
    <t>Jim Thorpe Boro</t>
  </si>
  <si>
    <t>Lehigh Av</t>
  </si>
  <si>
    <t>Hazard Sq / Packer Hill Rd</t>
  </si>
  <si>
    <t>Susquehanna St</t>
  </si>
  <si>
    <t>Race St</t>
  </si>
  <si>
    <t>Oak Dr</t>
  </si>
  <si>
    <t>Jamestown St</t>
  </si>
  <si>
    <t>Interchange Rd</t>
  </si>
  <si>
    <t>Maple Ave</t>
  </si>
  <si>
    <t>Rock St</t>
  </si>
  <si>
    <t>Main Rd</t>
  </si>
  <si>
    <t>Hemlock St</t>
  </si>
  <si>
    <t>Towamensing Twp</t>
  </si>
  <si>
    <t>Ridgeview Dr</t>
  </si>
  <si>
    <t>Blakeslee Blvd Dr</t>
  </si>
  <si>
    <t>SR 0443</t>
  </si>
  <si>
    <t>Clinic Rd</t>
  </si>
  <si>
    <t>Semmels Hill Rd / Private Driveway</t>
  </si>
  <si>
    <t>1/13 to 1/14</t>
  </si>
  <si>
    <t>Gilberts Hill Rd</t>
  </si>
  <si>
    <t>Fredericks Grove Rd / Private Dwy</t>
  </si>
  <si>
    <t>Local Road / Private Driveway</t>
  </si>
  <si>
    <t>Mall Lane / Mall Rd</t>
  </si>
  <si>
    <t>Penn Forest Twp</t>
  </si>
  <si>
    <t>Sr 0534 Sh</t>
  </si>
  <si>
    <t>SR 0534</t>
  </si>
  <si>
    <t>Towamensing Trails Rd</t>
  </si>
  <si>
    <t>1/12 to 1/13</t>
  </si>
  <si>
    <t>Meckesville Rd</t>
  </si>
  <si>
    <t>East Penn Twp</t>
  </si>
  <si>
    <t>Lizard Creek Rd</t>
  </si>
  <si>
    <t>SR 0895</t>
  </si>
  <si>
    <t>Germans Rd</t>
  </si>
  <si>
    <t>Spring Garden St</t>
  </si>
  <si>
    <t>SR 0902</t>
  </si>
  <si>
    <t>E. Bertsch St.</t>
  </si>
  <si>
    <t>Lehighton Boro</t>
  </si>
  <si>
    <t>Ninth St</t>
  </si>
  <si>
    <t>Iron St.</t>
  </si>
  <si>
    <t>North St</t>
  </si>
  <si>
    <t>SR 0903</t>
  </si>
  <si>
    <t>W. 3rd St.</t>
  </si>
  <si>
    <t>Sr 0903 Sh</t>
  </si>
  <si>
    <t>Wargo Rd</t>
  </si>
  <si>
    <t>Fawn Rd</t>
  </si>
  <si>
    <t>Private</t>
  </si>
  <si>
    <t>Kidder Twp</t>
  </si>
  <si>
    <t>Lake Harmony Rd</t>
  </si>
  <si>
    <t>Big Boulder Dr / Lipuma Dr</t>
  </si>
  <si>
    <t>Fairyland Rd</t>
  </si>
  <si>
    <t>SR 2015</t>
  </si>
  <si>
    <t>Lark St</t>
  </si>
  <si>
    <t>Penn St. / Indian Hill Rd.</t>
  </si>
  <si>
    <t>SR 3008</t>
  </si>
  <si>
    <t>6th St.</t>
  </si>
  <si>
    <t>2nd St. / Constitution Ave.</t>
  </si>
  <si>
    <t>Broadway Av</t>
  </si>
  <si>
    <t>SR 3012</t>
  </si>
  <si>
    <t>Race St. / Hill Rd.</t>
  </si>
  <si>
    <t>Chester</t>
  </si>
  <si>
    <t>West Sadsbury Twp</t>
  </si>
  <si>
    <t>Compass Rd / Octorara Tr</t>
  </si>
  <si>
    <t>Quarry Rd / Beacon Light Rd</t>
  </si>
  <si>
    <t>Sadsbury Commons Dr</t>
  </si>
  <si>
    <t>Willistown Twp</t>
  </si>
  <si>
    <t>Lancaster Av</t>
  </si>
  <si>
    <t>Central Ave / Green Hollow Rd</t>
  </si>
  <si>
    <t>London Grove Twp</t>
  </si>
  <si>
    <t>Gap Newport Pk</t>
  </si>
  <si>
    <t>SR 0041</t>
  </si>
  <si>
    <t>Woodview Rd</t>
  </si>
  <si>
    <t>West Whiteland Twp</t>
  </si>
  <si>
    <t>Pottstown Pk</t>
  </si>
  <si>
    <t>SR 0100</t>
  </si>
  <si>
    <t>Commerce Drive</t>
  </si>
  <si>
    <t>Uwchlan Twp</t>
  </si>
  <si>
    <t>Sheree Blvd</t>
  </si>
  <si>
    <t>East Bradford Twp</t>
  </si>
  <si>
    <t>Strasburg Rd</t>
  </si>
  <si>
    <t>SR 0162</t>
  </si>
  <si>
    <t>Highland Rd</t>
  </si>
  <si>
    <t>Westtown Twp</t>
  </si>
  <si>
    <t>Wilmington Pk</t>
  </si>
  <si>
    <t>SR 0202</t>
  </si>
  <si>
    <t>Pleasant Grove Rd</t>
  </si>
  <si>
    <t>East Whiteland Twp</t>
  </si>
  <si>
    <t>Conestoga Rd</t>
  </si>
  <si>
    <t>SR 0401</t>
  </si>
  <si>
    <t>Church Rd / Moores Rd</t>
  </si>
  <si>
    <t>East Nottingham Twp</t>
  </si>
  <si>
    <t>Hickory Hill Rd</t>
  </si>
  <si>
    <t>SR 0472</t>
  </si>
  <si>
    <t>Little Elk Creek Rd</t>
  </si>
  <si>
    <t>London Britain Twp</t>
  </si>
  <si>
    <t>New London Rd</t>
  </si>
  <si>
    <t>SR 0896</t>
  </si>
  <si>
    <t>Flint Hill Rd</t>
  </si>
  <si>
    <t>Londonderry Twp</t>
  </si>
  <si>
    <t>SR 0926</t>
  </si>
  <si>
    <t>Hood Rd</t>
  </si>
  <si>
    <t>Dalmally Drive</t>
  </si>
  <si>
    <t>West Goshen Twp</t>
  </si>
  <si>
    <t>Paoli Pk</t>
  </si>
  <si>
    <t>Thomas Ave</t>
  </si>
  <si>
    <t>East Nantmeal Twp</t>
  </si>
  <si>
    <t>Font Rd</t>
  </si>
  <si>
    <t>Columbia</t>
  </si>
  <si>
    <t>Montour Twp</t>
  </si>
  <si>
    <t>Montour Bl</t>
  </si>
  <si>
    <t>Cross Road</t>
  </si>
  <si>
    <t>Bloomsburg Boro</t>
  </si>
  <si>
    <t>Barton Street</t>
  </si>
  <si>
    <t>Leonard Street</t>
  </si>
  <si>
    <t>West Street</t>
  </si>
  <si>
    <t>Jefferson Street</t>
  </si>
  <si>
    <t>Center Street</t>
  </si>
  <si>
    <t xml:space="preserve">Miller Avenue </t>
  </si>
  <si>
    <t>E 4th Street</t>
  </si>
  <si>
    <t>Columbia Blvd</t>
  </si>
  <si>
    <t>Spruce Street</t>
  </si>
  <si>
    <t>Scott Town Center</t>
  </si>
  <si>
    <t>South Centre Twp</t>
  </si>
  <si>
    <t xml:space="preserve">Wolf Hollow Road </t>
  </si>
  <si>
    <t>Berwick Boro</t>
  </si>
  <si>
    <t>Eaton Street</t>
  </si>
  <si>
    <t>Warren Street</t>
  </si>
  <si>
    <t>Orchard Street</t>
  </si>
  <si>
    <t>Mulberry Street</t>
  </si>
  <si>
    <t>Catawissa Twp</t>
  </si>
  <si>
    <t>Numidia Dr</t>
  </si>
  <si>
    <t>SR 0042</t>
  </si>
  <si>
    <t>Old Numidia Rd</t>
  </si>
  <si>
    <t>Hemlock Twp</t>
  </si>
  <si>
    <t>Millville Rd</t>
  </si>
  <si>
    <t>Ebner Dr / Melnik Hollow Rd</t>
  </si>
  <si>
    <t>Madison Twp</t>
  </si>
  <si>
    <t>Robbins Rd</t>
  </si>
  <si>
    <t>Millville Boro</t>
  </si>
  <si>
    <t>Haven Ln</t>
  </si>
  <si>
    <t>North Centre Twp</t>
  </si>
  <si>
    <t>Sr 0093 Sh</t>
  </si>
  <si>
    <t>Stony Brook Rd</t>
  </si>
  <si>
    <t>Southern Dr</t>
  </si>
  <si>
    <t>SR 0487</t>
  </si>
  <si>
    <t>Knoebels Pkwy</t>
  </si>
  <si>
    <t>Lightstreet Rd</t>
  </si>
  <si>
    <t>Country Club Drive</t>
  </si>
  <si>
    <t>Fishing Creek Twp</t>
  </si>
  <si>
    <t>Winding Rd</t>
  </si>
  <si>
    <t>SR 1020</t>
  </si>
  <si>
    <t>Harrison Rd</t>
  </si>
  <si>
    <t>Harrisburg City</t>
  </si>
  <si>
    <t>Cameron St</t>
  </si>
  <si>
    <t>Azalea Dr / Farm Show Dr</t>
  </si>
  <si>
    <t>Halifax Twp</t>
  </si>
  <si>
    <t>N River Rd</t>
  </si>
  <si>
    <t>SR 0147</t>
  </si>
  <si>
    <t>Grand View Dr / Seiders Rd</t>
  </si>
  <si>
    <t>Millersburg Boro</t>
  </si>
  <si>
    <t>St Rt 209</t>
  </si>
  <si>
    <t>Lebo St</t>
  </si>
  <si>
    <t>Green Acres Ave</t>
  </si>
  <si>
    <t>Engle Rd / Private Dr</t>
  </si>
  <si>
    <t>Manors Rd</t>
  </si>
  <si>
    <t>Lykens Boro</t>
  </si>
  <si>
    <t>Spruce St</t>
  </si>
  <si>
    <t>Arch St / Spruce St</t>
  </si>
  <si>
    <t>Williams Twp</t>
  </si>
  <si>
    <t>Middle Paxton Twp</t>
  </si>
  <si>
    <t>Peters Mountain Rd</t>
  </si>
  <si>
    <t>SR 0225</t>
  </si>
  <si>
    <t>Evergreen Ln</t>
  </si>
  <si>
    <t>SR 0230</t>
  </si>
  <si>
    <t>Calder St</t>
  </si>
  <si>
    <t>Harrisburg Pk</t>
  </si>
  <si>
    <t>Hertzler Rd</t>
  </si>
  <si>
    <t>Chocolate Av</t>
  </si>
  <si>
    <t>Linden Rd</t>
  </si>
  <si>
    <t>Middletown Rd</t>
  </si>
  <si>
    <t>Deer Run Dr / Stoverdale Rd</t>
  </si>
  <si>
    <t>Waltonville Rd</t>
  </si>
  <si>
    <t>Fox Glenn Dr</t>
  </si>
  <si>
    <t>Penbrook Boro</t>
  </si>
  <si>
    <t>Canby St</t>
  </si>
  <si>
    <t>31st St</t>
  </si>
  <si>
    <t>Powells Valley Rd</t>
  </si>
  <si>
    <t>Price Rd</t>
  </si>
  <si>
    <t>Middletown Twp</t>
  </si>
  <si>
    <t>Baltimore Pk</t>
  </si>
  <si>
    <t>SR 0001</t>
  </si>
  <si>
    <t>Granite Run Mall Rd</t>
  </si>
  <si>
    <t>Upper Darby Twp</t>
  </si>
  <si>
    <t>Township Line Rd</t>
  </si>
  <si>
    <t>Wilson Dr / Quarry Center Dr</t>
  </si>
  <si>
    <t>West Chester Pk</t>
  </si>
  <si>
    <t>SR 0003</t>
  </si>
  <si>
    <t>Bywood Ave</t>
  </si>
  <si>
    <t>Governor Printz Bl</t>
  </si>
  <si>
    <t>SR 0291</t>
  </si>
  <si>
    <t>Third Ave</t>
  </si>
  <si>
    <t>Marple Twp</t>
  </si>
  <si>
    <t>Sproul Rd</t>
  </si>
  <si>
    <t>Williamsburg Dr</t>
  </si>
  <si>
    <t>Concord Twp</t>
  </si>
  <si>
    <t>Conchester Hw</t>
  </si>
  <si>
    <t>Evergreen Dr</t>
  </si>
  <si>
    <t>Ridley Twp</t>
  </si>
  <si>
    <t>Kedron Av</t>
  </si>
  <si>
    <t>SR 0420</t>
  </si>
  <si>
    <t>Private Driveway/Parker Ave</t>
  </si>
  <si>
    <t>Private Driveway</t>
  </si>
  <si>
    <t>Haverford Twp</t>
  </si>
  <si>
    <t>Haverford Rd</t>
  </si>
  <si>
    <t>Valley View Rd</t>
  </si>
  <si>
    <t>Macdade Bl</t>
  </si>
  <si>
    <t>Amosland Rd</t>
  </si>
  <si>
    <t>Collingdale Boro</t>
  </si>
  <si>
    <t>Clifton Av</t>
  </si>
  <si>
    <t>SR 2013</t>
  </si>
  <si>
    <t>Andrews Ave</t>
  </si>
  <si>
    <t>SR 2016</t>
  </si>
  <si>
    <t>West Ave</t>
  </si>
  <si>
    <t>Lansdowne Boro</t>
  </si>
  <si>
    <t>Owen Ave</t>
  </si>
  <si>
    <t>Marshall Rd</t>
  </si>
  <si>
    <t>SR 2024</t>
  </si>
  <si>
    <t>Kent Rd</t>
  </si>
  <si>
    <t>Morton Boro</t>
  </si>
  <si>
    <t>Morton Av</t>
  </si>
  <si>
    <t>Mitchell Ave</t>
  </si>
  <si>
    <t>Morgan Ave</t>
  </si>
  <si>
    <t>West Lampeter Twp</t>
  </si>
  <si>
    <t>Beaver Valley Pk</t>
  </si>
  <si>
    <t>Hans Herr Dr</t>
  </si>
  <si>
    <t>Willow Street Pk</t>
  </si>
  <si>
    <t>Willow  Valley Dr / Willow Valley Sq</t>
  </si>
  <si>
    <t>West Donegal Twp</t>
  </si>
  <si>
    <t>Bainbridge Rd</t>
  </si>
  <si>
    <t>SR 0241</t>
  </si>
  <si>
    <t>Bossler Rd</t>
  </si>
  <si>
    <t>Paradise Twp</t>
  </si>
  <si>
    <t>SR 0741</t>
  </si>
  <si>
    <t>Vintage Rd</t>
  </si>
  <si>
    <t>Salisbury Twp</t>
  </si>
  <si>
    <t>Newport Rd</t>
  </si>
  <si>
    <t>SR 0772</t>
  </si>
  <si>
    <t>Amish Rd</t>
  </si>
  <si>
    <t>Earl Twp</t>
  </si>
  <si>
    <t>Railroad Av</t>
  </si>
  <si>
    <t>SR 1011</t>
  </si>
  <si>
    <t>Huyard Rd</t>
  </si>
  <si>
    <t>Peters Rd</t>
  </si>
  <si>
    <t>Hollander Rd</t>
  </si>
  <si>
    <t>2/10 to 2/11</t>
  </si>
  <si>
    <t>Gypsy Hill Rd</t>
  </si>
  <si>
    <t>SR 2039</t>
  </si>
  <si>
    <t>Long Rifle Rd</t>
  </si>
  <si>
    <t>Pequea Twp</t>
  </si>
  <si>
    <t>New Danville Pk</t>
  </si>
  <si>
    <t>Stoney Ln</t>
  </si>
  <si>
    <t>Doe Run Rd</t>
  </si>
  <si>
    <t>Lexington Rd</t>
  </si>
  <si>
    <t>Cornwall Boro</t>
  </si>
  <si>
    <t>Quentin Rd</t>
  </si>
  <si>
    <t>SR 0072</t>
  </si>
  <si>
    <t>Zinns Mill Rd</t>
  </si>
  <si>
    <t>North Lebanon Twp</t>
  </si>
  <si>
    <t>Ebenezer Rd</t>
  </si>
  <si>
    <t>Horst Dr</t>
  </si>
  <si>
    <t>Forge Rd</t>
  </si>
  <si>
    <t>Hinkle Rd</t>
  </si>
  <si>
    <t>Airport Rd</t>
  </si>
  <si>
    <t>North Londonderry Twp</t>
  </si>
  <si>
    <t>Elm St</t>
  </si>
  <si>
    <t>North Cornwall Twp</t>
  </si>
  <si>
    <t>Colebrook Rd</t>
  </si>
  <si>
    <t>Royal Rd</t>
  </si>
  <si>
    <t>Horseshoe Pk</t>
  </si>
  <si>
    <t>N Thistledown Dr / S Thistledown Dr</t>
  </si>
  <si>
    <t>West Cornwall Twp</t>
  </si>
  <si>
    <t>Spangler Rd</t>
  </si>
  <si>
    <t>Seventh St</t>
  </si>
  <si>
    <t>SR 0343</t>
  </si>
  <si>
    <t>Kercher Av</t>
  </si>
  <si>
    <t>Palmyra Boro</t>
  </si>
  <si>
    <t>Locust St</t>
  </si>
  <si>
    <t>Green St</t>
  </si>
  <si>
    <t>Annville Twp</t>
  </si>
  <si>
    <t>Martin Rd</t>
  </si>
  <si>
    <t>Heidelberg Twp</t>
  </si>
  <si>
    <t>Stiegel Pk</t>
  </si>
  <si>
    <t>SR 0501</t>
  </si>
  <si>
    <t>Michters Rd</t>
  </si>
  <si>
    <t>Myerstown Boro</t>
  </si>
  <si>
    <t>College St</t>
  </si>
  <si>
    <t>North Annville Twp</t>
  </si>
  <si>
    <t>White Oak St</t>
  </si>
  <si>
    <t>SR 0934</t>
  </si>
  <si>
    <t>Kauffman Rd</t>
  </si>
  <si>
    <t>Bellegrove Rd</t>
  </si>
  <si>
    <t>Clear Spring Rd</t>
  </si>
  <si>
    <t>Sandhill Rd</t>
  </si>
  <si>
    <t>Jay St</t>
  </si>
  <si>
    <t>Grace Av</t>
  </si>
  <si>
    <t>Kochenderfer Rd</t>
  </si>
  <si>
    <t>Prescott Dr</t>
  </si>
  <si>
    <t>Kercher  Av</t>
  </si>
  <si>
    <t>Lehigh</t>
  </si>
  <si>
    <t>Upper Milford Twp</t>
  </si>
  <si>
    <t>Kings Highway Rd</t>
  </si>
  <si>
    <t>E Macungie Rd</t>
  </si>
  <si>
    <t>Allentown City</t>
  </si>
  <si>
    <t>SR 0145</t>
  </si>
  <si>
    <t>Lexington St.</t>
  </si>
  <si>
    <t>Lehigh St</t>
  </si>
  <si>
    <t>0076</t>
  </si>
  <si>
    <t>Martin Luther King Jr. Dr.</t>
  </si>
  <si>
    <t>Whitehall Twp</t>
  </si>
  <si>
    <t>Macarthur Rd</t>
  </si>
  <si>
    <t>Sutler Drive</t>
  </si>
  <si>
    <t>Upper Macungie Twp</t>
  </si>
  <si>
    <t>Sr 0222 Sh</t>
  </si>
  <si>
    <t>Folk Rd</t>
  </si>
  <si>
    <t>South Whitehall Twp</t>
  </si>
  <si>
    <t>Hoffmansville Rd</t>
  </si>
  <si>
    <t>Lynn Twp</t>
  </si>
  <si>
    <t>Appalachian Py</t>
  </si>
  <si>
    <t>Lloyd St.</t>
  </si>
  <si>
    <t>Upper Saucon Twp</t>
  </si>
  <si>
    <t>Vera Cruz Rd</t>
  </si>
  <si>
    <t>Chestnut Hill Rd</t>
  </si>
  <si>
    <t>Lower Milford Twp</t>
  </si>
  <si>
    <t>Kings Hw</t>
  </si>
  <si>
    <t>Milky Way</t>
  </si>
  <si>
    <t>Limeport Pk</t>
  </si>
  <si>
    <t>SR 2029</t>
  </si>
  <si>
    <t>Beverly Hills  Rd</t>
  </si>
  <si>
    <t>SR 2040</t>
  </si>
  <si>
    <t>Chestnut Hill Rd.</t>
  </si>
  <si>
    <t>Schantz Rd</t>
  </si>
  <si>
    <t>Grim Rd.</t>
  </si>
  <si>
    <t>Schochary Rd</t>
  </si>
  <si>
    <t>SR 4033</t>
  </si>
  <si>
    <t>Owl Valley Rd</t>
  </si>
  <si>
    <t>Lower Macungie Twp</t>
  </si>
  <si>
    <t>Hamilton Bl</t>
  </si>
  <si>
    <t>SR 6222</t>
  </si>
  <si>
    <t>Mill Creek Rd.</t>
  </si>
  <si>
    <t>Monroe</t>
  </si>
  <si>
    <t>Chestnuthill Twp</t>
  </si>
  <si>
    <t>Sr 0115 Sh</t>
  </si>
  <si>
    <t>SR 0115</t>
  </si>
  <si>
    <t>Astolat Rd</t>
  </si>
  <si>
    <t>Evergreen Hollow Rd</t>
  </si>
  <si>
    <t>Stroudsburg Boro</t>
  </si>
  <si>
    <t>Ann St.</t>
  </si>
  <si>
    <t>Coolbaugh Twp</t>
  </si>
  <si>
    <t>Sterling Rd</t>
  </si>
  <si>
    <t>SR 0196</t>
  </si>
  <si>
    <t>Green Rd</t>
  </si>
  <si>
    <t>Kings Way / Seven Nation Dr</t>
  </si>
  <si>
    <t>Polk Twp</t>
  </si>
  <si>
    <t>Hideaway Hill Rd</t>
  </si>
  <si>
    <t>Burger Hollow Rd / Lower Greenhill Rd</t>
  </si>
  <si>
    <t>Lake Mineola Rd</t>
  </si>
  <si>
    <t>Camellia Rd</t>
  </si>
  <si>
    <t>Seven Bridges Rd</t>
  </si>
  <si>
    <t>Elilenberger Rd. / Music Center Dr.</t>
  </si>
  <si>
    <t>Hillsdale Dr.</t>
  </si>
  <si>
    <t>Middle Smithfield Twp</t>
  </si>
  <si>
    <t>Milford Rd</t>
  </si>
  <si>
    <t>Sellersville Dr</t>
  </si>
  <si>
    <t>Municipal Dr</t>
  </si>
  <si>
    <t>Edward F. Smith Blvd</t>
  </si>
  <si>
    <t>Park Av</t>
  </si>
  <si>
    <t>Barry St</t>
  </si>
  <si>
    <t>Stroud Twp</t>
  </si>
  <si>
    <t>North Ninth St</t>
  </si>
  <si>
    <t>Commerce Blvd / Frantz Rd</t>
  </si>
  <si>
    <t>Private Dwy / Local Road</t>
  </si>
  <si>
    <t>Sr 0611 Sh</t>
  </si>
  <si>
    <t>Corporate Center Dr W / Corporate Center Dr E</t>
  </si>
  <si>
    <t>Brier Crest Rd</t>
  </si>
  <si>
    <t>Tobyhanna Twp</t>
  </si>
  <si>
    <t>Sr 0940 Sh</t>
  </si>
  <si>
    <t>SR 0940</t>
  </si>
  <si>
    <t>Miller Dr / Paxmont Dr</t>
  </si>
  <si>
    <t>Pocono Summit Rd</t>
  </si>
  <si>
    <t xml:space="preserve">Harvest Lane </t>
  </si>
  <si>
    <t xml:space="preserve">Health Lane </t>
  </si>
  <si>
    <t>Mt Pocono Boro</t>
  </si>
  <si>
    <t>Oak St / Wal Mart driveway</t>
  </si>
  <si>
    <t>SR 2012</t>
  </si>
  <si>
    <t>Craigs Meadow Rd / Franklin Hill Rd</t>
  </si>
  <si>
    <t>Ross Twp</t>
  </si>
  <si>
    <t>Sr 3017 Sh</t>
  </si>
  <si>
    <t>SR 3017</t>
  </si>
  <si>
    <t>Meixsell Valley Rd</t>
  </si>
  <si>
    <t>Long Pond Rd</t>
  </si>
  <si>
    <t>Montgomery</t>
  </si>
  <si>
    <t>Upper Dublin Twp</t>
  </si>
  <si>
    <t>Welsh Rd</t>
  </si>
  <si>
    <t>SR 0063</t>
  </si>
  <si>
    <t>Electronic Dr</t>
  </si>
  <si>
    <t>Welsh Rd / Moreland Rd</t>
  </si>
  <si>
    <t>Prudential Dr / Computer Ave</t>
  </si>
  <si>
    <t>Abington Twp</t>
  </si>
  <si>
    <t>Moreland Rd</t>
  </si>
  <si>
    <t>Park Ave / Local Road</t>
  </si>
  <si>
    <t>Horsham Twp</t>
  </si>
  <si>
    <t>Gwynedd Crossing Dr / English Village Dr</t>
  </si>
  <si>
    <t>Hatfield Twp</t>
  </si>
  <si>
    <t>Lenhart Rd</t>
  </si>
  <si>
    <t>West Norriton Twp</t>
  </si>
  <si>
    <t>Trooper Rd</t>
  </si>
  <si>
    <t>SR 0363</t>
  </si>
  <si>
    <t>Boulevard of the Generals / Shannondell Blvd</t>
  </si>
  <si>
    <t>Upper Moreland Twp</t>
  </si>
  <si>
    <t>Byberry Rd</t>
  </si>
  <si>
    <t>SR 2009</t>
  </si>
  <si>
    <t>Pioneer Rd</t>
  </si>
  <si>
    <t>Ambler Boro</t>
  </si>
  <si>
    <t>SR 2018</t>
  </si>
  <si>
    <t>Lindenwold Ave / Lindenwold Terrace</t>
  </si>
  <si>
    <t>Cheltenham Twp</t>
  </si>
  <si>
    <t>Cheltenham Av</t>
  </si>
  <si>
    <t>Mt Airy Ave</t>
  </si>
  <si>
    <t>SR 3009</t>
  </si>
  <si>
    <t>Sheridan Ln / Montgomery Ave</t>
  </si>
  <si>
    <t>Norristown Boro</t>
  </si>
  <si>
    <t>Markley St</t>
  </si>
  <si>
    <t>Lower Merion Twp</t>
  </si>
  <si>
    <t>Wynnewood Rd</t>
  </si>
  <si>
    <t>SR 3044</t>
  </si>
  <si>
    <t>Old West Wynwood Rd / Ballytore Rd</t>
  </si>
  <si>
    <t>Egypt Rd</t>
  </si>
  <si>
    <t>Heston Ave/Private Driveway</t>
  </si>
  <si>
    <t>School Ln</t>
  </si>
  <si>
    <t>Limerick Twp</t>
  </si>
  <si>
    <t>Ridge Pk</t>
  </si>
  <si>
    <t>Montour</t>
  </si>
  <si>
    <t>Danville Boro</t>
  </si>
  <si>
    <t>Walnut St / Bloom St</t>
  </si>
  <si>
    <t>Ferry Street</t>
  </si>
  <si>
    <t>Pearl Street</t>
  </si>
  <si>
    <t>Cooper Twp</t>
  </si>
  <si>
    <t xml:space="preserve">Reinaker Road / Steltz Road </t>
  </si>
  <si>
    <t>Bloom Rd</t>
  </si>
  <si>
    <t>Shady Lane</t>
  </si>
  <si>
    <t>Byrd Avenue</t>
  </si>
  <si>
    <t>Northampton</t>
  </si>
  <si>
    <t>Moore Twp</t>
  </si>
  <si>
    <t>Pheasant Dr</t>
  </si>
  <si>
    <t>SR 0248</t>
  </si>
  <si>
    <t>W Beersville Rd</t>
  </si>
  <si>
    <t>Lower Nazareth Twp</t>
  </si>
  <si>
    <t>Nazareth Rd</t>
  </si>
  <si>
    <t>Prologis Rd</t>
  </si>
  <si>
    <t>Corriere Rd</t>
  </si>
  <si>
    <t>Palmer Twp</t>
  </si>
  <si>
    <t>Old Nazareth Rd / Crest Blvd</t>
  </si>
  <si>
    <t>Bethlehem City</t>
  </si>
  <si>
    <t>Hellertown Rd</t>
  </si>
  <si>
    <t>SR 0412</t>
  </si>
  <si>
    <t xml:space="preserve">Commerce Center Blvd </t>
  </si>
  <si>
    <t>Daly Av</t>
  </si>
  <si>
    <t xml:space="preserve">Sands Blvd </t>
  </si>
  <si>
    <t>Beth Bath Pk</t>
  </si>
  <si>
    <t>SR 0512</t>
  </si>
  <si>
    <t>Hanoverville Rd / Sterners Way</t>
  </si>
  <si>
    <t>East Allen Twp</t>
  </si>
  <si>
    <t>Locust Rd</t>
  </si>
  <si>
    <t>SR 0987</t>
  </si>
  <si>
    <t>Bethlehem Twp</t>
  </si>
  <si>
    <t>Emrick Blvd</t>
  </si>
  <si>
    <t>Forks Twp</t>
  </si>
  <si>
    <t>Richmond Rd</t>
  </si>
  <si>
    <t>SR 2021</t>
  </si>
  <si>
    <t>Newlins Rd</t>
  </si>
  <si>
    <t>Center St</t>
  </si>
  <si>
    <t>SR 3011</t>
  </si>
  <si>
    <t>Dewberry Ave / Dewberry Ave</t>
  </si>
  <si>
    <t>Newburg Rd</t>
  </si>
  <si>
    <t>Northwood Ave</t>
  </si>
  <si>
    <t>Northumberland</t>
  </si>
  <si>
    <t>Northumberland Boro</t>
  </si>
  <si>
    <t>Orange Street</t>
  </si>
  <si>
    <t>Point Twp</t>
  </si>
  <si>
    <t>Point Twp Rd</t>
  </si>
  <si>
    <t>Witmer Drive / Private Driveway</t>
  </si>
  <si>
    <t>Watsontown Boro</t>
  </si>
  <si>
    <t>4th Street</t>
  </si>
  <si>
    <t>Persun Ln</t>
  </si>
  <si>
    <t>Lewis Twp</t>
  </si>
  <si>
    <t>Warrior Run Blvd</t>
  </si>
  <si>
    <t>Ralpho Twp</t>
  </si>
  <si>
    <t>Southview Dr</t>
  </si>
  <si>
    <t>Hillside Ave</t>
  </si>
  <si>
    <t>Lindy Acres Rd</t>
  </si>
  <si>
    <t>Mount Carmel Boro</t>
  </si>
  <si>
    <t>West Av</t>
  </si>
  <si>
    <t>Vine Street</t>
  </si>
  <si>
    <t>Coal Twp</t>
  </si>
  <si>
    <t>Coal Township Plaza</t>
  </si>
  <si>
    <t>Shamokin City</t>
  </si>
  <si>
    <t>Sunbury St</t>
  </si>
  <si>
    <t>Washington Street</t>
  </si>
  <si>
    <t>Shamokin Twp</t>
  </si>
  <si>
    <t>Main St / Miles Rd</t>
  </si>
  <si>
    <t>Old Reading Rd</t>
  </si>
  <si>
    <t>Upper Augusta Twp</t>
  </si>
  <si>
    <t>Fox Rd</t>
  </si>
  <si>
    <t>0510</t>
  </si>
  <si>
    <t>Green Street</t>
  </si>
  <si>
    <t>Sunbury City</t>
  </si>
  <si>
    <t>Seventh Street</t>
  </si>
  <si>
    <t>Sr 0147 Sh</t>
  </si>
  <si>
    <t>Sports Zone Rd</t>
  </si>
  <si>
    <t>Turbot Twp</t>
  </si>
  <si>
    <t>Sr 0254 Sh</t>
  </si>
  <si>
    <t>SR 0254</t>
  </si>
  <si>
    <t>West Chillisquaque Twp</t>
  </si>
  <si>
    <t>Sr 0405 Sh</t>
  </si>
  <si>
    <t>Old Route 45</t>
  </si>
  <si>
    <t>Milton Boro</t>
  </si>
  <si>
    <t>Arch Street</t>
  </si>
  <si>
    <t>Locust Street</t>
  </si>
  <si>
    <t>Valley Av</t>
  </si>
  <si>
    <t>Kase St</t>
  </si>
  <si>
    <t>Leiby Rd</t>
  </si>
  <si>
    <t>Sr 0901 Sh</t>
  </si>
  <si>
    <t>SR 0901</t>
  </si>
  <si>
    <t>Upper Excelsior Rd / Upper Main St</t>
  </si>
  <si>
    <t>Mt Carmel Twp</t>
  </si>
  <si>
    <t>Locust Gap Hwy</t>
  </si>
  <si>
    <t>SR 2038</t>
  </si>
  <si>
    <t>Back Street</t>
  </si>
  <si>
    <t>Eleventh St</t>
  </si>
  <si>
    <t>Purdy Street</t>
  </si>
  <si>
    <t>Philadelphia</t>
  </si>
  <si>
    <t>Philadelphia City</t>
  </si>
  <si>
    <t>City Av</t>
  </si>
  <si>
    <t>Bryn Mawr Ave</t>
  </si>
  <si>
    <t>SR 0013</t>
  </si>
  <si>
    <t>Fiftyeighth St</t>
  </si>
  <si>
    <t>Frankford Av</t>
  </si>
  <si>
    <t>Ryan Ave</t>
  </si>
  <si>
    <t>Girard Av</t>
  </si>
  <si>
    <t>Fourty Eighth St</t>
  </si>
  <si>
    <t>Cottman Av</t>
  </si>
  <si>
    <t>Large St</t>
  </si>
  <si>
    <t>York St</t>
  </si>
  <si>
    <t>Cumberland St</t>
  </si>
  <si>
    <t>Sedgley Ave</t>
  </si>
  <si>
    <t xml:space="preserve">Venango St </t>
  </si>
  <si>
    <t>Erie Av</t>
  </si>
  <si>
    <t>K St</t>
  </si>
  <si>
    <t>Castor Av</t>
  </si>
  <si>
    <t>Unruh Ave</t>
  </si>
  <si>
    <t>Levick St</t>
  </si>
  <si>
    <t>SR 1008</t>
  </si>
  <si>
    <t>Grant Av</t>
  </si>
  <si>
    <t>SR 1018</t>
  </si>
  <si>
    <t>Blue Grass Rd / Local Road</t>
  </si>
  <si>
    <t>SR 2007</t>
  </si>
  <si>
    <t>Devereaux Ave</t>
  </si>
  <si>
    <t>Hawthorne St</t>
  </si>
  <si>
    <t>Allegheny Av</t>
  </si>
  <si>
    <t>Shelbourne St</t>
  </si>
  <si>
    <t>Belmont Av</t>
  </si>
  <si>
    <t>SR 3005</t>
  </si>
  <si>
    <t>Merion Ave</t>
  </si>
  <si>
    <t>Sixteenth St</t>
  </si>
  <si>
    <t>SR 3027</t>
  </si>
  <si>
    <t>Cuthbert St</t>
  </si>
  <si>
    <t>SR 4007</t>
  </si>
  <si>
    <t>Apsley St</t>
  </si>
  <si>
    <t>Schuylkill</t>
  </si>
  <si>
    <t>North Manheim Twp</t>
  </si>
  <si>
    <t>Center Av</t>
  </si>
  <si>
    <t>Manheim Rd</t>
  </si>
  <si>
    <t>University Drive</t>
  </si>
  <si>
    <t>Seven Stars Rd</t>
  </si>
  <si>
    <t>Saint Clair Boro</t>
  </si>
  <si>
    <t>Saint Clair Bp</t>
  </si>
  <si>
    <t>Terry Rich Blvd</t>
  </si>
  <si>
    <t>Sr 0183 Sh</t>
  </si>
  <si>
    <t>SR 0183</t>
  </si>
  <si>
    <t xml:space="preserve">Cross Creek Drive </t>
  </si>
  <si>
    <t>Cressona Boro</t>
  </si>
  <si>
    <t>Sillyman St</t>
  </si>
  <si>
    <t>Grove Street / Millers Alley</t>
  </si>
  <si>
    <t>Pottsville City</t>
  </si>
  <si>
    <t>Blythe Twp</t>
  </si>
  <si>
    <t>Coal St</t>
  </si>
  <si>
    <t>Rush Twp</t>
  </si>
  <si>
    <t>Claremont Av</t>
  </si>
  <si>
    <t>Pine Ave</t>
  </si>
  <si>
    <t>Tide Rd</t>
  </si>
  <si>
    <t>Lincoln Dr</t>
  </si>
  <si>
    <t>SR 1021</t>
  </si>
  <si>
    <t>Pine Grove Twp</t>
  </si>
  <si>
    <t>Pleasant Valley Rd</t>
  </si>
  <si>
    <t>Waterfall Rd</t>
  </si>
  <si>
    <t>Deturksville Rd</t>
  </si>
  <si>
    <t>Frantz Rd / Kurtz Rd</t>
  </si>
  <si>
    <t>Sr 0443 Sh</t>
  </si>
  <si>
    <t>Renningers Rd</t>
  </si>
  <si>
    <t>West Penn Twp</t>
  </si>
  <si>
    <t>E Penn Dr</t>
  </si>
  <si>
    <t>Mantzville Rd</t>
  </si>
  <si>
    <t>Fairgrounds Rd</t>
  </si>
  <si>
    <t>Sunbury Rd</t>
  </si>
  <si>
    <t>Keystone Blvd</t>
  </si>
  <si>
    <t>Gordon Nagle Tr</t>
  </si>
  <si>
    <t>Red Horse Rd</t>
  </si>
  <si>
    <t>Shenandoah Boro</t>
  </si>
  <si>
    <t>Gold Star Hw</t>
  </si>
  <si>
    <t>SR 0924</t>
  </si>
  <si>
    <t>Gold Star Plaza</t>
  </si>
  <si>
    <t>Snyder</t>
  </si>
  <si>
    <t>Chapman Twp</t>
  </si>
  <si>
    <t>Shady Ln</t>
  </si>
  <si>
    <t>Charles Attig Mem Hw</t>
  </si>
  <si>
    <t>0696</t>
  </si>
  <si>
    <t>Monroe Street</t>
  </si>
  <si>
    <t>0158</t>
  </si>
  <si>
    <t>Long Avenue</t>
  </si>
  <si>
    <t>Shamokin Dam Boro</t>
  </si>
  <si>
    <t>Stettler Avenue</t>
  </si>
  <si>
    <t>Granger Hollow Rd</t>
  </si>
  <si>
    <t>Blue Hill Dr</t>
  </si>
  <si>
    <t>Wedgewood Drive</t>
  </si>
  <si>
    <t>Sr 0104 Sh</t>
  </si>
  <si>
    <t>SR 0104</t>
  </si>
  <si>
    <t>Mill Rd</t>
  </si>
  <si>
    <t>Wausau Rd</t>
  </si>
  <si>
    <t>Dinius Ave</t>
  </si>
  <si>
    <t>Middleburg Boro</t>
  </si>
  <si>
    <t>Oak Ave</t>
  </si>
  <si>
    <t>Shambach Rd</t>
  </si>
  <si>
    <t>Sr 0522 Sh</t>
  </si>
  <si>
    <t>Beavertown Boro</t>
  </si>
  <si>
    <t>Orange St</t>
  </si>
  <si>
    <t>Zechman St</t>
  </si>
  <si>
    <t>Creamery Ave</t>
  </si>
  <si>
    <t>Middlecreek Twp</t>
  </si>
  <si>
    <t>Freeburg Road</t>
  </si>
  <si>
    <t>Selinsgrove Boro</t>
  </si>
  <si>
    <t>8th Street</t>
  </si>
  <si>
    <t>New Berlin Hw</t>
  </si>
  <si>
    <t>Sunset Dr</t>
  </si>
  <si>
    <t>University Av</t>
  </si>
  <si>
    <t>Grayson View Court / Belmar Avenue</t>
  </si>
  <si>
    <t>Local / Local</t>
  </si>
  <si>
    <t>Eleventh Av</t>
  </si>
  <si>
    <t>SR 1019</t>
  </si>
  <si>
    <t>Maple St</t>
  </si>
  <si>
    <t>N Old Trail Rd</t>
  </si>
  <si>
    <t>SR 1023</t>
  </si>
  <si>
    <t>Roosevelt Ave</t>
  </si>
  <si>
    <t>SR 2017</t>
  </si>
  <si>
    <t>Pear St</t>
  </si>
  <si>
    <t>Groover Dr / Riverbreeze Ave</t>
  </si>
  <si>
    <t>Lewisburg Boro</t>
  </si>
  <si>
    <t>Derr Dr</t>
  </si>
  <si>
    <t>Adams Ave</t>
  </si>
  <si>
    <t>Kelly Twp</t>
  </si>
  <si>
    <t>Loan Rd</t>
  </si>
  <si>
    <t>Walter Dr</t>
  </si>
  <si>
    <t>Zeigler Rd</t>
  </si>
  <si>
    <t>White Deer Ave</t>
  </si>
  <si>
    <t>East Buffalo Twp</t>
  </si>
  <si>
    <t>Old Turnpike Rd</t>
  </si>
  <si>
    <t>Brook Dr</t>
  </si>
  <si>
    <t>11th St / Alley</t>
  </si>
  <si>
    <t>Mensch Rd</t>
  </si>
  <si>
    <t>West Buffalo Twp</t>
  </si>
  <si>
    <t>SR 0192</t>
  </si>
  <si>
    <t>Centenial Rd / Walbash Rd</t>
  </si>
  <si>
    <t>Reitz Blvd</t>
  </si>
  <si>
    <t>Col John Kelly Rd</t>
  </si>
  <si>
    <t>Strawbridge Rd</t>
  </si>
  <si>
    <t>Red Top Ln</t>
  </si>
  <si>
    <t>Yarger Rd / Newman Rd</t>
  </si>
  <si>
    <t>William Penn Dr</t>
  </si>
  <si>
    <t>Newman Rd</t>
  </si>
  <si>
    <t>Furnace Rd</t>
  </si>
  <si>
    <t>Stein Ln</t>
  </si>
  <si>
    <t>Green Ridge Rd</t>
  </si>
  <si>
    <t>Shively Rd</t>
  </si>
  <si>
    <t>Tilghman St</t>
  </si>
  <si>
    <t>Springhouse Rd.</t>
  </si>
  <si>
    <t>Local Rd</t>
  </si>
  <si>
    <t>French</t>
  </si>
  <si>
    <t>Leechburg Boro</t>
  </si>
  <si>
    <t>Third St / River Av</t>
  </si>
  <si>
    <t>Gilpin Twp</t>
  </si>
  <si>
    <t>Godfrey Rd</t>
  </si>
  <si>
    <t>West Kittanning Boro</t>
  </si>
  <si>
    <t>Butler Rd</t>
  </si>
  <si>
    <t>SR 0268</t>
  </si>
  <si>
    <t>Woodland Dr</t>
  </si>
  <si>
    <t>Parker City</t>
  </si>
  <si>
    <t>Plumcreek Twp</t>
  </si>
  <si>
    <t>Sleep Hollow Rd</t>
  </si>
  <si>
    <t>Rayburn Twp</t>
  </si>
  <si>
    <t>Troy Hill Rd</t>
  </si>
  <si>
    <t>SR 1036</t>
  </si>
  <si>
    <t>Gruskin Rd / Cemetery</t>
  </si>
  <si>
    <t>Kittanning Boro</t>
  </si>
  <si>
    <t>SR 1038</t>
  </si>
  <si>
    <t>Margaret Rd</t>
  </si>
  <si>
    <t>Sunken Valley Rd</t>
  </si>
  <si>
    <t>Bedford</t>
  </si>
  <si>
    <t>Everett Boro</t>
  </si>
  <si>
    <t>N Spring St</t>
  </si>
  <si>
    <t>Short St</t>
  </si>
  <si>
    <t>Snake Spring Twp</t>
  </si>
  <si>
    <t>Bedford Square Plz / Private Drive</t>
  </si>
  <si>
    <t>East Providence Twp</t>
  </si>
  <si>
    <t>N Main St / Municipal Rd</t>
  </si>
  <si>
    <t>TA Travel Center Rd</t>
  </si>
  <si>
    <t>Hyndman Rd</t>
  </si>
  <si>
    <t>SR 0096</t>
  </si>
  <si>
    <t>Tiger Valley Rd</t>
  </si>
  <si>
    <t>West St Clair Twp</t>
  </si>
  <si>
    <t>Route 96</t>
  </si>
  <si>
    <t>Lovely Rd</t>
  </si>
  <si>
    <t>Gordon Hall Rd</t>
  </si>
  <si>
    <t>Woodbury Twp</t>
  </si>
  <si>
    <t>Potter Creek Rd</t>
  </si>
  <si>
    <t>SR 0868</t>
  </si>
  <si>
    <t>Millbrook Rd</t>
  </si>
  <si>
    <t>Saxton Boro</t>
  </si>
  <si>
    <t>Main St / 8th St</t>
  </si>
  <si>
    <t>SR 0913</t>
  </si>
  <si>
    <t>8th St</t>
  </si>
  <si>
    <t>Main St / 6th St</t>
  </si>
  <si>
    <t>Coaldale Boro</t>
  </si>
  <si>
    <t>Abbott St</t>
  </si>
  <si>
    <t>Trough St</t>
  </si>
  <si>
    <t>S Breezewood Rd</t>
  </si>
  <si>
    <t>Lighthouse Rd</t>
  </si>
  <si>
    <t>Bedford Boro</t>
  </si>
  <si>
    <t>Richard St</t>
  </si>
  <si>
    <t>SR 4009</t>
  </si>
  <si>
    <t>McKean Av</t>
  </si>
  <si>
    <t>Juliana St</t>
  </si>
  <si>
    <t>Cambria</t>
  </si>
  <si>
    <t>Cambria Twp</t>
  </si>
  <si>
    <t>Pensacola Rd</t>
  </si>
  <si>
    <t>Gallitzin Twp</t>
  </si>
  <si>
    <t>Gallitzin Rd</t>
  </si>
  <si>
    <t>Watts Rd</t>
  </si>
  <si>
    <t>Dean Twp</t>
  </si>
  <si>
    <t>Clearfield Valley Bl</t>
  </si>
  <si>
    <t>Beldin Hollow Rd</t>
  </si>
  <si>
    <t>Johnstown City</t>
  </si>
  <si>
    <t>SR 0056</t>
  </si>
  <si>
    <t>Scalp Av</t>
  </si>
  <si>
    <t>Private Dr</t>
  </si>
  <si>
    <t>Forest Hills Dr</t>
  </si>
  <si>
    <t>SR 0160</t>
  </si>
  <si>
    <t>Palestine Rd</t>
  </si>
  <si>
    <t>Nanty Glo Boro</t>
  </si>
  <si>
    <t>SR 0271</t>
  </si>
  <si>
    <t>Roberts St / Creek St</t>
  </si>
  <si>
    <t>Blacklick Twp</t>
  </si>
  <si>
    <t>Vic Miller Rd</t>
  </si>
  <si>
    <t>Sylvan Glen Dr</t>
  </si>
  <si>
    <t>West Carroll Twp</t>
  </si>
  <si>
    <t>SR 0553</t>
  </si>
  <si>
    <t>Brawley Rd</t>
  </si>
  <si>
    <t>Ohio St</t>
  </si>
  <si>
    <t>SR 0756</t>
  </si>
  <si>
    <t>300 PI</t>
  </si>
  <si>
    <t>White Twp</t>
  </si>
  <si>
    <t>Fiske Rd</t>
  </si>
  <si>
    <t>Foster Rd</t>
  </si>
  <si>
    <t>Ebensburg Boro</t>
  </si>
  <si>
    <t>Old Us 422</t>
  </si>
  <si>
    <t>Clara St</t>
  </si>
  <si>
    <t>Rowena Dr</t>
  </si>
  <si>
    <t>Phaney St</t>
  </si>
  <si>
    <t>Sugar St</t>
  </si>
  <si>
    <t>Tanner St</t>
  </si>
  <si>
    <t>Lakeview Rd / Woolen Mill Rd</t>
  </si>
  <si>
    <t>Westmont Boro</t>
  </si>
  <si>
    <t>Goucher St</t>
  </si>
  <si>
    <t>Shelburne Pl</t>
  </si>
  <si>
    <t>Dale Boro</t>
  </si>
  <si>
    <t>Bedford St</t>
  </si>
  <si>
    <t>Jacoby St</t>
  </si>
  <si>
    <t>Solomon Run Rd</t>
  </si>
  <si>
    <t>SR 3033</t>
  </si>
  <si>
    <t>Locher Rd</t>
  </si>
  <si>
    <t>Triumph St</t>
  </si>
  <si>
    <t>Fayette</t>
  </si>
  <si>
    <t>South Union Twp</t>
  </si>
  <si>
    <t>McClellandtown Rd</t>
  </si>
  <si>
    <t>SR 0021</t>
  </si>
  <si>
    <t>Harvest Dr / Work Pkwy</t>
  </si>
  <si>
    <t>National Pk</t>
  </si>
  <si>
    <t>SR 0040</t>
  </si>
  <si>
    <t>Snuff Ridge Rd</t>
  </si>
  <si>
    <t>Uniontown City</t>
  </si>
  <si>
    <t>Morgantown St</t>
  </si>
  <si>
    <t>Church St / South St</t>
  </si>
  <si>
    <t>Old Route 51</t>
  </si>
  <si>
    <t>Springhill Twp</t>
  </si>
  <si>
    <t>Georges Twp</t>
  </si>
  <si>
    <t>Goodwin Rd</t>
  </si>
  <si>
    <t>Smithfield Dr</t>
  </si>
  <si>
    <t>Dunbar Twp</t>
  </si>
  <si>
    <t>Laurel Dr / Private Driveway</t>
  </si>
  <si>
    <t>Bell Dr</t>
  </si>
  <si>
    <t>Connellsville City</t>
  </si>
  <si>
    <t>Memorial Bl</t>
  </si>
  <si>
    <t>McCormick Av</t>
  </si>
  <si>
    <t>Masontown Boro</t>
  </si>
  <si>
    <t>SR 0166</t>
  </si>
  <si>
    <t>Cross Ave</t>
  </si>
  <si>
    <t>Bullskin Twp</t>
  </si>
  <si>
    <t>Pleasent Valley Rd</t>
  </si>
  <si>
    <t>SR 0982</t>
  </si>
  <si>
    <t>Keefer Rd</t>
  </si>
  <si>
    <t>New Salem Rd</t>
  </si>
  <si>
    <t>SR 4006</t>
  </si>
  <si>
    <t>Denney Rd / Stoney Point Rd</t>
  </si>
  <si>
    <t>Mall Run Rd / Private Dr</t>
  </si>
  <si>
    <t>Fulton</t>
  </si>
  <si>
    <t>Mcconnellsburg Boro</t>
  </si>
  <si>
    <t>Great Cove Rd</t>
  </si>
  <si>
    <t>Greene</t>
  </si>
  <si>
    <t>E High St</t>
  </si>
  <si>
    <t>Flowers St</t>
  </si>
  <si>
    <t>Waynesburg Boro</t>
  </si>
  <si>
    <t>Maiden St</t>
  </si>
  <si>
    <t>Cherry St</t>
  </si>
  <si>
    <t>Roy E Furman Hw</t>
  </si>
  <si>
    <t>Jefferson Rd / School Dr</t>
  </si>
  <si>
    <t>Miller Ln</t>
  </si>
  <si>
    <t>Baker Dr / Comfort Ln</t>
  </si>
  <si>
    <t>Progress Dr</t>
  </si>
  <si>
    <t>Morgan Twp</t>
  </si>
  <si>
    <t>Jefferson Rd</t>
  </si>
  <si>
    <t>SR 0188</t>
  </si>
  <si>
    <t>Trailer Ct</t>
  </si>
  <si>
    <t>Indiana</t>
  </si>
  <si>
    <t>Blairsville Boro</t>
  </si>
  <si>
    <t>Dixon St</t>
  </si>
  <si>
    <t>Burrell Twp</t>
  </si>
  <si>
    <t>Corporate Campus Dr / Resort Plaza Dr</t>
  </si>
  <si>
    <t>Palmer Rd / Penn View Rd</t>
  </si>
  <si>
    <t>Brush Valley Twp</t>
  </si>
  <si>
    <t>Sr 0056 Sh</t>
  </si>
  <si>
    <t>Ondo Rd / Old Mission Rd</t>
  </si>
  <si>
    <t>Spruce Hollow Rd</t>
  </si>
  <si>
    <t>SR 0217</t>
  </si>
  <si>
    <t>Old Main St</t>
  </si>
  <si>
    <t>Conemaugh Twp</t>
  </si>
  <si>
    <t>Salt St</t>
  </si>
  <si>
    <t>SR 0286</t>
  </si>
  <si>
    <t>Sr 0286 Sh</t>
  </si>
  <si>
    <t>Leech Av / Third St</t>
  </si>
  <si>
    <t>Graham Rd</t>
  </si>
  <si>
    <t>Oakland Av</t>
  </si>
  <si>
    <t>Plaza Rd</t>
  </si>
  <si>
    <t>Regency Mall</t>
  </si>
  <si>
    <t>Indiana Boro</t>
  </si>
  <si>
    <t>Foundry Av</t>
  </si>
  <si>
    <t>Philadelphia St</t>
  </si>
  <si>
    <t>Eighth St</t>
  </si>
  <si>
    <t>Clymer Boro</t>
  </si>
  <si>
    <t>Elm Ave</t>
  </si>
  <si>
    <t>Sr 0403 Sh</t>
  </si>
  <si>
    <t>SR 0403</t>
  </si>
  <si>
    <t>Cameron Bottom Rd</t>
  </si>
  <si>
    <t>Armstrong Twp</t>
  </si>
  <si>
    <t>Tree Trim Rd</t>
  </si>
  <si>
    <t>Red Mill Rd</t>
  </si>
  <si>
    <t>SR 0954</t>
  </si>
  <si>
    <t>Grandview Av / Blairsville Cemetery</t>
  </si>
  <si>
    <t>Old William Penn Hw</t>
  </si>
  <si>
    <t>Heybert Dr</t>
  </si>
  <si>
    <t>Vine St / Club Ln</t>
  </si>
  <si>
    <t>SR 3024</t>
  </si>
  <si>
    <t>Woodridge Ln /  Indiana Mall</t>
  </si>
  <si>
    <t>Five Points Rd</t>
  </si>
  <si>
    <t>Buckley Rd</t>
  </si>
  <si>
    <t>Oak St</t>
  </si>
  <si>
    <t>Anderson Ave</t>
  </si>
  <si>
    <t>North Av</t>
  </si>
  <si>
    <t>Old Route 119 Rd</t>
  </si>
  <si>
    <t>Marion Rd / Hamill Rd</t>
  </si>
  <si>
    <t>SR 4032</t>
  </si>
  <si>
    <t>Heritage Run Rd / Colonial Dr</t>
  </si>
  <si>
    <t>Twelvth St</t>
  </si>
  <si>
    <t>Somerset</t>
  </si>
  <si>
    <t>Somerset Boro</t>
  </si>
  <si>
    <t>Tayman Av</t>
  </si>
  <si>
    <t>SR 0031</t>
  </si>
  <si>
    <t>Patriot St</t>
  </si>
  <si>
    <t>Kimberly Av</t>
  </si>
  <si>
    <t>Musselman Av</t>
  </si>
  <si>
    <t>Somerset Twp</t>
  </si>
  <si>
    <t>Glades Pk</t>
  </si>
  <si>
    <t>Landfill Driveway</t>
  </si>
  <si>
    <t>Windber Boro</t>
  </si>
  <si>
    <t>Stadium Ter</t>
  </si>
  <si>
    <t>Graham Av</t>
  </si>
  <si>
    <t>Fifteenth St / Private Dr</t>
  </si>
  <si>
    <t>New Centerville Rd</t>
  </si>
  <si>
    <t>SR 0281</t>
  </si>
  <si>
    <t>Samuels Rd / Acorn Rd</t>
  </si>
  <si>
    <t>Stoystown Rd</t>
  </si>
  <si>
    <t>North Center Av</t>
  </si>
  <si>
    <t>SR 0601</t>
  </si>
  <si>
    <t>Harmon St</t>
  </si>
  <si>
    <t>Beacon St</t>
  </si>
  <si>
    <t>Masonic Temple Rd / Somerset Commons</t>
  </si>
  <si>
    <t>Giant Eagle Plaza</t>
  </si>
  <si>
    <t>Riggs Rd / Chevy Dr</t>
  </si>
  <si>
    <t>Shade Twp</t>
  </si>
  <si>
    <t>School Rd</t>
  </si>
  <si>
    <t>Meade St</t>
  </si>
  <si>
    <t>Larimer Twp</t>
  </si>
  <si>
    <t>Mckenzie Hollow Rd</t>
  </si>
  <si>
    <t>SR 2011</t>
  </si>
  <si>
    <t>Deal Rd</t>
  </si>
  <si>
    <t>Berlin Plank Rd</t>
  </si>
  <si>
    <t>SR 3041</t>
  </si>
  <si>
    <t>Boswell Boro</t>
  </si>
  <si>
    <t>Garrett Av</t>
  </si>
  <si>
    <t>Washington</t>
  </si>
  <si>
    <t>Henderson Rd</t>
  </si>
  <si>
    <t>Caldwell Rd / Donaldson Rd</t>
  </si>
  <si>
    <t>Washington City</t>
  </si>
  <si>
    <t>Stewart Av</t>
  </si>
  <si>
    <t>South Strabane Twp</t>
  </si>
  <si>
    <t>Trinity Pt / Strabane Sq</t>
  </si>
  <si>
    <t>Chestnut St Et</t>
  </si>
  <si>
    <t>Jack St</t>
  </si>
  <si>
    <t>Jefferson Av</t>
  </si>
  <si>
    <t>Finleyville Rd</t>
  </si>
  <si>
    <t>SR 0088</t>
  </si>
  <si>
    <t>North Strabane Twp</t>
  </si>
  <si>
    <t>Hill Church Rd</t>
  </si>
  <si>
    <t>SR 0519</t>
  </si>
  <si>
    <t>North Bethlehem Twp</t>
  </si>
  <si>
    <t>Cokeburg Rd</t>
  </si>
  <si>
    <t>SR 0917</t>
  </si>
  <si>
    <t>Ontario Rd</t>
  </si>
  <si>
    <t>Fort Cherry Rd</t>
  </si>
  <si>
    <t>SR 4037</t>
  </si>
  <si>
    <t>Baker Rd / Walnut Rd</t>
  </si>
  <si>
    <t>Murrysville Boro</t>
  </si>
  <si>
    <t>Cline Hollow Rd / Walnut Hollow</t>
  </si>
  <si>
    <t>North Huntingdon Twp</t>
  </si>
  <si>
    <t>Cherry Ln</t>
  </si>
  <si>
    <t>NEMF Dr</t>
  </si>
  <si>
    <t>Norwin Ave / N Hunt Sq</t>
  </si>
  <si>
    <t>Unity Twp</t>
  </si>
  <si>
    <t>Lewis Rd</t>
  </si>
  <si>
    <t>Ligonier Twp</t>
  </si>
  <si>
    <t>Quarry Ln</t>
  </si>
  <si>
    <t>Orme Rd</t>
  </si>
  <si>
    <t>Brallier Rd / Greenacres Ln</t>
  </si>
  <si>
    <t>East Huntingdon Twp</t>
  </si>
  <si>
    <t>Mt Pleasant Rd</t>
  </si>
  <si>
    <t>Race Track Rd / Stoner Rd</t>
  </si>
  <si>
    <t>New Kensington City</t>
  </si>
  <si>
    <t>Stevenson Bl</t>
  </si>
  <si>
    <t>Oates Blvd</t>
  </si>
  <si>
    <t>Garvers Ferry Rd</t>
  </si>
  <si>
    <t>Armstrong Rd</t>
  </si>
  <si>
    <t>Ligonier Boro</t>
  </si>
  <si>
    <t>SR 0711</t>
  </si>
  <si>
    <t>Mt Pleasant Scottdale Rd</t>
  </si>
  <si>
    <t>SR 0819</t>
  </si>
  <si>
    <t>Fenton Rd</t>
  </si>
  <si>
    <t>New Alexandria Boro</t>
  </si>
  <si>
    <t>Latrobe Saltsburg Rd</t>
  </si>
  <si>
    <t>SR 0981</t>
  </si>
  <si>
    <t>Donohoe Rd</t>
  </si>
  <si>
    <t>SR 1026</t>
  </si>
  <si>
    <t>Saxman Rd / McCullough Rd</t>
  </si>
  <si>
    <t>Maus Dr / Bethel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</si>
</sst>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quotePrefix="1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" fontId="0" fillId="8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wrapText="1"/>
    </xf>
    <xf numFmtId="14" fontId="0" fillId="8" borderId="1" xfId="0" applyNumberFormat="1" applyFill="1" applyBorder="1" applyAlignment="1">
      <alignment horizontal="center" vertical="center" wrapText="1"/>
    </xf>
    <xf numFmtId="164" fontId="0" fillId="3" borderId="1" xfId="0" quotePrefix="1" applyNumberForma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1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1" fontId="0" fillId="8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50"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601F-75D0-4276-895C-E7805ACBFD58}">
  <sheetPr codeName="Sheet8"/>
  <dimension ref="A1:X1101"/>
  <sheetViews>
    <sheetView tabSelected="1" zoomScale="70" zoomScaleNormal="70" workbookViewId="0">
      <pane ySplit="2" topLeftCell="A3" activePane="bottomLeft" state="frozen"/>
      <selection pane="bottomLeft" activeCell="B1" sqref="B1:B1048576"/>
    </sheetView>
  </sheetViews>
  <sheetFormatPr defaultColWidth="9.140625" defaultRowHeight="15" x14ac:dyDescent="0.25"/>
  <cols>
    <col min="1" max="1" width="12.28515625" style="53" customWidth="1"/>
    <col min="2" max="2" width="13.7109375" style="53" hidden="1" customWidth="1"/>
    <col min="3" max="3" width="8.42578125" style="53" customWidth="1"/>
    <col min="4" max="4" width="16.28515625" style="53" customWidth="1"/>
    <col min="5" max="5" width="25.7109375" style="53" customWidth="1"/>
    <col min="6" max="6" width="42.5703125" style="7" customWidth="1"/>
    <col min="7" max="7" width="19.140625" style="7" customWidth="1"/>
    <col min="8" max="9" width="11.7109375" style="7" customWidth="1"/>
    <col min="10" max="10" width="63.5703125" style="7" customWidth="1"/>
    <col min="11" max="11" width="28" style="7" customWidth="1"/>
    <col min="12" max="13" width="16.28515625" style="7" customWidth="1"/>
    <col min="14" max="14" width="14" style="54" customWidth="1"/>
    <col min="15" max="15" width="12.7109375" style="54" customWidth="1"/>
    <col min="16" max="16" width="14.85546875" style="54" customWidth="1"/>
    <col min="17" max="17" width="12.7109375" style="54" customWidth="1"/>
    <col min="18" max="18" width="15.5703125" style="54" customWidth="1"/>
    <col min="19" max="19" width="11.85546875" style="54" customWidth="1"/>
    <col min="20" max="20" width="11.85546875" style="7" customWidth="1"/>
    <col min="21" max="23" width="9.140625" style="7"/>
    <col min="24" max="24" width="16.28515625" style="7" customWidth="1"/>
    <col min="25" max="16384" width="9.140625" style="7"/>
  </cols>
  <sheetData>
    <row r="1" spans="1:24" x14ac:dyDescent="0.25">
      <c r="A1" s="1"/>
      <c r="B1" s="2"/>
      <c r="C1" s="3"/>
      <c r="D1" s="3"/>
      <c r="E1" s="3"/>
      <c r="F1" s="55" t="s">
        <v>0</v>
      </c>
      <c r="G1" s="55"/>
      <c r="H1" s="55"/>
      <c r="I1" s="55"/>
      <c r="J1" s="56" t="s">
        <v>1</v>
      </c>
      <c r="K1" s="56"/>
      <c r="L1" s="56"/>
      <c r="M1" s="56"/>
      <c r="N1" s="3"/>
      <c r="O1" s="3"/>
      <c r="P1" s="4"/>
      <c r="Q1" s="5"/>
      <c r="R1" s="4"/>
      <c r="S1" s="4"/>
      <c r="T1" s="6"/>
    </row>
    <row r="2" spans="1:24" ht="45" x14ac:dyDescent="0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2" t="s">
        <v>7</v>
      </c>
      <c r="K2" s="12" t="s">
        <v>8</v>
      </c>
      <c r="L2" s="12" t="s">
        <v>9</v>
      </c>
      <c r="M2" s="12" t="s">
        <v>10</v>
      </c>
      <c r="N2" s="10" t="s">
        <v>11</v>
      </c>
      <c r="O2" s="10" t="s">
        <v>12</v>
      </c>
      <c r="P2" s="13" t="s">
        <v>13</v>
      </c>
      <c r="Q2" s="14" t="s">
        <v>14</v>
      </c>
      <c r="R2" s="13" t="s">
        <v>15</v>
      </c>
      <c r="S2" s="13" t="s">
        <v>16</v>
      </c>
      <c r="T2" s="15" t="s">
        <v>17</v>
      </c>
      <c r="W2" s="16" t="s">
        <v>4</v>
      </c>
      <c r="X2" s="17" t="s">
        <v>18</v>
      </c>
    </row>
    <row r="3" spans="1:24" x14ac:dyDescent="0.25">
      <c r="A3" s="8">
        <v>349</v>
      </c>
      <c r="B3" s="8" t="s">
        <v>19</v>
      </c>
      <c r="C3" s="8">
        <v>1</v>
      </c>
      <c r="D3" s="8" t="s">
        <v>20</v>
      </c>
      <c r="E3" s="8" t="s">
        <v>21</v>
      </c>
      <c r="F3" s="18" t="s">
        <v>22</v>
      </c>
      <c r="G3" s="18" t="s">
        <v>23</v>
      </c>
      <c r="H3" s="19">
        <v>330</v>
      </c>
      <c r="I3" s="19">
        <v>1234</v>
      </c>
      <c r="J3" s="20" t="s">
        <v>24</v>
      </c>
      <c r="K3" s="20" t="s">
        <v>25</v>
      </c>
      <c r="L3" s="20" t="s">
        <v>26</v>
      </c>
      <c r="M3" s="20" t="s">
        <v>26</v>
      </c>
      <c r="N3" s="21">
        <v>41.603239870842998</v>
      </c>
      <c r="O3" s="10">
        <v>-80.301353873107601</v>
      </c>
      <c r="P3" s="22">
        <v>712</v>
      </c>
      <c r="Q3" s="23">
        <v>44257</v>
      </c>
      <c r="R3" s="22" t="s">
        <v>27</v>
      </c>
      <c r="S3" s="22" t="s">
        <v>28</v>
      </c>
      <c r="T3" s="24">
        <f t="shared" ref="T3:T66" si="0">P3*$X$3</f>
        <v>771.096</v>
      </c>
      <c r="W3" s="25">
        <v>1</v>
      </c>
      <c r="X3" s="26">
        <v>1.083</v>
      </c>
    </row>
    <row r="4" spans="1:24" x14ac:dyDescent="0.25">
      <c r="A4" s="8">
        <v>350</v>
      </c>
      <c r="B4" s="8" t="s">
        <v>19</v>
      </c>
      <c r="C4" s="8">
        <v>1</v>
      </c>
      <c r="D4" s="8" t="s">
        <v>20</v>
      </c>
      <c r="E4" s="8" t="s">
        <v>29</v>
      </c>
      <c r="F4" s="18" t="s">
        <v>30</v>
      </c>
      <c r="G4" s="18" t="s">
        <v>23</v>
      </c>
      <c r="H4" s="19">
        <v>390</v>
      </c>
      <c r="I4" s="19">
        <v>520</v>
      </c>
      <c r="J4" s="20" t="s">
        <v>31</v>
      </c>
      <c r="K4" s="20" t="s">
        <v>25</v>
      </c>
      <c r="L4" s="20" t="s">
        <v>26</v>
      </c>
      <c r="M4" s="20" t="s">
        <v>26</v>
      </c>
      <c r="N4" s="21">
        <v>41.614609473384299</v>
      </c>
      <c r="O4" s="10">
        <v>-80.251630810106704</v>
      </c>
      <c r="P4" s="22">
        <v>321</v>
      </c>
      <c r="Q4" s="23">
        <v>44257</v>
      </c>
      <c r="R4" s="22" t="s">
        <v>27</v>
      </c>
      <c r="S4" s="22" t="s">
        <v>28</v>
      </c>
      <c r="T4" s="24">
        <f t="shared" si="0"/>
        <v>347.64299999999997</v>
      </c>
      <c r="W4" s="25">
        <v>2</v>
      </c>
      <c r="X4" s="26">
        <v>1.149</v>
      </c>
    </row>
    <row r="5" spans="1:24" x14ac:dyDescent="0.25">
      <c r="A5" s="8">
        <v>351</v>
      </c>
      <c r="B5" s="8" t="s">
        <v>19</v>
      </c>
      <c r="C5" s="8">
        <v>1</v>
      </c>
      <c r="D5" s="8" t="s">
        <v>20</v>
      </c>
      <c r="E5" s="8" t="s">
        <v>29</v>
      </c>
      <c r="F5" s="18" t="s">
        <v>30</v>
      </c>
      <c r="G5" s="18" t="s">
        <v>23</v>
      </c>
      <c r="H5" s="19">
        <v>431</v>
      </c>
      <c r="I5" s="19">
        <v>1247</v>
      </c>
      <c r="J5" s="20" t="s">
        <v>32</v>
      </c>
      <c r="K5" s="20" t="s">
        <v>25</v>
      </c>
      <c r="L5" s="20" t="s">
        <v>26</v>
      </c>
      <c r="M5" s="20" t="s">
        <v>26</v>
      </c>
      <c r="N5" s="21">
        <v>41.6206793289495</v>
      </c>
      <c r="O5" s="10">
        <v>-80.212931935018005</v>
      </c>
      <c r="P5" s="22">
        <v>6409</v>
      </c>
      <c r="Q5" s="23">
        <v>44230</v>
      </c>
      <c r="R5" s="22" t="s">
        <v>33</v>
      </c>
      <c r="S5" s="22" t="s">
        <v>34</v>
      </c>
      <c r="T5" s="24">
        <f t="shared" si="0"/>
        <v>6940.9470000000001</v>
      </c>
      <c r="W5" s="25">
        <v>3</v>
      </c>
      <c r="X5" s="26">
        <v>1.008</v>
      </c>
    </row>
    <row r="6" spans="1:24" x14ac:dyDescent="0.25">
      <c r="A6" s="8">
        <v>352</v>
      </c>
      <c r="B6" s="8" t="s">
        <v>19</v>
      </c>
      <c r="C6" s="8">
        <v>1</v>
      </c>
      <c r="D6" s="8" t="s">
        <v>20</v>
      </c>
      <c r="E6" s="8" t="s">
        <v>35</v>
      </c>
      <c r="F6" s="18" t="s">
        <v>36</v>
      </c>
      <c r="G6" s="18" t="s">
        <v>23</v>
      </c>
      <c r="H6" s="19">
        <v>620</v>
      </c>
      <c r="I6" s="19">
        <v>0</v>
      </c>
      <c r="J6" s="20" t="s">
        <v>37</v>
      </c>
      <c r="K6" s="20" t="s">
        <v>25</v>
      </c>
      <c r="L6" s="20" t="s">
        <v>26</v>
      </c>
      <c r="M6" s="20" t="s">
        <v>26</v>
      </c>
      <c r="N6" s="21">
        <v>41.684410553960497</v>
      </c>
      <c r="O6" s="10">
        <v>-80.164496451678204</v>
      </c>
      <c r="P6" s="22">
        <v>389</v>
      </c>
      <c r="Q6" s="23">
        <v>44229</v>
      </c>
      <c r="R6" s="22" t="s">
        <v>27</v>
      </c>
      <c r="S6" s="22" t="s">
        <v>38</v>
      </c>
      <c r="T6" s="24">
        <f t="shared" si="0"/>
        <v>421.28699999999998</v>
      </c>
      <c r="W6" s="25">
        <v>4</v>
      </c>
      <c r="X6" s="26">
        <v>1.1040000000000001</v>
      </c>
    </row>
    <row r="7" spans="1:24" x14ac:dyDescent="0.25">
      <c r="A7" s="8">
        <v>353</v>
      </c>
      <c r="B7" s="8" t="s">
        <v>19</v>
      </c>
      <c r="C7" s="8">
        <v>1</v>
      </c>
      <c r="D7" s="8" t="s">
        <v>20</v>
      </c>
      <c r="E7" s="8" t="s">
        <v>39</v>
      </c>
      <c r="F7" s="18" t="s">
        <v>30</v>
      </c>
      <c r="G7" s="18" t="s">
        <v>23</v>
      </c>
      <c r="H7" s="19">
        <v>730</v>
      </c>
      <c r="I7" s="19">
        <v>1678</v>
      </c>
      <c r="J7" s="20" t="s">
        <v>40</v>
      </c>
      <c r="K7" s="20" t="s">
        <v>25</v>
      </c>
      <c r="L7" s="20" t="s">
        <v>26</v>
      </c>
      <c r="M7" s="20" t="s">
        <v>26</v>
      </c>
      <c r="N7" s="21">
        <v>41.742944977489898</v>
      </c>
      <c r="O7" s="10">
        <v>-80.128745643239</v>
      </c>
      <c r="P7" s="22">
        <v>212</v>
      </c>
      <c r="Q7" s="23">
        <v>44257</v>
      </c>
      <c r="R7" s="22" t="s">
        <v>27</v>
      </c>
      <c r="S7" s="22" t="s">
        <v>34</v>
      </c>
      <c r="T7" s="24">
        <f t="shared" si="0"/>
        <v>229.596</v>
      </c>
      <c r="W7" s="25">
        <v>5</v>
      </c>
      <c r="X7" s="26">
        <v>1.079</v>
      </c>
    </row>
    <row r="8" spans="1:24" x14ac:dyDescent="0.25">
      <c r="A8" s="8">
        <v>354</v>
      </c>
      <c r="B8" s="8" t="s">
        <v>19</v>
      </c>
      <c r="C8" s="8">
        <v>1</v>
      </c>
      <c r="D8" s="8" t="s">
        <v>20</v>
      </c>
      <c r="E8" s="8" t="s">
        <v>41</v>
      </c>
      <c r="F8" s="18" t="s">
        <v>42</v>
      </c>
      <c r="G8" s="18" t="s">
        <v>43</v>
      </c>
      <c r="H8" s="19">
        <v>30</v>
      </c>
      <c r="I8" s="19">
        <v>501</v>
      </c>
      <c r="J8" s="20" t="s">
        <v>44</v>
      </c>
      <c r="K8" s="20" t="s">
        <v>25</v>
      </c>
      <c r="L8" s="20" t="s">
        <v>26</v>
      </c>
      <c r="M8" s="20" t="s">
        <v>26</v>
      </c>
      <c r="N8" s="21">
        <v>41.627067686804303</v>
      </c>
      <c r="O8" s="10">
        <v>-79.675164604226097</v>
      </c>
      <c r="P8" s="22">
        <v>831</v>
      </c>
      <c r="Q8" s="23">
        <v>44258</v>
      </c>
      <c r="R8" s="22" t="s">
        <v>27</v>
      </c>
      <c r="S8" s="22" t="s">
        <v>28</v>
      </c>
      <c r="T8" s="24">
        <f t="shared" si="0"/>
        <v>899.97299999999996</v>
      </c>
      <c r="W8" s="25">
        <v>6</v>
      </c>
      <c r="X8" s="26">
        <v>1.226</v>
      </c>
    </row>
    <row r="9" spans="1:24" x14ac:dyDescent="0.25">
      <c r="A9" s="8">
        <v>355</v>
      </c>
      <c r="B9" s="8" t="s">
        <v>19</v>
      </c>
      <c r="C9" s="8">
        <v>1</v>
      </c>
      <c r="D9" s="8" t="s">
        <v>20</v>
      </c>
      <c r="E9" s="8" t="s">
        <v>41</v>
      </c>
      <c r="F9" s="18" t="s">
        <v>45</v>
      </c>
      <c r="G9" s="18" t="s">
        <v>43</v>
      </c>
      <c r="H9" s="19">
        <v>40</v>
      </c>
      <c r="I9" s="19">
        <v>2428</v>
      </c>
      <c r="J9" s="20" t="s">
        <v>46</v>
      </c>
      <c r="K9" s="20" t="s">
        <v>25</v>
      </c>
      <c r="L9" s="20" t="s">
        <v>26</v>
      </c>
      <c r="M9" s="20" t="s">
        <v>26</v>
      </c>
      <c r="N9" s="21">
        <v>41.631588731458898</v>
      </c>
      <c r="O9" s="10">
        <v>-79.687301949159405</v>
      </c>
      <c r="P9" s="22">
        <v>715</v>
      </c>
      <c r="Q9" s="23">
        <v>44258</v>
      </c>
      <c r="R9" s="22" t="s">
        <v>27</v>
      </c>
      <c r="S9" s="22" t="s">
        <v>34</v>
      </c>
      <c r="T9" s="24">
        <f t="shared" si="0"/>
        <v>774.34500000000003</v>
      </c>
      <c r="W9" s="25">
        <v>8</v>
      </c>
      <c r="X9" s="26">
        <v>1.25</v>
      </c>
    </row>
    <row r="10" spans="1:24" x14ac:dyDescent="0.25">
      <c r="A10" s="8">
        <v>356</v>
      </c>
      <c r="B10" s="8" t="s">
        <v>19</v>
      </c>
      <c r="C10" s="8">
        <v>1</v>
      </c>
      <c r="D10" s="8" t="s">
        <v>20</v>
      </c>
      <c r="E10" s="8" t="s">
        <v>47</v>
      </c>
      <c r="F10" s="18" t="s">
        <v>48</v>
      </c>
      <c r="G10" s="18" t="s">
        <v>49</v>
      </c>
      <c r="H10" s="19">
        <v>40</v>
      </c>
      <c r="I10" s="19">
        <v>0</v>
      </c>
      <c r="J10" s="20" t="s">
        <v>50</v>
      </c>
      <c r="K10" s="20" t="s">
        <v>25</v>
      </c>
      <c r="L10" s="20" t="s">
        <v>26</v>
      </c>
      <c r="M10" s="20" t="s">
        <v>26</v>
      </c>
      <c r="N10" s="21">
        <v>41.638359897718701</v>
      </c>
      <c r="O10" s="10">
        <v>-80.132735281421205</v>
      </c>
      <c r="P10" s="22">
        <v>259</v>
      </c>
      <c r="Q10" s="23">
        <v>44229</v>
      </c>
      <c r="R10" s="22" t="s">
        <v>27</v>
      </c>
      <c r="S10" s="22" t="s">
        <v>34</v>
      </c>
      <c r="T10" s="24">
        <f t="shared" si="0"/>
        <v>280.49700000000001</v>
      </c>
      <c r="W10" s="25">
        <v>9</v>
      </c>
      <c r="X10" s="26">
        <v>1.0720000000000001</v>
      </c>
    </row>
    <row r="11" spans="1:24" x14ac:dyDescent="0.25">
      <c r="A11" s="8">
        <v>357</v>
      </c>
      <c r="B11" s="8" t="s">
        <v>19</v>
      </c>
      <c r="C11" s="8">
        <v>1</v>
      </c>
      <c r="D11" s="8" t="s">
        <v>20</v>
      </c>
      <c r="E11" s="8" t="s">
        <v>47</v>
      </c>
      <c r="F11" s="18" t="s">
        <v>48</v>
      </c>
      <c r="G11" s="18" t="s">
        <v>49</v>
      </c>
      <c r="H11" s="19">
        <v>40</v>
      </c>
      <c r="I11" s="19">
        <v>1286</v>
      </c>
      <c r="J11" s="20" t="s">
        <v>51</v>
      </c>
      <c r="K11" s="20" t="s">
        <v>25</v>
      </c>
      <c r="L11" s="20" t="s">
        <v>26</v>
      </c>
      <c r="M11" s="20" t="s">
        <v>26</v>
      </c>
      <c r="N11" s="21">
        <v>41.636959464061398</v>
      </c>
      <c r="O11" s="10">
        <v>-80.128391055937101</v>
      </c>
      <c r="P11" s="22">
        <v>1049</v>
      </c>
      <c r="Q11" s="23">
        <v>44229</v>
      </c>
      <c r="R11" s="22" t="s">
        <v>27</v>
      </c>
      <c r="S11" s="22" t="s">
        <v>34</v>
      </c>
      <c r="T11" s="24">
        <f t="shared" si="0"/>
        <v>1136.067</v>
      </c>
      <c r="W11" s="25">
        <v>10</v>
      </c>
      <c r="X11" s="26">
        <v>1.042</v>
      </c>
    </row>
    <row r="12" spans="1:24" x14ac:dyDescent="0.25">
      <c r="A12" s="8">
        <v>358</v>
      </c>
      <c r="B12" s="8" t="s">
        <v>19</v>
      </c>
      <c r="C12" s="8">
        <v>1</v>
      </c>
      <c r="D12" s="8" t="s">
        <v>20</v>
      </c>
      <c r="E12" s="8" t="s">
        <v>52</v>
      </c>
      <c r="F12" s="18" t="s">
        <v>53</v>
      </c>
      <c r="G12" s="18" t="s">
        <v>49</v>
      </c>
      <c r="H12" s="18">
        <v>120</v>
      </c>
      <c r="I12" s="18">
        <v>573</v>
      </c>
      <c r="J12" s="20" t="s">
        <v>54</v>
      </c>
      <c r="K12" s="20" t="s">
        <v>25</v>
      </c>
      <c r="L12" s="27" t="s">
        <v>26</v>
      </c>
      <c r="M12" s="27" t="s">
        <v>26</v>
      </c>
      <c r="N12" s="21">
        <v>41.628676465972198</v>
      </c>
      <c r="O12" s="10">
        <v>-80.068749633651294</v>
      </c>
      <c r="P12" s="22">
        <v>321</v>
      </c>
      <c r="Q12" s="23">
        <v>44229</v>
      </c>
      <c r="R12" s="22" t="s">
        <v>27</v>
      </c>
      <c r="S12" s="22" t="s">
        <v>28</v>
      </c>
      <c r="T12" s="24">
        <f t="shared" si="0"/>
        <v>347.64299999999997</v>
      </c>
      <c r="W12" s="25">
        <v>11</v>
      </c>
      <c r="X12" s="26">
        <v>1.1599999999999999</v>
      </c>
    </row>
    <row r="13" spans="1:24" x14ac:dyDescent="0.25">
      <c r="A13" s="8">
        <v>359</v>
      </c>
      <c r="B13" s="8" t="s">
        <v>19</v>
      </c>
      <c r="C13" s="8">
        <v>1</v>
      </c>
      <c r="D13" s="8" t="s">
        <v>20</v>
      </c>
      <c r="E13" s="8" t="s">
        <v>55</v>
      </c>
      <c r="F13" s="18" t="s">
        <v>53</v>
      </c>
      <c r="G13" s="18" t="s">
        <v>49</v>
      </c>
      <c r="H13" s="18">
        <v>430</v>
      </c>
      <c r="I13" s="18">
        <v>3348</v>
      </c>
      <c r="J13" s="20" t="s">
        <v>56</v>
      </c>
      <c r="K13" s="20" t="s">
        <v>57</v>
      </c>
      <c r="L13" s="27" t="s">
        <v>58</v>
      </c>
      <c r="M13" s="27" t="s">
        <v>58</v>
      </c>
      <c r="N13" s="21">
        <v>41.628417247179101</v>
      </c>
      <c r="O13" s="10">
        <v>-79.703230243269999</v>
      </c>
      <c r="P13" s="22">
        <v>54</v>
      </c>
      <c r="Q13" s="23">
        <v>44258</v>
      </c>
      <c r="R13" s="22" t="s">
        <v>27</v>
      </c>
      <c r="S13" s="22" t="s">
        <v>28</v>
      </c>
      <c r="T13" s="24">
        <f t="shared" si="0"/>
        <v>58.481999999999999</v>
      </c>
      <c r="W13" s="25">
        <v>12</v>
      </c>
      <c r="X13" s="26">
        <v>1.0720000000000001</v>
      </c>
    </row>
    <row r="14" spans="1:24" x14ac:dyDescent="0.25">
      <c r="A14" s="8">
        <v>360</v>
      </c>
      <c r="B14" s="8" t="s">
        <v>19</v>
      </c>
      <c r="C14" s="8">
        <v>1</v>
      </c>
      <c r="D14" s="8" t="s">
        <v>20</v>
      </c>
      <c r="E14" s="8" t="s">
        <v>47</v>
      </c>
      <c r="F14" s="18" t="s">
        <v>59</v>
      </c>
      <c r="G14" s="18" t="s">
        <v>60</v>
      </c>
      <c r="H14" s="19">
        <v>10</v>
      </c>
      <c r="I14" s="19">
        <v>1212</v>
      </c>
      <c r="J14" s="20" t="s">
        <v>61</v>
      </c>
      <c r="K14" s="20" t="s">
        <v>25</v>
      </c>
      <c r="L14" s="20" t="s">
        <v>26</v>
      </c>
      <c r="M14" s="20" t="s">
        <v>26</v>
      </c>
      <c r="N14" s="21">
        <v>41.641986823159897</v>
      </c>
      <c r="O14" s="10">
        <v>-80.134112481844099</v>
      </c>
      <c r="P14" s="22">
        <v>1134</v>
      </c>
      <c r="Q14" s="23">
        <v>44229</v>
      </c>
      <c r="R14" s="22" t="s">
        <v>27</v>
      </c>
      <c r="S14" s="22" t="s">
        <v>62</v>
      </c>
      <c r="T14" s="24">
        <f t="shared" si="0"/>
        <v>1228.1220000000001</v>
      </c>
    </row>
    <row r="15" spans="1:24" x14ac:dyDescent="0.25">
      <c r="A15" s="8">
        <v>361</v>
      </c>
      <c r="B15" s="8" t="s">
        <v>19</v>
      </c>
      <c r="C15" s="8">
        <v>1</v>
      </c>
      <c r="D15" s="8" t="s">
        <v>20</v>
      </c>
      <c r="E15" s="8" t="s">
        <v>63</v>
      </c>
      <c r="F15" s="18" t="s">
        <v>64</v>
      </c>
      <c r="G15" s="18" t="s">
        <v>65</v>
      </c>
      <c r="H15" s="18">
        <v>280</v>
      </c>
      <c r="I15" s="18">
        <v>0</v>
      </c>
      <c r="J15" s="20" t="s">
        <v>66</v>
      </c>
      <c r="K15" s="20" t="s">
        <v>25</v>
      </c>
      <c r="L15" s="27" t="s">
        <v>26</v>
      </c>
      <c r="M15" s="27" t="s">
        <v>26</v>
      </c>
      <c r="N15" s="21">
        <v>41.803290401899297</v>
      </c>
      <c r="O15" s="10">
        <v>-80.241013012608306</v>
      </c>
      <c r="P15" s="22">
        <v>98</v>
      </c>
      <c r="Q15" s="23">
        <v>44257</v>
      </c>
      <c r="R15" s="22" t="s">
        <v>27</v>
      </c>
      <c r="S15" s="22" t="s">
        <v>38</v>
      </c>
      <c r="T15" s="24">
        <f t="shared" si="0"/>
        <v>106.134</v>
      </c>
    </row>
    <row r="16" spans="1:24" x14ac:dyDescent="0.25">
      <c r="A16" s="8">
        <v>362</v>
      </c>
      <c r="B16" s="8" t="s">
        <v>19</v>
      </c>
      <c r="C16" s="8">
        <v>1</v>
      </c>
      <c r="D16" s="8" t="s">
        <v>20</v>
      </c>
      <c r="E16" s="8" t="s">
        <v>29</v>
      </c>
      <c r="F16" s="18" t="s">
        <v>67</v>
      </c>
      <c r="G16" s="18" t="s">
        <v>68</v>
      </c>
      <c r="H16" s="19">
        <v>20</v>
      </c>
      <c r="I16" s="19">
        <v>1853</v>
      </c>
      <c r="J16" s="20" t="s">
        <v>69</v>
      </c>
      <c r="K16" s="20" t="s">
        <v>25</v>
      </c>
      <c r="L16" s="20" t="s">
        <v>26</v>
      </c>
      <c r="M16" s="20" t="s">
        <v>26</v>
      </c>
      <c r="N16" s="21">
        <v>41.632037735175501</v>
      </c>
      <c r="O16" s="10">
        <v>-80.161297530527406</v>
      </c>
      <c r="P16" s="22">
        <v>187</v>
      </c>
      <c r="Q16" s="23">
        <v>44229</v>
      </c>
      <c r="R16" s="22" t="s">
        <v>27</v>
      </c>
      <c r="S16" s="22" t="s">
        <v>62</v>
      </c>
      <c r="T16" s="24">
        <f t="shared" si="0"/>
        <v>202.52099999999999</v>
      </c>
    </row>
    <row r="17" spans="1:20" x14ac:dyDescent="0.25">
      <c r="A17" s="8">
        <v>363</v>
      </c>
      <c r="B17" s="8" t="s">
        <v>19</v>
      </c>
      <c r="C17" s="8">
        <v>1</v>
      </c>
      <c r="D17" s="8" t="s">
        <v>20</v>
      </c>
      <c r="E17" s="8" t="s">
        <v>52</v>
      </c>
      <c r="F17" s="18" t="s">
        <v>70</v>
      </c>
      <c r="G17" s="18" t="s">
        <v>71</v>
      </c>
      <c r="H17" s="18">
        <v>610</v>
      </c>
      <c r="I17" s="18">
        <v>0</v>
      </c>
      <c r="J17" s="20" t="s">
        <v>72</v>
      </c>
      <c r="K17" s="20" t="s">
        <v>25</v>
      </c>
      <c r="L17" s="27" t="s">
        <v>26</v>
      </c>
      <c r="M17" s="27" t="s">
        <v>26</v>
      </c>
      <c r="N17" s="21">
        <v>41.659211724591501</v>
      </c>
      <c r="O17" s="10">
        <v>-80.022397583031903</v>
      </c>
      <c r="P17" s="22">
        <v>203</v>
      </c>
      <c r="Q17" s="23">
        <v>44229</v>
      </c>
      <c r="R17" s="22" t="s">
        <v>27</v>
      </c>
      <c r="S17" s="22" t="s">
        <v>28</v>
      </c>
      <c r="T17" s="24">
        <f t="shared" si="0"/>
        <v>219.84899999999999</v>
      </c>
    </row>
    <row r="18" spans="1:20" x14ac:dyDescent="0.25">
      <c r="A18" s="8">
        <v>364</v>
      </c>
      <c r="B18" s="8" t="s">
        <v>19</v>
      </c>
      <c r="C18" s="8">
        <v>1</v>
      </c>
      <c r="D18" s="8" t="s">
        <v>20</v>
      </c>
      <c r="E18" s="8" t="s">
        <v>73</v>
      </c>
      <c r="F18" s="18" t="s">
        <v>74</v>
      </c>
      <c r="G18" s="18" t="s">
        <v>75</v>
      </c>
      <c r="H18" s="18">
        <v>270</v>
      </c>
      <c r="I18" s="18">
        <v>0</v>
      </c>
      <c r="J18" s="20" t="s">
        <v>76</v>
      </c>
      <c r="K18" s="20" t="s">
        <v>25</v>
      </c>
      <c r="L18" s="27" t="s">
        <v>26</v>
      </c>
      <c r="M18" s="27" t="s">
        <v>26</v>
      </c>
      <c r="N18" s="21">
        <v>41.553710303127097</v>
      </c>
      <c r="O18" s="10">
        <v>-80.373373586619294</v>
      </c>
      <c r="P18" s="22">
        <v>44</v>
      </c>
      <c r="Q18" s="23">
        <v>44257</v>
      </c>
      <c r="R18" s="22" t="s">
        <v>27</v>
      </c>
      <c r="S18" s="22" t="s">
        <v>38</v>
      </c>
      <c r="T18" s="24">
        <f t="shared" si="0"/>
        <v>47.652000000000001</v>
      </c>
    </row>
    <row r="19" spans="1:20" x14ac:dyDescent="0.25">
      <c r="A19" s="8">
        <v>365</v>
      </c>
      <c r="B19" s="8" t="s">
        <v>19</v>
      </c>
      <c r="C19" s="8">
        <v>1</v>
      </c>
      <c r="D19" s="8" t="s">
        <v>20</v>
      </c>
      <c r="E19" s="8" t="s">
        <v>21</v>
      </c>
      <c r="F19" s="18" t="s">
        <v>61</v>
      </c>
      <c r="G19" s="18" t="s">
        <v>75</v>
      </c>
      <c r="H19" s="19">
        <v>360</v>
      </c>
      <c r="I19" s="19">
        <v>936</v>
      </c>
      <c r="J19" s="20" t="s">
        <v>77</v>
      </c>
      <c r="K19" s="20" t="s">
        <v>25</v>
      </c>
      <c r="L19" s="20" t="s">
        <v>26</v>
      </c>
      <c r="M19" s="20" t="s">
        <v>26</v>
      </c>
      <c r="N19" s="21">
        <v>41.5990132598656</v>
      </c>
      <c r="O19" s="10">
        <v>-80.311045140465495</v>
      </c>
      <c r="P19" s="22">
        <v>68</v>
      </c>
      <c r="Q19" s="23">
        <v>44257</v>
      </c>
      <c r="R19" s="22" t="s">
        <v>27</v>
      </c>
      <c r="S19" s="22" t="s">
        <v>28</v>
      </c>
      <c r="T19" s="24">
        <f t="shared" si="0"/>
        <v>73.643999999999991</v>
      </c>
    </row>
    <row r="20" spans="1:20" x14ac:dyDescent="0.25">
      <c r="A20" s="8">
        <v>366</v>
      </c>
      <c r="B20" s="8" t="s">
        <v>19</v>
      </c>
      <c r="C20" s="8">
        <v>1</v>
      </c>
      <c r="D20" s="8" t="s">
        <v>20</v>
      </c>
      <c r="E20" s="8" t="s">
        <v>47</v>
      </c>
      <c r="F20" s="18" t="s">
        <v>77</v>
      </c>
      <c r="G20" s="18" t="s">
        <v>78</v>
      </c>
      <c r="H20" s="19">
        <v>10</v>
      </c>
      <c r="I20" s="19">
        <v>1653</v>
      </c>
      <c r="J20" s="20" t="s">
        <v>79</v>
      </c>
      <c r="K20" s="20" t="s">
        <v>25</v>
      </c>
      <c r="L20" s="20" t="s">
        <v>26</v>
      </c>
      <c r="M20" s="20" t="s">
        <v>26</v>
      </c>
      <c r="N20" s="21">
        <v>41.645111398646698</v>
      </c>
      <c r="O20" s="10">
        <v>-80.147720402547606</v>
      </c>
      <c r="P20" s="22">
        <v>73</v>
      </c>
      <c r="Q20" s="23">
        <v>44229</v>
      </c>
      <c r="R20" s="22" t="s">
        <v>27</v>
      </c>
      <c r="S20" s="22" t="s">
        <v>38</v>
      </c>
      <c r="T20" s="24">
        <f t="shared" si="0"/>
        <v>79.058999999999997</v>
      </c>
    </row>
    <row r="21" spans="1:20" x14ac:dyDescent="0.25">
      <c r="A21" s="8">
        <v>367</v>
      </c>
      <c r="B21" s="8" t="s">
        <v>19</v>
      </c>
      <c r="C21" s="8">
        <v>1</v>
      </c>
      <c r="D21" s="8" t="s">
        <v>20</v>
      </c>
      <c r="E21" s="8" t="s">
        <v>35</v>
      </c>
      <c r="F21" s="18" t="s">
        <v>80</v>
      </c>
      <c r="G21" s="18" t="s">
        <v>78</v>
      </c>
      <c r="H21" s="19">
        <v>70</v>
      </c>
      <c r="I21" s="19">
        <v>2117</v>
      </c>
      <c r="J21" s="20" t="s">
        <v>81</v>
      </c>
      <c r="K21" s="20" t="s">
        <v>25</v>
      </c>
      <c r="L21" s="20" t="s">
        <v>26</v>
      </c>
      <c r="M21" s="20" t="s">
        <v>26</v>
      </c>
      <c r="N21" s="21">
        <v>41.6923477796377</v>
      </c>
      <c r="O21" s="10">
        <v>-80.123137842575403</v>
      </c>
      <c r="P21" s="22">
        <v>77</v>
      </c>
      <c r="Q21" s="23">
        <v>44229</v>
      </c>
      <c r="R21" s="22" t="s">
        <v>27</v>
      </c>
      <c r="S21" s="22" t="s">
        <v>34</v>
      </c>
      <c r="T21" s="24">
        <f t="shared" si="0"/>
        <v>83.390999999999991</v>
      </c>
    </row>
    <row r="22" spans="1:20" x14ac:dyDescent="0.25">
      <c r="A22" s="8">
        <v>368</v>
      </c>
      <c r="B22" s="8" t="s">
        <v>19</v>
      </c>
      <c r="C22" s="8">
        <v>1</v>
      </c>
      <c r="D22" s="8" t="s">
        <v>20</v>
      </c>
      <c r="E22" s="8" t="s">
        <v>35</v>
      </c>
      <c r="F22" s="18" t="s">
        <v>80</v>
      </c>
      <c r="G22" s="18" t="s">
        <v>78</v>
      </c>
      <c r="H22" s="19">
        <v>80</v>
      </c>
      <c r="I22" s="19">
        <v>1589</v>
      </c>
      <c r="J22" s="20" t="s">
        <v>82</v>
      </c>
      <c r="K22" s="20" t="s">
        <v>25</v>
      </c>
      <c r="L22" s="20" t="s">
        <v>26</v>
      </c>
      <c r="M22" s="20" t="s">
        <v>26</v>
      </c>
      <c r="N22" s="21">
        <v>41.695591090374499</v>
      </c>
      <c r="O22" s="10">
        <v>-80.118198941281307</v>
      </c>
      <c r="P22" s="22">
        <v>321</v>
      </c>
      <c r="Q22" s="23">
        <v>44229</v>
      </c>
      <c r="R22" s="22" t="s">
        <v>27</v>
      </c>
      <c r="S22" s="22" t="s">
        <v>34</v>
      </c>
      <c r="T22" s="24">
        <f t="shared" si="0"/>
        <v>347.64299999999997</v>
      </c>
    </row>
    <row r="23" spans="1:20" x14ac:dyDescent="0.25">
      <c r="A23" s="8">
        <v>369</v>
      </c>
      <c r="B23" s="8" t="s">
        <v>19</v>
      </c>
      <c r="C23" s="8">
        <v>1</v>
      </c>
      <c r="D23" s="8" t="s">
        <v>20</v>
      </c>
      <c r="E23" s="8" t="s">
        <v>35</v>
      </c>
      <c r="F23" s="18" t="s">
        <v>83</v>
      </c>
      <c r="G23" s="18" t="s">
        <v>84</v>
      </c>
      <c r="H23" s="18">
        <v>90</v>
      </c>
      <c r="I23" s="18">
        <v>878</v>
      </c>
      <c r="J23" s="20" t="s">
        <v>85</v>
      </c>
      <c r="K23" s="20" t="s">
        <v>25</v>
      </c>
      <c r="L23" s="27" t="s">
        <v>26</v>
      </c>
      <c r="M23" s="27" t="s">
        <v>26</v>
      </c>
      <c r="N23" s="21">
        <v>41.681699021223302</v>
      </c>
      <c r="O23" s="10">
        <v>-80.142821370354199</v>
      </c>
      <c r="P23" s="22">
        <v>377</v>
      </c>
      <c r="Q23" s="23">
        <v>44229</v>
      </c>
      <c r="R23" s="22" t="s">
        <v>27</v>
      </c>
      <c r="S23" s="22" t="s">
        <v>62</v>
      </c>
      <c r="T23" s="24">
        <f t="shared" si="0"/>
        <v>408.291</v>
      </c>
    </row>
    <row r="24" spans="1:20" x14ac:dyDescent="0.25">
      <c r="A24" s="8">
        <v>370</v>
      </c>
      <c r="B24" s="8" t="s">
        <v>19</v>
      </c>
      <c r="C24" s="8">
        <v>1</v>
      </c>
      <c r="D24" s="8" t="s">
        <v>20</v>
      </c>
      <c r="E24" s="8" t="s">
        <v>35</v>
      </c>
      <c r="F24" s="18" t="s">
        <v>83</v>
      </c>
      <c r="G24" s="18" t="s">
        <v>84</v>
      </c>
      <c r="H24" s="18">
        <v>110</v>
      </c>
      <c r="I24" s="18">
        <v>0</v>
      </c>
      <c r="J24" s="20" t="s">
        <v>86</v>
      </c>
      <c r="K24" s="20" t="s">
        <v>25</v>
      </c>
      <c r="L24" s="27" t="s">
        <v>26</v>
      </c>
      <c r="M24" s="27" t="s">
        <v>26</v>
      </c>
      <c r="N24" s="21">
        <v>41.691261123016297</v>
      </c>
      <c r="O24" s="10">
        <v>-80.143544233127898</v>
      </c>
      <c r="P24" s="22">
        <v>172</v>
      </c>
      <c r="Q24" s="23">
        <v>44229</v>
      </c>
      <c r="R24" s="22" t="s">
        <v>27</v>
      </c>
      <c r="S24" s="22" t="s">
        <v>38</v>
      </c>
      <c r="T24" s="24">
        <f t="shared" si="0"/>
        <v>186.27599999999998</v>
      </c>
    </row>
    <row r="25" spans="1:20" x14ac:dyDescent="0.25">
      <c r="A25" s="8">
        <v>371</v>
      </c>
      <c r="B25" s="8" t="s">
        <v>19</v>
      </c>
      <c r="C25" s="8">
        <v>1</v>
      </c>
      <c r="D25" s="8" t="s">
        <v>20</v>
      </c>
      <c r="E25" s="8" t="s">
        <v>87</v>
      </c>
      <c r="F25" s="18" t="s">
        <v>88</v>
      </c>
      <c r="G25" s="18" t="s">
        <v>89</v>
      </c>
      <c r="H25" s="19">
        <v>10</v>
      </c>
      <c r="I25" s="19">
        <v>905</v>
      </c>
      <c r="J25" s="20" t="s">
        <v>90</v>
      </c>
      <c r="K25" s="20" t="s">
        <v>25</v>
      </c>
      <c r="L25" s="20" t="s">
        <v>26</v>
      </c>
      <c r="M25" s="20" t="s">
        <v>26</v>
      </c>
      <c r="N25" s="21">
        <v>41.719064831317503</v>
      </c>
      <c r="O25" s="10">
        <v>-80.145173878596694</v>
      </c>
      <c r="P25" s="22">
        <v>743</v>
      </c>
      <c r="Q25" s="23">
        <v>44229</v>
      </c>
      <c r="R25" s="22" t="s">
        <v>27</v>
      </c>
      <c r="S25" s="22" t="s">
        <v>28</v>
      </c>
      <c r="T25" s="24">
        <f t="shared" si="0"/>
        <v>804.66899999999998</v>
      </c>
    </row>
    <row r="26" spans="1:20" x14ac:dyDescent="0.25">
      <c r="A26" s="8">
        <v>372</v>
      </c>
      <c r="B26" s="8" t="s">
        <v>19</v>
      </c>
      <c r="C26" s="8">
        <v>1</v>
      </c>
      <c r="D26" s="8" t="s">
        <v>20</v>
      </c>
      <c r="E26" s="8" t="s">
        <v>47</v>
      </c>
      <c r="F26" s="18" t="s">
        <v>91</v>
      </c>
      <c r="G26" s="18" t="s">
        <v>92</v>
      </c>
      <c r="H26" s="19">
        <v>50</v>
      </c>
      <c r="I26" s="19">
        <v>2095</v>
      </c>
      <c r="J26" s="20" t="s">
        <v>93</v>
      </c>
      <c r="K26" s="20" t="s">
        <v>25</v>
      </c>
      <c r="L26" s="20" t="s">
        <v>26</v>
      </c>
      <c r="M26" s="20" t="s">
        <v>26</v>
      </c>
      <c r="N26" s="21">
        <v>41.638943283469203</v>
      </c>
      <c r="O26" s="10">
        <v>-80.147378441055295</v>
      </c>
      <c r="P26" s="22">
        <v>598</v>
      </c>
      <c r="Q26" s="23">
        <v>44257</v>
      </c>
      <c r="R26" s="22" t="s">
        <v>27</v>
      </c>
      <c r="S26" s="22" t="s">
        <v>62</v>
      </c>
      <c r="T26" s="24">
        <f t="shared" si="0"/>
        <v>647.63400000000001</v>
      </c>
    </row>
    <row r="27" spans="1:20" x14ac:dyDescent="0.25">
      <c r="A27" s="8">
        <v>373</v>
      </c>
      <c r="B27" s="8" t="s">
        <v>19</v>
      </c>
      <c r="C27" s="8">
        <v>1</v>
      </c>
      <c r="D27" s="8" t="s">
        <v>20</v>
      </c>
      <c r="E27" s="8" t="s">
        <v>47</v>
      </c>
      <c r="F27" s="18" t="s">
        <v>94</v>
      </c>
      <c r="G27" s="18" t="s">
        <v>95</v>
      </c>
      <c r="H27" s="19">
        <v>30</v>
      </c>
      <c r="I27" s="19">
        <v>551</v>
      </c>
      <c r="J27" s="20" t="s">
        <v>96</v>
      </c>
      <c r="K27" s="20" t="s">
        <v>25</v>
      </c>
      <c r="L27" s="20" t="s">
        <v>26</v>
      </c>
      <c r="M27" s="20" t="s">
        <v>26</v>
      </c>
      <c r="N27" s="21">
        <v>41.648795499353199</v>
      </c>
      <c r="O27" s="10">
        <v>-80.1512026730163</v>
      </c>
      <c r="P27" s="22">
        <v>778</v>
      </c>
      <c r="Q27" s="23">
        <v>44229</v>
      </c>
      <c r="R27" s="22" t="s">
        <v>27</v>
      </c>
      <c r="S27" s="22" t="s">
        <v>38</v>
      </c>
      <c r="T27" s="24">
        <f t="shared" si="0"/>
        <v>842.57399999999996</v>
      </c>
    </row>
    <row r="28" spans="1:20" x14ac:dyDescent="0.25">
      <c r="A28" s="8">
        <v>374</v>
      </c>
      <c r="B28" s="8" t="s">
        <v>19</v>
      </c>
      <c r="C28" s="8">
        <v>1</v>
      </c>
      <c r="D28" s="8" t="s">
        <v>20</v>
      </c>
      <c r="E28" s="8" t="s">
        <v>97</v>
      </c>
      <c r="F28" s="18" t="s">
        <v>98</v>
      </c>
      <c r="G28" s="18" t="s">
        <v>95</v>
      </c>
      <c r="H28" s="19">
        <v>50</v>
      </c>
      <c r="I28" s="19">
        <v>1154</v>
      </c>
      <c r="J28" s="20" t="s">
        <v>99</v>
      </c>
      <c r="K28" s="20" t="s">
        <v>25</v>
      </c>
      <c r="L28" s="20" t="s">
        <v>26</v>
      </c>
      <c r="M28" s="20" t="s">
        <v>26</v>
      </c>
      <c r="N28" s="21">
        <v>41.664315249082101</v>
      </c>
      <c r="O28" s="10">
        <v>-80.160239561198097</v>
      </c>
      <c r="P28" s="22">
        <v>596</v>
      </c>
      <c r="Q28" s="23">
        <v>44229</v>
      </c>
      <c r="R28" s="22" t="s">
        <v>27</v>
      </c>
      <c r="S28" s="22" t="s">
        <v>62</v>
      </c>
      <c r="T28" s="24">
        <f t="shared" si="0"/>
        <v>645.46799999999996</v>
      </c>
    </row>
    <row r="29" spans="1:20" x14ac:dyDescent="0.25">
      <c r="A29" s="8">
        <v>375</v>
      </c>
      <c r="B29" s="8" t="s">
        <v>19</v>
      </c>
      <c r="C29" s="8">
        <v>1</v>
      </c>
      <c r="D29" s="8" t="s">
        <v>20</v>
      </c>
      <c r="E29" s="8" t="s">
        <v>100</v>
      </c>
      <c r="F29" s="18" t="s">
        <v>101</v>
      </c>
      <c r="G29" s="18" t="s">
        <v>102</v>
      </c>
      <c r="H29" s="18">
        <v>110</v>
      </c>
      <c r="I29" s="18">
        <v>0</v>
      </c>
      <c r="J29" s="20" t="s">
        <v>103</v>
      </c>
      <c r="K29" s="20" t="s">
        <v>25</v>
      </c>
      <c r="L29" s="27" t="s">
        <v>26</v>
      </c>
      <c r="M29" s="27" t="s">
        <v>26</v>
      </c>
      <c r="N29" s="21">
        <v>41.525089569902903</v>
      </c>
      <c r="O29" s="10">
        <v>-80.346958900574194</v>
      </c>
      <c r="P29" s="22">
        <v>81</v>
      </c>
      <c r="Q29" s="23">
        <v>44257</v>
      </c>
      <c r="R29" s="22" t="s">
        <v>27</v>
      </c>
      <c r="S29" s="22" t="s">
        <v>34</v>
      </c>
      <c r="T29" s="24">
        <f t="shared" si="0"/>
        <v>87.722999999999999</v>
      </c>
    </row>
    <row r="30" spans="1:20" x14ac:dyDescent="0.25">
      <c r="A30" s="8">
        <v>376</v>
      </c>
      <c r="B30" s="8" t="s">
        <v>19</v>
      </c>
      <c r="C30" s="8">
        <v>1</v>
      </c>
      <c r="D30" s="8" t="s">
        <v>20</v>
      </c>
      <c r="E30" s="8" t="s">
        <v>29</v>
      </c>
      <c r="F30" s="18" t="s">
        <v>104</v>
      </c>
      <c r="G30" s="18" t="s">
        <v>105</v>
      </c>
      <c r="H30" s="18">
        <v>40</v>
      </c>
      <c r="I30" s="18">
        <v>0</v>
      </c>
      <c r="J30" s="20" t="s">
        <v>106</v>
      </c>
      <c r="K30" s="20" t="s">
        <v>25</v>
      </c>
      <c r="L30" s="27" t="s">
        <v>26</v>
      </c>
      <c r="M30" s="27" t="s">
        <v>26</v>
      </c>
      <c r="N30" s="21">
        <v>41.612256659104197</v>
      </c>
      <c r="O30" s="10">
        <v>-80.176971455741693</v>
      </c>
      <c r="P30" s="22">
        <v>1828</v>
      </c>
      <c r="Q30" s="23">
        <v>44230</v>
      </c>
      <c r="R30" s="22" t="s">
        <v>27</v>
      </c>
      <c r="S30" s="22" t="s">
        <v>62</v>
      </c>
      <c r="T30" s="24">
        <f t="shared" si="0"/>
        <v>1979.7239999999999</v>
      </c>
    </row>
    <row r="31" spans="1:20" x14ac:dyDescent="0.25">
      <c r="A31" s="8">
        <v>461</v>
      </c>
      <c r="B31" s="8" t="s">
        <v>19</v>
      </c>
      <c r="C31" s="8">
        <v>1</v>
      </c>
      <c r="D31" s="8" t="s">
        <v>107</v>
      </c>
      <c r="E31" s="8" t="s">
        <v>108</v>
      </c>
      <c r="F31" s="18" t="s">
        <v>109</v>
      </c>
      <c r="G31" s="18" t="s">
        <v>110</v>
      </c>
      <c r="H31" s="19">
        <v>600</v>
      </c>
      <c r="I31" s="19">
        <v>0</v>
      </c>
      <c r="J31" s="20" t="s">
        <v>111</v>
      </c>
      <c r="K31" s="20" t="s">
        <v>25</v>
      </c>
      <c r="L31" s="27" t="s">
        <v>26</v>
      </c>
      <c r="M31" s="27" t="s">
        <v>26</v>
      </c>
      <c r="N31" s="21">
        <v>42.124857019119098</v>
      </c>
      <c r="O31" s="10">
        <v>-80.077400770311797</v>
      </c>
      <c r="P31" s="22">
        <v>2634</v>
      </c>
      <c r="Q31" s="23">
        <v>44223</v>
      </c>
      <c r="R31" s="22" t="s">
        <v>27</v>
      </c>
      <c r="S31" s="22" t="s">
        <v>34</v>
      </c>
      <c r="T31" s="24">
        <f t="shared" si="0"/>
        <v>2852.6219999999998</v>
      </c>
    </row>
    <row r="32" spans="1:20" x14ac:dyDescent="0.25">
      <c r="A32" s="8">
        <v>462</v>
      </c>
      <c r="B32" s="8" t="s">
        <v>19</v>
      </c>
      <c r="C32" s="8">
        <v>1</v>
      </c>
      <c r="D32" s="8" t="s">
        <v>107</v>
      </c>
      <c r="E32" s="8" t="s">
        <v>112</v>
      </c>
      <c r="F32" s="18" t="s">
        <v>113</v>
      </c>
      <c r="G32" s="18" t="s">
        <v>43</v>
      </c>
      <c r="H32" s="18">
        <v>500</v>
      </c>
      <c r="I32" s="18">
        <v>0</v>
      </c>
      <c r="J32" s="20" t="s">
        <v>114</v>
      </c>
      <c r="K32" s="20" t="s">
        <v>25</v>
      </c>
      <c r="L32" s="27" t="s">
        <v>26</v>
      </c>
      <c r="M32" s="27" t="s">
        <v>26</v>
      </c>
      <c r="N32" s="21">
        <v>42.063553467459101</v>
      </c>
      <c r="O32" s="10">
        <v>-79.942174080064405</v>
      </c>
      <c r="P32" s="22">
        <v>190</v>
      </c>
      <c r="Q32" s="23">
        <v>44223</v>
      </c>
      <c r="R32" s="22" t="s">
        <v>27</v>
      </c>
      <c r="S32" s="22" t="s">
        <v>34</v>
      </c>
      <c r="T32" s="24">
        <f t="shared" si="0"/>
        <v>205.76999999999998</v>
      </c>
    </row>
    <row r="33" spans="1:20" x14ac:dyDescent="0.25">
      <c r="A33" s="8">
        <v>463</v>
      </c>
      <c r="B33" s="8" t="s">
        <v>19</v>
      </c>
      <c r="C33" s="8">
        <v>1</v>
      </c>
      <c r="D33" s="8" t="s">
        <v>107</v>
      </c>
      <c r="E33" s="8" t="s">
        <v>115</v>
      </c>
      <c r="F33" s="18" t="s">
        <v>113</v>
      </c>
      <c r="G33" s="18" t="s">
        <v>43</v>
      </c>
      <c r="H33" s="19">
        <v>600</v>
      </c>
      <c r="I33" s="19">
        <v>208</v>
      </c>
      <c r="J33" s="20" t="s">
        <v>116</v>
      </c>
      <c r="K33" s="20" t="s">
        <v>25</v>
      </c>
      <c r="L33" s="20" t="s">
        <v>26</v>
      </c>
      <c r="M33" s="20" t="s">
        <v>26</v>
      </c>
      <c r="N33" s="21">
        <v>42.101125372316503</v>
      </c>
      <c r="O33" s="10">
        <v>-80.020108940652094</v>
      </c>
      <c r="P33" s="22">
        <v>1253</v>
      </c>
      <c r="Q33" s="23">
        <v>44223</v>
      </c>
      <c r="R33" s="22" t="s">
        <v>27</v>
      </c>
      <c r="S33" s="22" t="s">
        <v>34</v>
      </c>
      <c r="T33" s="24">
        <f t="shared" si="0"/>
        <v>1356.999</v>
      </c>
    </row>
    <row r="34" spans="1:20" x14ac:dyDescent="0.25">
      <c r="A34" s="8">
        <v>465</v>
      </c>
      <c r="B34" s="8" t="s">
        <v>19</v>
      </c>
      <c r="C34" s="8">
        <v>1</v>
      </c>
      <c r="D34" s="8" t="s">
        <v>107</v>
      </c>
      <c r="E34" s="8" t="s">
        <v>108</v>
      </c>
      <c r="F34" s="18" t="s">
        <v>117</v>
      </c>
      <c r="G34" s="18" t="s">
        <v>43</v>
      </c>
      <c r="H34" s="19">
        <v>640</v>
      </c>
      <c r="I34" s="19">
        <v>1969</v>
      </c>
      <c r="J34" s="20" t="s">
        <v>118</v>
      </c>
      <c r="K34" s="20" t="s">
        <v>25</v>
      </c>
      <c r="L34" s="20" t="s">
        <v>26</v>
      </c>
      <c r="M34" s="20" t="s">
        <v>26</v>
      </c>
      <c r="N34" s="21">
        <v>42.110456177180197</v>
      </c>
      <c r="O34" s="10">
        <v>-80.056488990959295</v>
      </c>
      <c r="P34" s="22">
        <v>801</v>
      </c>
      <c r="Q34" s="23">
        <v>44223</v>
      </c>
      <c r="R34" s="22" t="s">
        <v>27</v>
      </c>
      <c r="S34" s="22" t="s">
        <v>62</v>
      </c>
      <c r="T34" s="24">
        <f t="shared" si="0"/>
        <v>867.48299999999995</v>
      </c>
    </row>
    <row r="35" spans="1:20" x14ac:dyDescent="0.25">
      <c r="A35" s="8">
        <v>466</v>
      </c>
      <c r="B35" s="8" t="s">
        <v>19</v>
      </c>
      <c r="C35" s="8">
        <v>1</v>
      </c>
      <c r="D35" s="8" t="s">
        <v>107</v>
      </c>
      <c r="E35" s="8" t="s">
        <v>119</v>
      </c>
      <c r="F35" s="18" t="s">
        <v>120</v>
      </c>
      <c r="G35" s="18" t="s">
        <v>121</v>
      </c>
      <c r="H35" s="18">
        <v>10</v>
      </c>
      <c r="I35" s="18">
        <v>478</v>
      </c>
      <c r="J35" s="20" t="s">
        <v>122</v>
      </c>
      <c r="K35" s="20" t="s">
        <v>25</v>
      </c>
      <c r="L35" s="27" t="s">
        <v>26</v>
      </c>
      <c r="M35" s="27" t="s">
        <v>26</v>
      </c>
      <c r="N35" s="21">
        <v>41.850695920102197</v>
      </c>
      <c r="O35" s="10">
        <v>-80.371259819074893</v>
      </c>
      <c r="P35" s="22">
        <v>265</v>
      </c>
      <c r="Q35" s="23">
        <v>44230</v>
      </c>
      <c r="R35" s="22" t="s">
        <v>27</v>
      </c>
      <c r="S35" s="22" t="s">
        <v>62</v>
      </c>
      <c r="T35" s="24">
        <f t="shared" si="0"/>
        <v>286.995</v>
      </c>
    </row>
    <row r="36" spans="1:20" x14ac:dyDescent="0.25">
      <c r="A36" s="8">
        <v>467</v>
      </c>
      <c r="B36" s="8" t="s">
        <v>19</v>
      </c>
      <c r="C36" s="8">
        <v>1</v>
      </c>
      <c r="D36" s="8" t="s">
        <v>107</v>
      </c>
      <c r="E36" s="8" t="s">
        <v>123</v>
      </c>
      <c r="F36" s="18" t="s">
        <v>124</v>
      </c>
      <c r="G36" s="18" t="s">
        <v>125</v>
      </c>
      <c r="H36" s="18">
        <v>110</v>
      </c>
      <c r="I36" s="18">
        <v>995</v>
      </c>
      <c r="J36" s="20" t="s">
        <v>126</v>
      </c>
      <c r="K36" s="20" t="s">
        <v>25</v>
      </c>
      <c r="L36" s="27" t="s">
        <v>26</v>
      </c>
      <c r="M36" s="27" t="s">
        <v>26</v>
      </c>
      <c r="N36" s="21">
        <v>41.944591130301099</v>
      </c>
      <c r="O36" s="10">
        <v>-79.985598733750706</v>
      </c>
      <c r="P36" s="22">
        <v>434</v>
      </c>
      <c r="Q36" s="23">
        <v>44254</v>
      </c>
      <c r="R36" s="22" t="s">
        <v>27</v>
      </c>
      <c r="S36" s="22" t="s">
        <v>38</v>
      </c>
      <c r="T36" s="24">
        <f t="shared" si="0"/>
        <v>470.02199999999999</v>
      </c>
    </row>
    <row r="37" spans="1:20" x14ac:dyDescent="0.25">
      <c r="A37" s="8">
        <v>468</v>
      </c>
      <c r="B37" s="8" t="s">
        <v>19</v>
      </c>
      <c r="C37" s="8">
        <v>1</v>
      </c>
      <c r="D37" s="8" t="s">
        <v>107</v>
      </c>
      <c r="E37" s="8" t="s">
        <v>127</v>
      </c>
      <c r="F37" s="18" t="s">
        <v>128</v>
      </c>
      <c r="G37" s="18" t="s">
        <v>125</v>
      </c>
      <c r="H37" s="18">
        <v>250</v>
      </c>
      <c r="I37" s="18">
        <v>1861</v>
      </c>
      <c r="J37" s="20" t="s">
        <v>129</v>
      </c>
      <c r="K37" s="20" t="s">
        <v>25</v>
      </c>
      <c r="L37" s="27" t="s">
        <v>26</v>
      </c>
      <c r="M37" s="27" t="s">
        <v>26</v>
      </c>
      <c r="N37" s="21">
        <v>42.019939765294801</v>
      </c>
      <c r="O37" s="10">
        <v>-80.051472025940001</v>
      </c>
      <c r="P37" s="22">
        <v>736</v>
      </c>
      <c r="Q37" s="23">
        <v>44230</v>
      </c>
      <c r="R37" s="22" t="s">
        <v>27</v>
      </c>
      <c r="S37" s="22" t="s">
        <v>62</v>
      </c>
      <c r="T37" s="24">
        <f t="shared" si="0"/>
        <v>797.08799999999997</v>
      </c>
    </row>
    <row r="38" spans="1:20" x14ac:dyDescent="0.25">
      <c r="A38" s="8">
        <v>469</v>
      </c>
      <c r="B38" s="8" t="s">
        <v>19</v>
      </c>
      <c r="C38" s="8">
        <v>1</v>
      </c>
      <c r="D38" s="8" t="s">
        <v>107</v>
      </c>
      <c r="E38" s="8" t="s">
        <v>115</v>
      </c>
      <c r="F38" s="18" t="s">
        <v>128</v>
      </c>
      <c r="G38" s="18" t="s">
        <v>125</v>
      </c>
      <c r="H38" s="19">
        <v>350</v>
      </c>
      <c r="I38" s="19">
        <v>0</v>
      </c>
      <c r="J38" s="20" t="s">
        <v>130</v>
      </c>
      <c r="K38" s="20" t="s">
        <v>25</v>
      </c>
      <c r="L38" s="20" t="s">
        <v>26</v>
      </c>
      <c r="M38" s="20" t="s">
        <v>26</v>
      </c>
      <c r="N38" s="21">
        <v>42.075823939191402</v>
      </c>
      <c r="O38" s="10">
        <v>-80.093089005925805</v>
      </c>
      <c r="P38" s="22">
        <v>2795</v>
      </c>
      <c r="Q38" s="23">
        <v>44257</v>
      </c>
      <c r="R38" s="22" t="s">
        <v>27</v>
      </c>
      <c r="S38" s="22" t="s">
        <v>62</v>
      </c>
      <c r="T38" s="24">
        <f t="shared" si="0"/>
        <v>3026.9849999999997</v>
      </c>
    </row>
    <row r="39" spans="1:20" x14ac:dyDescent="0.25">
      <c r="A39" s="8">
        <v>470</v>
      </c>
      <c r="B39" s="8" t="s">
        <v>19</v>
      </c>
      <c r="C39" s="8">
        <v>1</v>
      </c>
      <c r="D39" s="8" t="s">
        <v>107</v>
      </c>
      <c r="E39" s="8" t="s">
        <v>131</v>
      </c>
      <c r="F39" s="18" t="s">
        <v>132</v>
      </c>
      <c r="G39" s="18" t="s">
        <v>133</v>
      </c>
      <c r="H39" s="18">
        <v>160</v>
      </c>
      <c r="I39" s="18">
        <v>1458</v>
      </c>
      <c r="J39" s="20" t="s">
        <v>134</v>
      </c>
      <c r="K39" s="20" t="s">
        <v>25</v>
      </c>
      <c r="L39" s="27" t="s">
        <v>26</v>
      </c>
      <c r="M39" s="27" t="s">
        <v>26</v>
      </c>
      <c r="N39" s="21">
        <v>41.974518344599602</v>
      </c>
      <c r="O39" s="10">
        <v>-80.387203550012103</v>
      </c>
      <c r="P39" s="22">
        <v>419</v>
      </c>
      <c r="Q39" s="23">
        <v>44230</v>
      </c>
      <c r="R39" s="22" t="s">
        <v>27</v>
      </c>
      <c r="S39" s="22" t="s">
        <v>28</v>
      </c>
      <c r="T39" s="24">
        <f t="shared" si="0"/>
        <v>453.77699999999999</v>
      </c>
    </row>
    <row r="40" spans="1:20" x14ac:dyDescent="0.25">
      <c r="A40" s="8">
        <v>471</v>
      </c>
      <c r="B40" s="8" t="s">
        <v>19</v>
      </c>
      <c r="C40" s="8">
        <v>1</v>
      </c>
      <c r="D40" s="8" t="s">
        <v>107</v>
      </c>
      <c r="E40" s="8" t="s">
        <v>131</v>
      </c>
      <c r="F40" s="18" t="s">
        <v>132</v>
      </c>
      <c r="G40" s="18" t="s">
        <v>133</v>
      </c>
      <c r="H40" s="18">
        <v>280</v>
      </c>
      <c r="I40" s="18">
        <v>1007</v>
      </c>
      <c r="J40" s="20" t="s">
        <v>135</v>
      </c>
      <c r="K40" s="20" t="s">
        <v>25</v>
      </c>
      <c r="L40" s="27" t="s">
        <v>26</v>
      </c>
      <c r="M40" s="27" t="s">
        <v>26</v>
      </c>
      <c r="N40" s="21">
        <v>42.010338983807003</v>
      </c>
      <c r="O40" s="10">
        <v>-80.301406148668207</v>
      </c>
      <c r="P40" s="22">
        <v>4112</v>
      </c>
      <c r="Q40" s="23">
        <v>44230</v>
      </c>
      <c r="R40" s="22" t="s">
        <v>27</v>
      </c>
      <c r="S40" s="22" t="s">
        <v>28</v>
      </c>
      <c r="T40" s="24">
        <f t="shared" si="0"/>
        <v>4453.2960000000003</v>
      </c>
    </row>
    <row r="41" spans="1:20" x14ac:dyDescent="0.25">
      <c r="A41" s="8">
        <v>472</v>
      </c>
      <c r="B41" s="8" t="s">
        <v>19</v>
      </c>
      <c r="C41" s="8">
        <v>1</v>
      </c>
      <c r="D41" s="8" t="s">
        <v>107</v>
      </c>
      <c r="E41" s="8" t="s">
        <v>131</v>
      </c>
      <c r="F41" s="18" t="s">
        <v>132</v>
      </c>
      <c r="G41" s="18" t="s">
        <v>133</v>
      </c>
      <c r="H41" s="18">
        <v>300</v>
      </c>
      <c r="I41" s="18">
        <v>0</v>
      </c>
      <c r="J41" s="20" t="s">
        <v>136</v>
      </c>
      <c r="K41" s="20" t="s">
        <v>25</v>
      </c>
      <c r="L41" s="27" t="s">
        <v>26</v>
      </c>
      <c r="M41" s="27" t="s">
        <v>26</v>
      </c>
      <c r="N41" s="21">
        <v>42.014961646645098</v>
      </c>
      <c r="O41" s="10">
        <v>-80.289145574676496</v>
      </c>
      <c r="P41" s="22">
        <v>659</v>
      </c>
      <c r="Q41" s="23">
        <v>44230</v>
      </c>
      <c r="R41" s="22" t="s">
        <v>27</v>
      </c>
      <c r="S41" s="22" t="s">
        <v>34</v>
      </c>
      <c r="T41" s="24">
        <f t="shared" si="0"/>
        <v>713.697</v>
      </c>
    </row>
    <row r="42" spans="1:20" x14ac:dyDescent="0.25">
      <c r="A42" s="8">
        <v>473</v>
      </c>
      <c r="B42" s="8" t="s">
        <v>19</v>
      </c>
      <c r="C42" s="8">
        <v>1</v>
      </c>
      <c r="D42" s="8" t="s">
        <v>107</v>
      </c>
      <c r="E42" s="8" t="s">
        <v>115</v>
      </c>
      <c r="F42" s="18" t="s">
        <v>132</v>
      </c>
      <c r="G42" s="18" t="s">
        <v>133</v>
      </c>
      <c r="H42" s="19">
        <v>470</v>
      </c>
      <c r="I42" s="19">
        <v>2260</v>
      </c>
      <c r="J42" s="20" t="s">
        <v>137</v>
      </c>
      <c r="K42" s="20" t="s">
        <v>25</v>
      </c>
      <c r="L42" s="20" t="s">
        <v>26</v>
      </c>
      <c r="M42" s="20" t="s">
        <v>26</v>
      </c>
      <c r="N42" s="21">
        <v>42.079491424407401</v>
      </c>
      <c r="O42" s="10">
        <v>-80.164007234826997</v>
      </c>
      <c r="P42" s="22">
        <v>2800</v>
      </c>
      <c r="Q42" s="23">
        <v>44230</v>
      </c>
      <c r="R42" s="22" t="s">
        <v>27</v>
      </c>
      <c r="S42" s="22" t="s">
        <v>28</v>
      </c>
      <c r="T42" s="24">
        <f t="shared" si="0"/>
        <v>3032.4</v>
      </c>
    </row>
    <row r="43" spans="1:20" x14ac:dyDescent="0.25">
      <c r="A43" s="8">
        <v>474</v>
      </c>
      <c r="B43" s="8" t="s">
        <v>19</v>
      </c>
      <c r="C43" s="8">
        <v>1</v>
      </c>
      <c r="D43" s="8" t="s">
        <v>107</v>
      </c>
      <c r="E43" s="8" t="s">
        <v>115</v>
      </c>
      <c r="F43" s="18" t="s">
        <v>138</v>
      </c>
      <c r="G43" s="18" t="s">
        <v>133</v>
      </c>
      <c r="H43" s="19">
        <v>510</v>
      </c>
      <c r="I43" s="19">
        <v>1363</v>
      </c>
      <c r="J43" s="20" t="s">
        <v>139</v>
      </c>
      <c r="K43" s="20" t="s">
        <v>25</v>
      </c>
      <c r="L43" s="20" t="s">
        <v>26</v>
      </c>
      <c r="M43" s="20" t="s">
        <v>26</v>
      </c>
      <c r="N43" s="21">
        <v>42.089687877880003</v>
      </c>
      <c r="O43" s="10">
        <v>-80.1332763781312</v>
      </c>
      <c r="P43" s="22">
        <v>593</v>
      </c>
      <c r="Q43" s="23">
        <v>44230</v>
      </c>
      <c r="R43" s="22" t="s">
        <v>27</v>
      </c>
      <c r="S43" s="22" t="s">
        <v>34</v>
      </c>
      <c r="T43" s="24">
        <f t="shared" si="0"/>
        <v>642.21899999999994</v>
      </c>
    </row>
    <row r="44" spans="1:20" x14ac:dyDescent="0.25">
      <c r="A44" s="8">
        <v>475</v>
      </c>
      <c r="B44" s="8" t="s">
        <v>19</v>
      </c>
      <c r="C44" s="8">
        <v>1</v>
      </c>
      <c r="D44" s="8" t="s">
        <v>107</v>
      </c>
      <c r="E44" s="8" t="s">
        <v>108</v>
      </c>
      <c r="F44" s="18" t="s">
        <v>138</v>
      </c>
      <c r="G44" s="18" t="s">
        <v>133</v>
      </c>
      <c r="H44" s="19">
        <v>530</v>
      </c>
      <c r="I44" s="19">
        <v>0</v>
      </c>
      <c r="J44" s="20" t="s">
        <v>140</v>
      </c>
      <c r="K44" s="20" t="s">
        <v>25</v>
      </c>
      <c r="L44" s="20" t="s">
        <v>26</v>
      </c>
      <c r="M44" s="20" t="s">
        <v>26</v>
      </c>
      <c r="N44" s="21">
        <v>42.095567146299302</v>
      </c>
      <c r="O44" s="10">
        <v>-80.117747304130702</v>
      </c>
      <c r="P44" s="22">
        <v>688</v>
      </c>
      <c r="Q44" s="23">
        <v>44230</v>
      </c>
      <c r="R44" s="22" t="s">
        <v>27</v>
      </c>
      <c r="S44" s="22" t="s">
        <v>28</v>
      </c>
      <c r="T44" s="24">
        <f t="shared" si="0"/>
        <v>745.10399999999993</v>
      </c>
    </row>
    <row r="45" spans="1:20" x14ac:dyDescent="0.25">
      <c r="A45" s="8">
        <v>476</v>
      </c>
      <c r="B45" s="8" t="s">
        <v>19</v>
      </c>
      <c r="C45" s="8">
        <v>1</v>
      </c>
      <c r="D45" s="8" t="s">
        <v>107</v>
      </c>
      <c r="E45" s="8" t="s">
        <v>108</v>
      </c>
      <c r="F45" s="18" t="s">
        <v>138</v>
      </c>
      <c r="G45" s="18" t="s">
        <v>133</v>
      </c>
      <c r="H45" s="19">
        <v>530</v>
      </c>
      <c r="I45" s="19">
        <v>706</v>
      </c>
      <c r="J45" s="20" t="s">
        <v>141</v>
      </c>
      <c r="K45" s="20" t="s">
        <v>25</v>
      </c>
      <c r="L45" s="20" t="s">
        <v>26</v>
      </c>
      <c r="M45" s="20" t="s">
        <v>26</v>
      </c>
      <c r="N45" s="21">
        <v>42.096411167023298</v>
      </c>
      <c r="O45" s="10">
        <v>-80.115430345038206</v>
      </c>
      <c r="P45" s="22">
        <v>736</v>
      </c>
      <c r="Q45" s="23">
        <v>44230</v>
      </c>
      <c r="R45" s="22" t="s">
        <v>27</v>
      </c>
      <c r="S45" s="22" t="s">
        <v>28</v>
      </c>
      <c r="T45" s="24">
        <f t="shared" si="0"/>
        <v>797.08799999999997</v>
      </c>
    </row>
    <row r="46" spans="1:20" x14ac:dyDescent="0.25">
      <c r="A46" s="8">
        <v>477</v>
      </c>
      <c r="B46" s="8" t="s">
        <v>19</v>
      </c>
      <c r="C46" s="8">
        <v>1</v>
      </c>
      <c r="D46" s="8" t="s">
        <v>107</v>
      </c>
      <c r="E46" s="8" t="s">
        <v>108</v>
      </c>
      <c r="F46" s="18" t="s">
        <v>138</v>
      </c>
      <c r="G46" s="18" t="s">
        <v>133</v>
      </c>
      <c r="H46" s="19">
        <v>550</v>
      </c>
      <c r="I46" s="19">
        <v>2090</v>
      </c>
      <c r="J46" s="20" t="s">
        <v>142</v>
      </c>
      <c r="K46" s="20" t="s">
        <v>25</v>
      </c>
      <c r="L46" s="20" t="s">
        <v>26</v>
      </c>
      <c r="M46" s="20" t="s">
        <v>26</v>
      </c>
      <c r="N46" s="21">
        <v>42.104299127570798</v>
      </c>
      <c r="O46" s="10">
        <v>-80.094325911185095</v>
      </c>
      <c r="P46" s="22">
        <v>809</v>
      </c>
      <c r="Q46" s="23">
        <v>44230</v>
      </c>
      <c r="R46" s="22" t="s">
        <v>27</v>
      </c>
      <c r="S46" s="22" t="s">
        <v>28</v>
      </c>
      <c r="T46" s="24">
        <f t="shared" si="0"/>
        <v>876.14699999999993</v>
      </c>
    </row>
    <row r="47" spans="1:20" x14ac:dyDescent="0.25">
      <c r="A47" s="8">
        <v>478</v>
      </c>
      <c r="B47" s="8" t="s">
        <v>19</v>
      </c>
      <c r="C47" s="8">
        <v>1</v>
      </c>
      <c r="D47" s="8" t="s">
        <v>107</v>
      </c>
      <c r="E47" s="8" t="s">
        <v>108</v>
      </c>
      <c r="F47" s="18" t="s">
        <v>138</v>
      </c>
      <c r="G47" s="18" t="s">
        <v>133</v>
      </c>
      <c r="H47" s="19">
        <v>570</v>
      </c>
      <c r="I47" s="19">
        <v>0</v>
      </c>
      <c r="J47" s="20" t="s">
        <v>143</v>
      </c>
      <c r="K47" s="20" t="s">
        <v>25</v>
      </c>
      <c r="L47" s="20" t="s">
        <v>26</v>
      </c>
      <c r="M47" s="20" t="s">
        <v>26</v>
      </c>
      <c r="N47" s="21">
        <v>42.108803868808799</v>
      </c>
      <c r="O47" s="10">
        <v>-80.082080067677296</v>
      </c>
      <c r="P47" s="22">
        <v>1998</v>
      </c>
      <c r="Q47" s="23">
        <v>44223</v>
      </c>
      <c r="R47" s="22" t="s">
        <v>27</v>
      </c>
      <c r="S47" s="22" t="s">
        <v>34</v>
      </c>
      <c r="T47" s="24">
        <f t="shared" si="0"/>
        <v>2163.8339999999998</v>
      </c>
    </row>
    <row r="48" spans="1:20" x14ac:dyDescent="0.25">
      <c r="A48" s="8">
        <v>479</v>
      </c>
      <c r="B48" s="8" t="s">
        <v>19</v>
      </c>
      <c r="C48" s="8">
        <v>1</v>
      </c>
      <c r="D48" s="8" t="s">
        <v>107</v>
      </c>
      <c r="E48" s="8" t="s">
        <v>108</v>
      </c>
      <c r="F48" s="18" t="s">
        <v>138</v>
      </c>
      <c r="G48" s="18" t="s">
        <v>133</v>
      </c>
      <c r="H48" s="19">
        <v>570</v>
      </c>
      <c r="I48" s="19">
        <v>726</v>
      </c>
      <c r="J48" s="20" t="s">
        <v>144</v>
      </c>
      <c r="K48" s="20" t="s">
        <v>25</v>
      </c>
      <c r="L48" s="20" t="s">
        <v>26</v>
      </c>
      <c r="M48" s="20" t="s">
        <v>26</v>
      </c>
      <c r="N48" s="21">
        <v>42.109675619132403</v>
      </c>
      <c r="O48" s="10">
        <v>-80.079678965830198</v>
      </c>
      <c r="P48" s="22">
        <v>4028</v>
      </c>
      <c r="Q48" s="23">
        <v>44223</v>
      </c>
      <c r="R48" s="22" t="s">
        <v>27</v>
      </c>
      <c r="S48" s="22" t="s">
        <v>28</v>
      </c>
      <c r="T48" s="24">
        <f t="shared" si="0"/>
        <v>4362.3239999999996</v>
      </c>
    </row>
    <row r="49" spans="1:20" x14ac:dyDescent="0.25">
      <c r="A49" s="8">
        <v>480</v>
      </c>
      <c r="B49" s="8" t="s">
        <v>19</v>
      </c>
      <c r="C49" s="8">
        <v>1</v>
      </c>
      <c r="D49" s="8" t="s">
        <v>107</v>
      </c>
      <c r="E49" s="8" t="s">
        <v>108</v>
      </c>
      <c r="F49" s="18" t="s">
        <v>138</v>
      </c>
      <c r="G49" s="18" t="s">
        <v>133</v>
      </c>
      <c r="H49" s="19">
        <v>610</v>
      </c>
      <c r="I49" s="19">
        <v>2027</v>
      </c>
      <c r="J49" s="20" t="s">
        <v>145</v>
      </c>
      <c r="K49" s="20" t="s">
        <v>25</v>
      </c>
      <c r="L49" s="20" t="s">
        <v>26</v>
      </c>
      <c r="M49" s="20" t="s">
        <v>26</v>
      </c>
      <c r="N49" s="21">
        <v>42.119244024798299</v>
      </c>
      <c r="O49" s="10">
        <v>-80.053723768500305</v>
      </c>
      <c r="P49" s="22">
        <v>938</v>
      </c>
      <c r="Q49" s="23">
        <v>44223</v>
      </c>
      <c r="R49" s="22" t="s">
        <v>27</v>
      </c>
      <c r="S49" s="22" t="s">
        <v>34</v>
      </c>
      <c r="T49" s="24">
        <f t="shared" si="0"/>
        <v>1015.8539999999999</v>
      </c>
    </row>
    <row r="50" spans="1:20" x14ac:dyDescent="0.25">
      <c r="A50" s="8">
        <v>481</v>
      </c>
      <c r="B50" s="8" t="s">
        <v>19</v>
      </c>
      <c r="C50" s="8">
        <v>1</v>
      </c>
      <c r="D50" s="8" t="s">
        <v>107</v>
      </c>
      <c r="E50" s="8" t="s">
        <v>108</v>
      </c>
      <c r="F50" s="18" t="s">
        <v>138</v>
      </c>
      <c r="G50" s="18" t="s">
        <v>133</v>
      </c>
      <c r="H50" s="19">
        <v>620</v>
      </c>
      <c r="I50" s="19">
        <v>0</v>
      </c>
      <c r="J50" s="20" t="s">
        <v>146</v>
      </c>
      <c r="K50" s="20" t="s">
        <v>25</v>
      </c>
      <c r="L50" s="20" t="s">
        <v>26</v>
      </c>
      <c r="M50" s="20" t="s">
        <v>26</v>
      </c>
      <c r="N50" s="21">
        <v>42.120123614993297</v>
      </c>
      <c r="O50" s="10">
        <v>-80.051388595090998</v>
      </c>
      <c r="P50" s="22">
        <v>3084</v>
      </c>
      <c r="Q50" s="23">
        <v>44223</v>
      </c>
      <c r="R50" s="22" t="s">
        <v>27</v>
      </c>
      <c r="S50" s="22" t="s">
        <v>28</v>
      </c>
      <c r="T50" s="24">
        <f t="shared" si="0"/>
        <v>3339.9719999999998</v>
      </c>
    </row>
    <row r="51" spans="1:20" x14ac:dyDescent="0.25">
      <c r="A51" s="8">
        <v>482</v>
      </c>
      <c r="B51" s="8" t="s">
        <v>19</v>
      </c>
      <c r="C51" s="8">
        <v>1</v>
      </c>
      <c r="D51" s="8" t="s">
        <v>107</v>
      </c>
      <c r="E51" s="8" t="s">
        <v>147</v>
      </c>
      <c r="F51" s="18" t="s">
        <v>148</v>
      </c>
      <c r="G51" s="18" t="s">
        <v>133</v>
      </c>
      <c r="H51" s="19">
        <v>740</v>
      </c>
      <c r="I51" s="19">
        <v>1092</v>
      </c>
      <c r="J51" s="20" t="s">
        <v>149</v>
      </c>
      <c r="K51" s="20" t="s">
        <v>25</v>
      </c>
      <c r="L51" s="20" t="s">
        <v>26</v>
      </c>
      <c r="M51" s="20" t="s">
        <v>26</v>
      </c>
      <c r="N51" s="21">
        <v>42.160024807874699</v>
      </c>
      <c r="O51" s="10">
        <v>-79.971518407063698</v>
      </c>
      <c r="P51" s="22">
        <v>6310</v>
      </c>
      <c r="Q51" s="23">
        <v>44223</v>
      </c>
      <c r="R51" s="22" t="s">
        <v>27</v>
      </c>
      <c r="S51" s="22" t="s">
        <v>28</v>
      </c>
      <c r="T51" s="24">
        <f t="shared" si="0"/>
        <v>6833.73</v>
      </c>
    </row>
    <row r="52" spans="1:20" x14ac:dyDescent="0.25">
      <c r="A52" s="8">
        <v>483</v>
      </c>
      <c r="B52" s="8" t="s">
        <v>19</v>
      </c>
      <c r="C52" s="8">
        <v>1</v>
      </c>
      <c r="D52" s="8" t="s">
        <v>107</v>
      </c>
      <c r="E52" s="8" t="s">
        <v>150</v>
      </c>
      <c r="F52" s="18" t="s">
        <v>148</v>
      </c>
      <c r="G52" s="18" t="s">
        <v>133</v>
      </c>
      <c r="H52" s="18">
        <v>860</v>
      </c>
      <c r="I52" s="18">
        <v>0</v>
      </c>
      <c r="J52" s="20" t="s">
        <v>151</v>
      </c>
      <c r="K52" s="20" t="s">
        <v>25</v>
      </c>
      <c r="L52" s="27" t="s">
        <v>26</v>
      </c>
      <c r="M52" s="27" t="s">
        <v>26</v>
      </c>
      <c r="N52" s="21">
        <v>42.198030118638599</v>
      </c>
      <c r="O52" s="10">
        <v>-79.881708591478002</v>
      </c>
      <c r="P52" s="22">
        <v>298</v>
      </c>
      <c r="Q52" s="23">
        <v>44223</v>
      </c>
      <c r="R52" s="22" t="s">
        <v>27</v>
      </c>
      <c r="S52" s="22" t="s">
        <v>34</v>
      </c>
      <c r="T52" s="24">
        <f t="shared" si="0"/>
        <v>322.73399999999998</v>
      </c>
    </row>
    <row r="53" spans="1:20" x14ac:dyDescent="0.25">
      <c r="A53" s="8">
        <v>484</v>
      </c>
      <c r="B53" s="8" t="s">
        <v>19</v>
      </c>
      <c r="C53" s="8">
        <v>1</v>
      </c>
      <c r="D53" s="8" t="s">
        <v>107</v>
      </c>
      <c r="E53" s="8" t="s">
        <v>152</v>
      </c>
      <c r="F53" s="18" t="s">
        <v>153</v>
      </c>
      <c r="G53" s="18" t="s">
        <v>154</v>
      </c>
      <c r="H53" s="18">
        <v>30</v>
      </c>
      <c r="I53" s="18">
        <v>0</v>
      </c>
      <c r="J53" s="20" t="s">
        <v>155</v>
      </c>
      <c r="K53" s="20" t="s">
        <v>25</v>
      </c>
      <c r="L53" s="27" t="s">
        <v>26</v>
      </c>
      <c r="M53" s="27" t="s">
        <v>26</v>
      </c>
      <c r="N53" s="21">
        <v>41.9987846002483</v>
      </c>
      <c r="O53" s="10">
        <v>-80.219503126218001</v>
      </c>
      <c r="P53" s="22">
        <v>81</v>
      </c>
      <c r="Q53" s="23">
        <v>44230</v>
      </c>
      <c r="R53" s="22" t="s">
        <v>27</v>
      </c>
      <c r="S53" s="22" t="s">
        <v>34</v>
      </c>
      <c r="T53" s="24">
        <f t="shared" si="0"/>
        <v>87.722999999999999</v>
      </c>
    </row>
    <row r="54" spans="1:20" x14ac:dyDescent="0.25">
      <c r="A54" s="8">
        <v>485</v>
      </c>
      <c r="B54" s="8" t="s">
        <v>19</v>
      </c>
      <c r="C54" s="8">
        <v>1</v>
      </c>
      <c r="D54" s="8" t="s">
        <v>107</v>
      </c>
      <c r="E54" s="8" t="s">
        <v>131</v>
      </c>
      <c r="F54" s="18" t="s">
        <v>156</v>
      </c>
      <c r="G54" s="18" t="s">
        <v>157</v>
      </c>
      <c r="H54" s="18">
        <v>60</v>
      </c>
      <c r="I54" s="18">
        <v>0</v>
      </c>
      <c r="J54" s="20" t="s">
        <v>158</v>
      </c>
      <c r="K54" s="20" t="s">
        <v>25</v>
      </c>
      <c r="L54" s="27" t="s">
        <v>26</v>
      </c>
      <c r="M54" s="27" t="s">
        <v>26</v>
      </c>
      <c r="N54" s="21">
        <v>42.027076751931901</v>
      </c>
      <c r="O54" s="10">
        <v>-80.296741796991</v>
      </c>
      <c r="P54" s="22">
        <v>544</v>
      </c>
      <c r="Q54" s="23">
        <v>44230</v>
      </c>
      <c r="R54" s="22" t="s">
        <v>27</v>
      </c>
      <c r="S54" s="22" t="s">
        <v>34</v>
      </c>
      <c r="T54" s="24">
        <f t="shared" si="0"/>
        <v>589.15199999999993</v>
      </c>
    </row>
    <row r="55" spans="1:20" x14ac:dyDescent="0.25">
      <c r="A55" s="8">
        <v>486</v>
      </c>
      <c r="B55" s="8" t="s">
        <v>19</v>
      </c>
      <c r="C55" s="8">
        <v>1</v>
      </c>
      <c r="D55" s="8" t="s">
        <v>107</v>
      </c>
      <c r="E55" s="8" t="s">
        <v>127</v>
      </c>
      <c r="F55" s="18" t="s">
        <v>159</v>
      </c>
      <c r="G55" s="18" t="s">
        <v>160</v>
      </c>
      <c r="H55" s="19">
        <v>40</v>
      </c>
      <c r="I55" s="19">
        <v>35</v>
      </c>
      <c r="J55" s="20" t="s">
        <v>161</v>
      </c>
      <c r="K55" s="20" t="s">
        <v>25</v>
      </c>
      <c r="L55" s="20" t="s">
        <v>26</v>
      </c>
      <c r="M55" s="20" t="s">
        <v>26</v>
      </c>
      <c r="N55" s="21">
        <v>42.0292905358436</v>
      </c>
      <c r="O55" s="10">
        <v>-80.092041864560201</v>
      </c>
      <c r="P55" s="22">
        <v>3305</v>
      </c>
      <c r="Q55" s="23">
        <v>44230</v>
      </c>
      <c r="R55" s="22" t="s">
        <v>27</v>
      </c>
      <c r="S55" s="22" t="s">
        <v>34</v>
      </c>
      <c r="T55" s="24">
        <f t="shared" si="0"/>
        <v>3579.3150000000001</v>
      </c>
    </row>
    <row r="56" spans="1:20" x14ac:dyDescent="0.25">
      <c r="A56" s="8">
        <v>487</v>
      </c>
      <c r="B56" s="8" t="s">
        <v>19</v>
      </c>
      <c r="C56" s="8">
        <v>1</v>
      </c>
      <c r="D56" s="8" t="s">
        <v>107</v>
      </c>
      <c r="E56" s="8" t="s">
        <v>108</v>
      </c>
      <c r="F56" s="18" t="s">
        <v>162</v>
      </c>
      <c r="G56" s="18" t="s">
        <v>163</v>
      </c>
      <c r="H56" s="19">
        <v>40</v>
      </c>
      <c r="I56" s="19">
        <v>0</v>
      </c>
      <c r="J56" s="20" t="s">
        <v>164</v>
      </c>
      <c r="K56" s="20" t="s">
        <v>25</v>
      </c>
      <c r="L56" s="20" t="s">
        <v>26</v>
      </c>
      <c r="M56" s="20" t="s">
        <v>26</v>
      </c>
      <c r="N56" s="21">
        <v>42.083394293229503</v>
      </c>
      <c r="O56" s="10">
        <v>-80.095605660448797</v>
      </c>
      <c r="P56" s="22">
        <v>2748</v>
      </c>
      <c r="Q56" s="23">
        <v>44230</v>
      </c>
      <c r="R56" s="22" t="s">
        <v>27</v>
      </c>
      <c r="S56" s="22" t="s">
        <v>34</v>
      </c>
      <c r="T56" s="24">
        <f t="shared" si="0"/>
        <v>2976.0839999999998</v>
      </c>
    </row>
    <row r="57" spans="1:20" x14ac:dyDescent="0.25">
      <c r="A57" s="8">
        <v>488</v>
      </c>
      <c r="B57" s="8" t="s">
        <v>19</v>
      </c>
      <c r="C57" s="8">
        <v>1</v>
      </c>
      <c r="D57" s="8" t="s">
        <v>107</v>
      </c>
      <c r="E57" s="8" t="s">
        <v>108</v>
      </c>
      <c r="F57" s="18" t="s">
        <v>165</v>
      </c>
      <c r="G57" s="18" t="s">
        <v>166</v>
      </c>
      <c r="H57" s="19">
        <v>170</v>
      </c>
      <c r="I57" s="19">
        <v>1821</v>
      </c>
      <c r="J57" s="20" t="s">
        <v>91</v>
      </c>
      <c r="K57" s="20" t="s">
        <v>25</v>
      </c>
      <c r="L57" s="20" t="s">
        <v>26</v>
      </c>
      <c r="M57" s="20" t="s">
        <v>26</v>
      </c>
      <c r="N57" s="21">
        <v>42.095786927326003</v>
      </c>
      <c r="O57" s="10">
        <v>-80.084010825986297</v>
      </c>
      <c r="P57" s="22">
        <v>9347</v>
      </c>
      <c r="Q57" s="23">
        <v>44257</v>
      </c>
      <c r="R57" s="22" t="s">
        <v>27</v>
      </c>
      <c r="S57" s="22" t="s">
        <v>34</v>
      </c>
      <c r="T57" s="24">
        <f t="shared" si="0"/>
        <v>10122.800999999999</v>
      </c>
    </row>
    <row r="58" spans="1:20" x14ac:dyDescent="0.25">
      <c r="A58" s="8">
        <v>489</v>
      </c>
      <c r="B58" s="8" t="s">
        <v>19</v>
      </c>
      <c r="C58" s="8">
        <v>1</v>
      </c>
      <c r="D58" s="8" t="s">
        <v>107</v>
      </c>
      <c r="E58" s="8" t="s">
        <v>127</v>
      </c>
      <c r="F58" s="18" t="s">
        <v>167</v>
      </c>
      <c r="G58" s="18" t="s">
        <v>168</v>
      </c>
      <c r="H58" s="18">
        <v>30</v>
      </c>
      <c r="I58" s="18">
        <v>2353</v>
      </c>
      <c r="J58" s="20" t="s">
        <v>169</v>
      </c>
      <c r="K58" s="20" t="s">
        <v>25</v>
      </c>
      <c r="L58" s="27" t="s">
        <v>26</v>
      </c>
      <c r="M58" s="27" t="s">
        <v>26</v>
      </c>
      <c r="N58" s="21">
        <v>42.054806218379703</v>
      </c>
      <c r="O58" s="10">
        <v>-80.045623561579802</v>
      </c>
      <c r="P58" s="22">
        <v>882</v>
      </c>
      <c r="Q58" s="23">
        <v>44230</v>
      </c>
      <c r="R58" s="22" t="s">
        <v>27</v>
      </c>
      <c r="S58" s="22" t="s">
        <v>34</v>
      </c>
      <c r="T58" s="24">
        <f t="shared" si="0"/>
        <v>955.20600000000002</v>
      </c>
    </row>
    <row r="59" spans="1:20" x14ac:dyDescent="0.25">
      <c r="A59" s="8">
        <v>731</v>
      </c>
      <c r="B59" s="8" t="s">
        <v>19</v>
      </c>
      <c r="C59" s="8">
        <v>1</v>
      </c>
      <c r="D59" s="8" t="s">
        <v>170</v>
      </c>
      <c r="E59" s="8" t="s">
        <v>171</v>
      </c>
      <c r="F59" s="18" t="s">
        <v>172</v>
      </c>
      <c r="G59" s="18" t="s">
        <v>173</v>
      </c>
      <c r="H59" s="18">
        <v>30</v>
      </c>
      <c r="I59" s="18">
        <v>0</v>
      </c>
      <c r="J59" s="20" t="s">
        <v>174</v>
      </c>
      <c r="K59" s="20" t="s">
        <v>25</v>
      </c>
      <c r="L59" s="27" t="s">
        <v>26</v>
      </c>
      <c r="M59" s="27" t="s">
        <v>26</v>
      </c>
      <c r="N59" s="21">
        <v>41.357153856996298</v>
      </c>
      <c r="O59" s="10">
        <v>-80.393179898921701</v>
      </c>
      <c r="P59" s="22">
        <v>1010</v>
      </c>
      <c r="Q59" s="23">
        <v>44257</v>
      </c>
      <c r="R59" s="22" t="s">
        <v>27</v>
      </c>
      <c r="S59" s="22" t="s">
        <v>34</v>
      </c>
      <c r="T59" s="24">
        <f t="shared" si="0"/>
        <v>1093.83</v>
      </c>
    </row>
    <row r="60" spans="1:20" x14ac:dyDescent="0.25">
      <c r="A60" s="8">
        <v>987</v>
      </c>
      <c r="B60" s="8" t="s">
        <v>19</v>
      </c>
      <c r="C60" s="8">
        <v>1</v>
      </c>
      <c r="D60" s="8" t="s">
        <v>175</v>
      </c>
      <c r="E60" s="8" t="s">
        <v>176</v>
      </c>
      <c r="F60" s="18" t="s">
        <v>177</v>
      </c>
      <c r="G60" s="18" t="s">
        <v>43</v>
      </c>
      <c r="H60" s="18">
        <v>70</v>
      </c>
      <c r="I60" s="18">
        <v>873</v>
      </c>
      <c r="J60" s="20" t="s">
        <v>178</v>
      </c>
      <c r="K60" s="20" t="s">
        <v>25</v>
      </c>
      <c r="L60" s="27" t="s">
        <v>26</v>
      </c>
      <c r="M60" s="27" t="s">
        <v>26</v>
      </c>
      <c r="N60" s="21">
        <v>41.203674095963002</v>
      </c>
      <c r="O60" s="10">
        <v>-79.974442435426297</v>
      </c>
      <c r="P60" s="22">
        <v>358</v>
      </c>
      <c r="Q60" s="23">
        <v>44256</v>
      </c>
      <c r="R60" s="22" t="s">
        <v>27</v>
      </c>
      <c r="S60" s="22" t="s">
        <v>38</v>
      </c>
      <c r="T60" s="24">
        <f t="shared" si="0"/>
        <v>387.714</v>
      </c>
    </row>
    <row r="61" spans="1:20" x14ac:dyDescent="0.25">
      <c r="A61" s="8">
        <v>988</v>
      </c>
      <c r="B61" s="8" t="s">
        <v>19</v>
      </c>
      <c r="C61" s="8">
        <v>1</v>
      </c>
      <c r="D61" s="8" t="s">
        <v>175</v>
      </c>
      <c r="E61" s="8" t="s">
        <v>179</v>
      </c>
      <c r="F61" s="18" t="s">
        <v>180</v>
      </c>
      <c r="G61" s="18" t="s">
        <v>43</v>
      </c>
      <c r="H61" s="19">
        <v>390</v>
      </c>
      <c r="I61" s="19">
        <v>1973</v>
      </c>
      <c r="J61" s="20" t="s">
        <v>181</v>
      </c>
      <c r="K61" s="20" t="s">
        <v>57</v>
      </c>
      <c r="L61" s="27" t="s">
        <v>26</v>
      </c>
      <c r="M61" s="27" t="s">
        <v>26</v>
      </c>
      <c r="N61" s="21">
        <v>41.379195798614397</v>
      </c>
      <c r="O61" s="10">
        <v>-79.851287965260696</v>
      </c>
      <c r="P61" s="22">
        <v>799</v>
      </c>
      <c r="Q61" s="23">
        <v>44256</v>
      </c>
      <c r="R61" s="22" t="s">
        <v>27</v>
      </c>
      <c r="S61" s="22" t="s">
        <v>38</v>
      </c>
      <c r="T61" s="24">
        <f t="shared" si="0"/>
        <v>865.31700000000001</v>
      </c>
    </row>
    <row r="62" spans="1:20" x14ac:dyDescent="0.25">
      <c r="A62" s="8">
        <v>989</v>
      </c>
      <c r="B62" s="8" t="s">
        <v>19</v>
      </c>
      <c r="C62" s="8">
        <v>1</v>
      </c>
      <c r="D62" s="8" t="s">
        <v>175</v>
      </c>
      <c r="E62" s="8" t="s">
        <v>182</v>
      </c>
      <c r="F62" s="18" t="s">
        <v>77</v>
      </c>
      <c r="G62" s="18" t="s">
        <v>183</v>
      </c>
      <c r="H62" s="18">
        <v>120</v>
      </c>
      <c r="I62" s="18">
        <v>0</v>
      </c>
      <c r="J62" s="20" t="s">
        <v>184</v>
      </c>
      <c r="K62" s="20" t="s">
        <v>25</v>
      </c>
      <c r="L62" s="27" t="s">
        <v>26</v>
      </c>
      <c r="M62" s="27" t="s">
        <v>26</v>
      </c>
      <c r="N62" s="21">
        <v>41.3681863550527</v>
      </c>
      <c r="O62" s="10">
        <v>-79.927211078633704</v>
      </c>
      <c r="P62" s="22">
        <v>989</v>
      </c>
      <c r="Q62" s="23">
        <v>44256</v>
      </c>
      <c r="R62" s="22" t="s">
        <v>27</v>
      </c>
      <c r="S62" s="22" t="s">
        <v>34</v>
      </c>
      <c r="T62" s="24">
        <f t="shared" si="0"/>
        <v>1071.087</v>
      </c>
    </row>
    <row r="63" spans="1:20" x14ac:dyDescent="0.25">
      <c r="A63" s="8">
        <v>990</v>
      </c>
      <c r="B63" s="8" t="s">
        <v>19</v>
      </c>
      <c r="C63" s="8">
        <v>1</v>
      </c>
      <c r="D63" s="8" t="s">
        <v>175</v>
      </c>
      <c r="E63" s="8" t="s">
        <v>179</v>
      </c>
      <c r="F63" s="18" t="s">
        <v>91</v>
      </c>
      <c r="G63" s="18" t="s">
        <v>183</v>
      </c>
      <c r="H63" s="19">
        <v>281</v>
      </c>
      <c r="I63" s="19">
        <v>991</v>
      </c>
      <c r="J63" s="20" t="s">
        <v>185</v>
      </c>
      <c r="K63" s="20" t="s">
        <v>25</v>
      </c>
      <c r="L63" s="27" t="s">
        <v>26</v>
      </c>
      <c r="M63" s="27" t="s">
        <v>26</v>
      </c>
      <c r="N63" s="21">
        <v>41.397511110128498</v>
      </c>
      <c r="O63" s="10">
        <v>-79.828083167212696</v>
      </c>
      <c r="P63" s="22">
        <v>1956</v>
      </c>
      <c r="Q63" s="23">
        <v>44256</v>
      </c>
      <c r="R63" s="22" t="s">
        <v>27</v>
      </c>
      <c r="S63" s="22" t="s">
        <v>28</v>
      </c>
      <c r="T63" s="24">
        <f t="shared" si="0"/>
        <v>2118.348</v>
      </c>
    </row>
    <row r="64" spans="1:20" x14ac:dyDescent="0.25">
      <c r="A64" s="8">
        <v>991</v>
      </c>
      <c r="B64" s="8" t="s">
        <v>19</v>
      </c>
      <c r="C64" s="8">
        <v>1</v>
      </c>
      <c r="D64" s="8" t="s">
        <v>175</v>
      </c>
      <c r="E64" s="8" t="s">
        <v>186</v>
      </c>
      <c r="F64" s="18" t="s">
        <v>187</v>
      </c>
      <c r="G64" s="18" t="s">
        <v>183</v>
      </c>
      <c r="H64" s="19">
        <v>340</v>
      </c>
      <c r="I64" s="19">
        <v>1505</v>
      </c>
      <c r="J64" s="20" t="s">
        <v>178</v>
      </c>
      <c r="K64" s="20" t="s">
        <v>188</v>
      </c>
      <c r="L64" s="27" t="s">
        <v>26</v>
      </c>
      <c r="M64" s="27" t="s">
        <v>26</v>
      </c>
      <c r="N64" s="21">
        <v>41.406416143664998</v>
      </c>
      <c r="O64" s="10">
        <v>-79.798382520249206</v>
      </c>
      <c r="P64" s="22">
        <v>426</v>
      </c>
      <c r="Q64" s="23">
        <v>44257</v>
      </c>
      <c r="R64" s="22" t="s">
        <v>33</v>
      </c>
      <c r="S64" s="22" t="s">
        <v>28</v>
      </c>
      <c r="T64" s="24">
        <f t="shared" si="0"/>
        <v>461.358</v>
      </c>
    </row>
    <row r="65" spans="1:20" x14ac:dyDescent="0.25">
      <c r="A65" s="8">
        <v>992</v>
      </c>
      <c r="B65" s="8" t="s">
        <v>19</v>
      </c>
      <c r="C65" s="8">
        <v>1</v>
      </c>
      <c r="D65" s="8" t="s">
        <v>175</v>
      </c>
      <c r="E65" s="8" t="s">
        <v>189</v>
      </c>
      <c r="F65" s="18" t="s">
        <v>190</v>
      </c>
      <c r="G65" s="18" t="s">
        <v>191</v>
      </c>
      <c r="H65" s="18">
        <v>20</v>
      </c>
      <c r="I65" s="18">
        <v>1500</v>
      </c>
      <c r="J65" s="20" t="s">
        <v>192</v>
      </c>
      <c r="K65" s="20" t="s">
        <v>25</v>
      </c>
      <c r="L65" s="27" t="s">
        <v>26</v>
      </c>
      <c r="M65" s="27" t="s">
        <v>26</v>
      </c>
      <c r="N65" s="21">
        <v>41.360233592879702</v>
      </c>
      <c r="O65" s="10">
        <v>-79.707837997176298</v>
      </c>
      <c r="P65" s="22">
        <v>3018</v>
      </c>
      <c r="Q65" s="23">
        <v>44256</v>
      </c>
      <c r="R65" s="22" t="s">
        <v>27</v>
      </c>
      <c r="S65" s="22" t="s">
        <v>38</v>
      </c>
      <c r="T65" s="24">
        <f t="shared" si="0"/>
        <v>3268.4939999999997</v>
      </c>
    </row>
    <row r="66" spans="1:20" x14ac:dyDescent="0.25">
      <c r="A66" s="8">
        <v>993</v>
      </c>
      <c r="B66" s="8" t="s">
        <v>19</v>
      </c>
      <c r="C66" s="8">
        <v>1</v>
      </c>
      <c r="D66" s="8" t="s">
        <v>175</v>
      </c>
      <c r="E66" s="8" t="s">
        <v>189</v>
      </c>
      <c r="F66" s="18" t="s">
        <v>190</v>
      </c>
      <c r="G66" s="18" t="s">
        <v>191</v>
      </c>
      <c r="H66" s="18">
        <v>30</v>
      </c>
      <c r="I66" s="18">
        <v>1581</v>
      </c>
      <c r="J66" s="20" t="s">
        <v>193</v>
      </c>
      <c r="K66" s="20" t="s">
        <v>25</v>
      </c>
      <c r="L66" s="27" t="s">
        <v>26</v>
      </c>
      <c r="M66" s="27" t="s">
        <v>26</v>
      </c>
      <c r="N66" s="21">
        <v>41.368231849140898</v>
      </c>
      <c r="O66" s="10">
        <v>-79.7051936032519</v>
      </c>
      <c r="P66" s="22">
        <v>1413</v>
      </c>
      <c r="Q66" s="23">
        <v>44256</v>
      </c>
      <c r="R66" s="22" t="s">
        <v>27</v>
      </c>
      <c r="S66" s="22" t="s">
        <v>62</v>
      </c>
      <c r="T66" s="24">
        <f t="shared" si="0"/>
        <v>1530.279</v>
      </c>
    </row>
    <row r="67" spans="1:20" x14ac:dyDescent="0.25">
      <c r="A67" s="8">
        <v>994</v>
      </c>
      <c r="B67" s="8" t="s">
        <v>19</v>
      </c>
      <c r="C67" s="8">
        <v>1</v>
      </c>
      <c r="D67" s="8" t="s">
        <v>175</v>
      </c>
      <c r="E67" s="8" t="s">
        <v>189</v>
      </c>
      <c r="F67" s="18" t="s">
        <v>190</v>
      </c>
      <c r="G67" s="18" t="s">
        <v>191</v>
      </c>
      <c r="H67" s="19">
        <v>40</v>
      </c>
      <c r="I67" s="19">
        <v>1732</v>
      </c>
      <c r="J67" s="20" t="s">
        <v>194</v>
      </c>
      <c r="K67" s="20" t="s">
        <v>57</v>
      </c>
      <c r="L67" s="27" t="s">
        <v>26</v>
      </c>
      <c r="M67" s="27" t="s">
        <v>26</v>
      </c>
      <c r="N67" s="21">
        <v>41.378448267561403</v>
      </c>
      <c r="O67" s="10">
        <v>-79.703844414385202</v>
      </c>
      <c r="P67" s="22">
        <v>2101</v>
      </c>
      <c r="Q67" s="23">
        <v>44256</v>
      </c>
      <c r="R67" s="22" t="s">
        <v>27</v>
      </c>
      <c r="S67" s="22" t="s">
        <v>38</v>
      </c>
      <c r="T67" s="24">
        <f t="shared" ref="T67:T89" si="1">P67*$X$3</f>
        <v>2275.3829999999998</v>
      </c>
    </row>
    <row r="68" spans="1:20" x14ac:dyDescent="0.25">
      <c r="A68" s="8">
        <v>995</v>
      </c>
      <c r="B68" s="8" t="s">
        <v>19</v>
      </c>
      <c r="C68" s="8">
        <v>1</v>
      </c>
      <c r="D68" s="8" t="s">
        <v>175</v>
      </c>
      <c r="E68" s="8" t="s">
        <v>189</v>
      </c>
      <c r="F68" s="18" t="s">
        <v>74</v>
      </c>
      <c r="G68" s="18" t="s">
        <v>75</v>
      </c>
      <c r="H68" s="18">
        <v>380</v>
      </c>
      <c r="I68" s="18">
        <v>0</v>
      </c>
      <c r="J68" s="20" t="s">
        <v>195</v>
      </c>
      <c r="K68" s="20" t="s">
        <v>25</v>
      </c>
      <c r="L68" s="27" t="s">
        <v>26</v>
      </c>
      <c r="M68" s="27" t="s">
        <v>26</v>
      </c>
      <c r="N68" s="21">
        <v>41.366199621588002</v>
      </c>
      <c r="O68" s="10">
        <v>-79.773750831211999</v>
      </c>
      <c r="P68" s="22">
        <v>89</v>
      </c>
      <c r="Q68" s="23">
        <v>44256</v>
      </c>
      <c r="R68" s="22" t="s">
        <v>27</v>
      </c>
      <c r="S68" s="22" t="s">
        <v>28</v>
      </c>
      <c r="T68" s="24">
        <f t="shared" si="1"/>
        <v>96.387</v>
      </c>
    </row>
    <row r="69" spans="1:20" x14ac:dyDescent="0.25">
      <c r="A69" s="8">
        <v>996</v>
      </c>
      <c r="B69" s="8" t="s">
        <v>19</v>
      </c>
      <c r="C69" s="8">
        <v>1</v>
      </c>
      <c r="D69" s="8" t="s">
        <v>175</v>
      </c>
      <c r="E69" s="8" t="s">
        <v>189</v>
      </c>
      <c r="F69" s="18" t="s">
        <v>74</v>
      </c>
      <c r="G69" s="18" t="s">
        <v>75</v>
      </c>
      <c r="H69" s="18">
        <v>430</v>
      </c>
      <c r="I69" s="18">
        <v>2450</v>
      </c>
      <c r="J69" s="20" t="s">
        <v>196</v>
      </c>
      <c r="K69" s="20" t="s">
        <v>188</v>
      </c>
      <c r="L69" s="27" t="s">
        <v>26</v>
      </c>
      <c r="M69" s="27" t="s">
        <v>26</v>
      </c>
      <c r="N69" s="21">
        <v>41.352328804352098</v>
      </c>
      <c r="O69" s="10">
        <v>-79.721293334079405</v>
      </c>
      <c r="P69" s="22">
        <v>2754</v>
      </c>
      <c r="Q69" s="23">
        <v>44257</v>
      </c>
      <c r="R69" s="22" t="s">
        <v>27</v>
      </c>
      <c r="S69" s="22" t="s">
        <v>28</v>
      </c>
      <c r="T69" s="24">
        <f t="shared" si="1"/>
        <v>2982.5819999999999</v>
      </c>
    </row>
    <row r="70" spans="1:20" x14ac:dyDescent="0.25">
      <c r="A70" s="8">
        <v>997</v>
      </c>
      <c r="B70" s="8" t="s">
        <v>19</v>
      </c>
      <c r="C70" s="8">
        <v>1</v>
      </c>
      <c r="D70" s="8" t="s">
        <v>175</v>
      </c>
      <c r="E70" s="8" t="s">
        <v>189</v>
      </c>
      <c r="F70" s="18" t="s">
        <v>74</v>
      </c>
      <c r="G70" s="18" t="s">
        <v>75</v>
      </c>
      <c r="H70" s="18">
        <v>440</v>
      </c>
      <c r="I70" s="18">
        <v>550</v>
      </c>
      <c r="J70" s="20" t="s">
        <v>197</v>
      </c>
      <c r="K70" s="20" t="s">
        <v>57</v>
      </c>
      <c r="L70" s="27" t="s">
        <v>26</v>
      </c>
      <c r="M70" s="27" t="s">
        <v>26</v>
      </c>
      <c r="N70" s="21">
        <v>41.351639209686098</v>
      </c>
      <c r="O70" s="10">
        <v>-79.7186310012859</v>
      </c>
      <c r="P70" s="22">
        <v>4073</v>
      </c>
      <c r="Q70" s="23">
        <v>44256</v>
      </c>
      <c r="R70" s="22" t="s">
        <v>27</v>
      </c>
      <c r="S70" s="22" t="s">
        <v>28</v>
      </c>
      <c r="T70" s="24">
        <f t="shared" si="1"/>
        <v>4411.0590000000002</v>
      </c>
    </row>
    <row r="71" spans="1:20" x14ac:dyDescent="0.25">
      <c r="A71" s="8">
        <v>998</v>
      </c>
      <c r="B71" s="8" t="s">
        <v>19</v>
      </c>
      <c r="C71" s="8">
        <v>1</v>
      </c>
      <c r="D71" s="8" t="s">
        <v>175</v>
      </c>
      <c r="E71" s="8" t="s">
        <v>189</v>
      </c>
      <c r="F71" s="18" t="s">
        <v>74</v>
      </c>
      <c r="G71" s="18" t="s">
        <v>75</v>
      </c>
      <c r="H71" s="18">
        <v>440</v>
      </c>
      <c r="I71" s="18">
        <v>1478</v>
      </c>
      <c r="J71" s="20" t="s">
        <v>198</v>
      </c>
      <c r="K71" s="20" t="s">
        <v>57</v>
      </c>
      <c r="L71" s="27" t="s">
        <v>26</v>
      </c>
      <c r="M71" s="27" t="s">
        <v>26</v>
      </c>
      <c r="N71" s="21">
        <v>41.350794121398899</v>
      </c>
      <c r="O71" s="10">
        <v>-79.715448844355805</v>
      </c>
      <c r="P71" s="22">
        <v>5682</v>
      </c>
      <c r="Q71" s="23">
        <v>44257</v>
      </c>
      <c r="R71" s="22" t="s">
        <v>33</v>
      </c>
      <c r="S71" s="22" t="s">
        <v>28</v>
      </c>
      <c r="T71" s="24">
        <f t="shared" si="1"/>
        <v>6153.6059999999998</v>
      </c>
    </row>
    <row r="72" spans="1:20" x14ac:dyDescent="0.25">
      <c r="A72" s="8">
        <v>999</v>
      </c>
      <c r="B72" s="8" t="s">
        <v>19</v>
      </c>
      <c r="C72" s="8">
        <v>1</v>
      </c>
      <c r="D72" s="8" t="s">
        <v>175</v>
      </c>
      <c r="E72" s="8" t="s">
        <v>186</v>
      </c>
      <c r="F72" s="18" t="s">
        <v>199</v>
      </c>
      <c r="G72" s="18" t="s">
        <v>200</v>
      </c>
      <c r="H72" s="19">
        <v>20</v>
      </c>
      <c r="I72" s="19">
        <v>516</v>
      </c>
      <c r="J72" s="20" t="s">
        <v>201</v>
      </c>
      <c r="K72" s="20" t="s">
        <v>25</v>
      </c>
      <c r="L72" s="27" t="s">
        <v>26</v>
      </c>
      <c r="M72" s="27" t="s">
        <v>26</v>
      </c>
      <c r="N72" s="21">
        <v>41.4113085072077</v>
      </c>
      <c r="O72" s="10">
        <v>-79.825035719891602</v>
      </c>
      <c r="P72" s="22">
        <v>333</v>
      </c>
      <c r="Q72" s="23">
        <v>44256</v>
      </c>
      <c r="R72" s="22" t="s">
        <v>27</v>
      </c>
      <c r="S72" s="22" t="s">
        <v>28</v>
      </c>
      <c r="T72" s="24">
        <f t="shared" si="1"/>
        <v>360.63900000000001</v>
      </c>
    </row>
    <row r="73" spans="1:20" x14ac:dyDescent="0.25">
      <c r="A73" s="8">
        <v>1000</v>
      </c>
      <c r="B73" s="8" t="s">
        <v>19</v>
      </c>
      <c r="C73" s="8">
        <v>1</v>
      </c>
      <c r="D73" s="8" t="s">
        <v>175</v>
      </c>
      <c r="E73" s="8" t="s">
        <v>186</v>
      </c>
      <c r="F73" s="18" t="s">
        <v>199</v>
      </c>
      <c r="G73" s="18" t="s">
        <v>200</v>
      </c>
      <c r="H73" s="19">
        <v>60</v>
      </c>
      <c r="I73" s="19">
        <v>0</v>
      </c>
      <c r="J73" s="20" t="s">
        <v>202</v>
      </c>
      <c r="K73" s="20" t="s">
        <v>25</v>
      </c>
      <c r="L73" s="27" t="s">
        <v>26</v>
      </c>
      <c r="M73" s="27" t="s">
        <v>26</v>
      </c>
      <c r="N73" s="21">
        <v>41.428403149139598</v>
      </c>
      <c r="O73" s="10">
        <v>-79.813755417724806</v>
      </c>
      <c r="P73" s="22">
        <v>469</v>
      </c>
      <c r="Q73" s="23">
        <v>44256</v>
      </c>
      <c r="R73" s="22" t="s">
        <v>27</v>
      </c>
      <c r="S73" s="22" t="s">
        <v>38</v>
      </c>
      <c r="T73" s="24">
        <f t="shared" si="1"/>
        <v>507.92699999999996</v>
      </c>
    </row>
    <row r="74" spans="1:20" x14ac:dyDescent="0.25">
      <c r="A74" s="8">
        <v>1001</v>
      </c>
      <c r="B74" s="8" t="s">
        <v>19</v>
      </c>
      <c r="C74" s="8">
        <v>1</v>
      </c>
      <c r="D74" s="8" t="s">
        <v>175</v>
      </c>
      <c r="E74" s="8" t="s">
        <v>186</v>
      </c>
      <c r="F74" s="18" t="s">
        <v>203</v>
      </c>
      <c r="G74" s="18" t="s">
        <v>204</v>
      </c>
      <c r="H74" s="19">
        <v>60</v>
      </c>
      <c r="I74" s="19">
        <v>0</v>
      </c>
      <c r="J74" s="20" t="s">
        <v>205</v>
      </c>
      <c r="K74" s="20" t="s">
        <v>25</v>
      </c>
      <c r="L74" s="27" t="s">
        <v>26</v>
      </c>
      <c r="M74" s="27" t="s">
        <v>26</v>
      </c>
      <c r="N74" s="21">
        <v>41.457568654889101</v>
      </c>
      <c r="O74" s="10">
        <v>-79.737271177280206</v>
      </c>
      <c r="P74" s="22">
        <v>405</v>
      </c>
      <c r="Q74" s="23">
        <v>44256</v>
      </c>
      <c r="R74" s="22" t="s">
        <v>27</v>
      </c>
      <c r="S74" s="22" t="s">
        <v>28</v>
      </c>
      <c r="T74" s="24">
        <f t="shared" si="1"/>
        <v>438.61500000000001</v>
      </c>
    </row>
    <row r="75" spans="1:20" x14ac:dyDescent="0.25">
      <c r="A75" s="8">
        <v>1002</v>
      </c>
      <c r="B75" s="8" t="s">
        <v>19</v>
      </c>
      <c r="C75" s="8">
        <v>1</v>
      </c>
      <c r="D75" s="8" t="s">
        <v>175</v>
      </c>
      <c r="E75" s="8" t="s">
        <v>206</v>
      </c>
      <c r="F75" s="18" t="s">
        <v>207</v>
      </c>
      <c r="G75" s="18" t="s">
        <v>84</v>
      </c>
      <c r="H75" s="19">
        <v>10</v>
      </c>
      <c r="I75" s="19">
        <v>1878</v>
      </c>
      <c r="J75" s="20" t="s">
        <v>208</v>
      </c>
      <c r="K75" s="20" t="s">
        <v>25</v>
      </c>
      <c r="L75" s="27" t="s">
        <v>26</v>
      </c>
      <c r="M75" s="27" t="s">
        <v>26</v>
      </c>
      <c r="N75" s="21">
        <v>41.438272641712302</v>
      </c>
      <c r="O75" s="10">
        <v>-79.704642383914305</v>
      </c>
      <c r="P75" s="22">
        <v>41</v>
      </c>
      <c r="Q75" s="23">
        <v>44256</v>
      </c>
      <c r="R75" s="22" t="s">
        <v>27</v>
      </c>
      <c r="S75" s="22" t="s">
        <v>34</v>
      </c>
      <c r="T75" s="24">
        <f t="shared" si="1"/>
        <v>44.402999999999999</v>
      </c>
    </row>
    <row r="76" spans="1:20" x14ac:dyDescent="0.25">
      <c r="A76" s="8">
        <v>1003</v>
      </c>
      <c r="B76" s="8" t="s">
        <v>19</v>
      </c>
      <c r="C76" s="8">
        <v>1</v>
      </c>
      <c r="D76" s="8" t="s">
        <v>175</v>
      </c>
      <c r="E76" s="8" t="s">
        <v>206</v>
      </c>
      <c r="F76" s="18" t="s">
        <v>207</v>
      </c>
      <c r="G76" s="18" t="s">
        <v>84</v>
      </c>
      <c r="H76" s="19">
        <v>10</v>
      </c>
      <c r="I76" s="19">
        <v>2222</v>
      </c>
      <c r="J76" s="20" t="s">
        <v>209</v>
      </c>
      <c r="K76" s="20" t="s">
        <v>25</v>
      </c>
      <c r="L76" s="27" t="s">
        <v>26</v>
      </c>
      <c r="M76" s="27" t="s">
        <v>26</v>
      </c>
      <c r="N76" s="21">
        <v>41.437930330406502</v>
      </c>
      <c r="O76" s="10">
        <v>-79.703635799694297</v>
      </c>
      <c r="P76" s="22">
        <v>215</v>
      </c>
      <c r="Q76" s="23">
        <v>44256</v>
      </c>
      <c r="R76" s="22" t="s">
        <v>27</v>
      </c>
      <c r="S76" s="22" t="s">
        <v>28</v>
      </c>
      <c r="T76" s="24">
        <f t="shared" si="1"/>
        <v>232.845</v>
      </c>
    </row>
    <row r="77" spans="1:20" x14ac:dyDescent="0.25">
      <c r="A77" s="8">
        <v>1004</v>
      </c>
      <c r="B77" s="8" t="s">
        <v>19</v>
      </c>
      <c r="C77" s="8">
        <v>1</v>
      </c>
      <c r="D77" s="8" t="s">
        <v>175</v>
      </c>
      <c r="E77" s="8" t="s">
        <v>206</v>
      </c>
      <c r="F77" s="18" t="s">
        <v>207</v>
      </c>
      <c r="G77" s="18" t="s">
        <v>84</v>
      </c>
      <c r="H77" s="19">
        <v>20</v>
      </c>
      <c r="I77" s="19">
        <v>1109</v>
      </c>
      <c r="J77" s="20" t="s">
        <v>210</v>
      </c>
      <c r="K77" s="20" t="s">
        <v>25</v>
      </c>
      <c r="L77" s="27" t="s">
        <v>26</v>
      </c>
      <c r="M77" s="27" t="s">
        <v>26</v>
      </c>
      <c r="N77" s="21">
        <v>41.436207086889702</v>
      </c>
      <c r="O77" s="10">
        <v>-79.698633987554103</v>
      </c>
      <c r="P77" s="22">
        <v>408</v>
      </c>
      <c r="Q77" s="23">
        <v>44256</v>
      </c>
      <c r="R77" s="22" t="s">
        <v>27</v>
      </c>
      <c r="S77" s="22" t="s">
        <v>28</v>
      </c>
      <c r="T77" s="24">
        <f t="shared" si="1"/>
        <v>441.86399999999998</v>
      </c>
    </row>
    <row r="78" spans="1:20" x14ac:dyDescent="0.25">
      <c r="A78" s="8">
        <v>1005</v>
      </c>
      <c r="B78" s="8" t="s">
        <v>19</v>
      </c>
      <c r="C78" s="8">
        <v>1</v>
      </c>
      <c r="D78" s="8" t="s">
        <v>175</v>
      </c>
      <c r="E78" s="8" t="s">
        <v>189</v>
      </c>
      <c r="F78" s="18" t="s">
        <v>211</v>
      </c>
      <c r="G78" s="18" t="s">
        <v>212</v>
      </c>
      <c r="H78" s="18">
        <v>70</v>
      </c>
      <c r="I78" s="18">
        <v>2063</v>
      </c>
      <c r="J78" s="20" t="s">
        <v>213</v>
      </c>
      <c r="K78" s="20" t="s">
        <v>25</v>
      </c>
      <c r="L78" s="27" t="s">
        <v>26</v>
      </c>
      <c r="M78" s="27" t="s">
        <v>26</v>
      </c>
      <c r="N78" s="21">
        <v>41.392899405960698</v>
      </c>
      <c r="O78" s="10">
        <v>-79.757601965536296</v>
      </c>
      <c r="P78" s="22">
        <v>91</v>
      </c>
      <c r="Q78" s="23">
        <v>44256</v>
      </c>
      <c r="R78" s="22" t="s">
        <v>27</v>
      </c>
      <c r="S78" s="22" t="s">
        <v>34</v>
      </c>
      <c r="T78" s="24">
        <f t="shared" si="1"/>
        <v>98.552999999999997</v>
      </c>
    </row>
    <row r="79" spans="1:20" x14ac:dyDescent="0.25">
      <c r="A79" s="8">
        <v>1006</v>
      </c>
      <c r="B79" s="8" t="s">
        <v>19</v>
      </c>
      <c r="C79" s="8">
        <v>1</v>
      </c>
      <c r="D79" s="8" t="s">
        <v>175</v>
      </c>
      <c r="E79" s="8" t="s">
        <v>206</v>
      </c>
      <c r="F79" s="18" t="s">
        <v>214</v>
      </c>
      <c r="G79" s="18" t="s">
        <v>215</v>
      </c>
      <c r="H79" s="19">
        <v>40</v>
      </c>
      <c r="I79" s="19">
        <v>742</v>
      </c>
      <c r="J79" s="20" t="s">
        <v>216</v>
      </c>
      <c r="K79" s="20" t="s">
        <v>25</v>
      </c>
      <c r="L79" s="27" t="s">
        <v>26</v>
      </c>
      <c r="M79" s="27" t="s">
        <v>26</v>
      </c>
      <c r="N79" s="21">
        <v>41.422673860524498</v>
      </c>
      <c r="O79" s="10">
        <v>-79.715488575121398</v>
      </c>
      <c r="P79" s="22">
        <v>166</v>
      </c>
      <c r="Q79" s="23">
        <v>44256</v>
      </c>
      <c r="R79" s="22" t="s">
        <v>27</v>
      </c>
      <c r="S79" s="22" t="s">
        <v>38</v>
      </c>
      <c r="T79" s="24">
        <f t="shared" si="1"/>
        <v>179.77799999999999</v>
      </c>
    </row>
    <row r="80" spans="1:20" x14ac:dyDescent="0.25">
      <c r="A80" s="8">
        <v>1007</v>
      </c>
      <c r="B80" s="8" t="s">
        <v>19</v>
      </c>
      <c r="C80" s="8">
        <v>1</v>
      </c>
      <c r="D80" s="8" t="s">
        <v>217</v>
      </c>
      <c r="E80" s="8" t="s">
        <v>218</v>
      </c>
      <c r="F80" s="18" t="s">
        <v>30</v>
      </c>
      <c r="G80" s="18" t="s">
        <v>23</v>
      </c>
      <c r="H80" s="18">
        <v>250</v>
      </c>
      <c r="I80" s="18">
        <v>2879</v>
      </c>
      <c r="J80" s="20" t="s">
        <v>219</v>
      </c>
      <c r="K80" s="20" t="s">
        <v>25</v>
      </c>
      <c r="L80" s="27" t="s">
        <v>26</v>
      </c>
      <c r="M80" s="27" t="s">
        <v>26</v>
      </c>
      <c r="N80" s="21">
        <v>41.878546743638204</v>
      </c>
      <c r="O80" s="10">
        <v>-79.412377538933995</v>
      </c>
      <c r="P80" s="22">
        <v>162</v>
      </c>
      <c r="Q80" s="23">
        <v>44258</v>
      </c>
      <c r="R80" s="22" t="s">
        <v>27</v>
      </c>
      <c r="S80" s="22" t="s">
        <v>62</v>
      </c>
      <c r="T80" s="24">
        <f t="shared" si="1"/>
        <v>175.446</v>
      </c>
    </row>
    <row r="81" spans="1:20" x14ac:dyDescent="0.25">
      <c r="A81" s="8">
        <v>1008</v>
      </c>
      <c r="B81" s="8" t="s">
        <v>19</v>
      </c>
      <c r="C81" s="8">
        <v>1</v>
      </c>
      <c r="D81" s="8" t="s">
        <v>217</v>
      </c>
      <c r="E81" s="8" t="s">
        <v>220</v>
      </c>
      <c r="F81" s="18" t="s">
        <v>30</v>
      </c>
      <c r="G81" s="18" t="s">
        <v>23</v>
      </c>
      <c r="H81" s="18">
        <v>360</v>
      </c>
      <c r="I81" s="18">
        <v>0</v>
      </c>
      <c r="J81" s="20" t="s">
        <v>221</v>
      </c>
      <c r="K81" s="20" t="s">
        <v>25</v>
      </c>
      <c r="L81" s="27" t="s">
        <v>26</v>
      </c>
      <c r="M81" s="27" t="s">
        <v>26</v>
      </c>
      <c r="N81" s="21">
        <v>41.838823448365403</v>
      </c>
      <c r="O81" s="10">
        <v>-79.360893216858102</v>
      </c>
      <c r="P81" s="22">
        <v>533</v>
      </c>
      <c r="Q81" s="23">
        <v>44258</v>
      </c>
      <c r="R81" s="22" t="s">
        <v>27</v>
      </c>
      <c r="S81" s="22" t="s">
        <v>34</v>
      </c>
      <c r="T81" s="24">
        <f t="shared" si="1"/>
        <v>577.23900000000003</v>
      </c>
    </row>
    <row r="82" spans="1:20" x14ac:dyDescent="0.25">
      <c r="A82" s="8">
        <v>1009</v>
      </c>
      <c r="B82" s="8" t="s">
        <v>19</v>
      </c>
      <c r="C82" s="8">
        <v>1</v>
      </c>
      <c r="D82" s="8" t="s">
        <v>217</v>
      </c>
      <c r="E82" s="8" t="s">
        <v>222</v>
      </c>
      <c r="F82" s="18" t="s">
        <v>30</v>
      </c>
      <c r="G82" s="18" t="s">
        <v>23</v>
      </c>
      <c r="H82" s="19">
        <v>530</v>
      </c>
      <c r="I82" s="19">
        <v>1151</v>
      </c>
      <c r="J82" s="20" t="s">
        <v>223</v>
      </c>
      <c r="K82" s="20" t="s">
        <v>25</v>
      </c>
      <c r="L82" s="27" t="s">
        <v>26</v>
      </c>
      <c r="M82" s="27" t="s">
        <v>26</v>
      </c>
      <c r="N82" s="21">
        <v>41.841820132814199</v>
      </c>
      <c r="O82" s="10">
        <v>-79.212823935042906</v>
      </c>
      <c r="P82" s="22">
        <v>483</v>
      </c>
      <c r="Q82" s="23">
        <v>44258</v>
      </c>
      <c r="R82" s="22" t="s">
        <v>27</v>
      </c>
      <c r="S82" s="22" t="s">
        <v>34</v>
      </c>
      <c r="T82" s="24">
        <f t="shared" si="1"/>
        <v>523.08899999999994</v>
      </c>
    </row>
    <row r="83" spans="1:20" x14ac:dyDescent="0.25">
      <c r="A83" s="8">
        <v>1010</v>
      </c>
      <c r="B83" s="8" t="s">
        <v>19</v>
      </c>
      <c r="C83" s="8">
        <v>1</v>
      </c>
      <c r="D83" s="8" t="s">
        <v>217</v>
      </c>
      <c r="E83" s="8" t="s">
        <v>224</v>
      </c>
      <c r="F83" s="18" t="s">
        <v>77</v>
      </c>
      <c r="G83" s="18" t="s">
        <v>23</v>
      </c>
      <c r="H83" s="19">
        <v>720</v>
      </c>
      <c r="I83" s="19">
        <v>423</v>
      </c>
      <c r="J83" s="20" t="s">
        <v>225</v>
      </c>
      <c r="K83" s="20" t="s">
        <v>57</v>
      </c>
      <c r="L83" s="27" t="s">
        <v>26</v>
      </c>
      <c r="M83" s="27" t="s">
        <v>26</v>
      </c>
      <c r="N83" s="21">
        <v>41.782008202719403</v>
      </c>
      <c r="O83" s="10">
        <v>-79.095787674997496</v>
      </c>
      <c r="P83" s="22">
        <v>467</v>
      </c>
      <c r="Q83" s="23">
        <v>44222</v>
      </c>
      <c r="R83" s="22" t="s">
        <v>27</v>
      </c>
      <c r="S83" s="22" t="s">
        <v>28</v>
      </c>
      <c r="T83" s="24">
        <f t="shared" si="1"/>
        <v>505.76099999999997</v>
      </c>
    </row>
    <row r="84" spans="1:20" x14ac:dyDescent="0.25">
      <c r="A84" s="8">
        <v>1011</v>
      </c>
      <c r="B84" s="8" t="s">
        <v>19</v>
      </c>
      <c r="C84" s="8">
        <v>1</v>
      </c>
      <c r="D84" s="8" t="s">
        <v>217</v>
      </c>
      <c r="E84" s="8" t="s">
        <v>226</v>
      </c>
      <c r="F84" s="18" t="s">
        <v>227</v>
      </c>
      <c r="G84" s="18" t="s">
        <v>228</v>
      </c>
      <c r="H84" s="19">
        <v>20</v>
      </c>
      <c r="I84" s="19">
        <v>54</v>
      </c>
      <c r="J84" s="20" t="s">
        <v>229</v>
      </c>
      <c r="K84" s="20" t="s">
        <v>25</v>
      </c>
      <c r="L84" s="27" t="s">
        <v>26</v>
      </c>
      <c r="M84" s="27" t="s">
        <v>26</v>
      </c>
      <c r="N84" s="21">
        <v>41.821828562590603</v>
      </c>
      <c r="O84" s="10">
        <v>-79.107299276132807</v>
      </c>
      <c r="P84" s="22">
        <v>278</v>
      </c>
      <c r="Q84" s="23">
        <v>44222</v>
      </c>
      <c r="R84" s="22" t="s">
        <v>27</v>
      </c>
      <c r="S84" s="22" t="s">
        <v>28</v>
      </c>
      <c r="T84" s="24">
        <f t="shared" si="1"/>
        <v>301.07400000000001</v>
      </c>
    </row>
    <row r="85" spans="1:20" x14ac:dyDescent="0.25">
      <c r="A85" s="8">
        <v>1012</v>
      </c>
      <c r="B85" s="8" t="s">
        <v>19</v>
      </c>
      <c r="C85" s="8">
        <v>1</v>
      </c>
      <c r="D85" s="8" t="s">
        <v>217</v>
      </c>
      <c r="E85" s="8" t="s">
        <v>230</v>
      </c>
      <c r="F85" s="28" t="s">
        <v>231</v>
      </c>
      <c r="G85" s="18" t="s">
        <v>183</v>
      </c>
      <c r="H85" s="19">
        <v>428</v>
      </c>
      <c r="I85" s="19">
        <v>407</v>
      </c>
      <c r="J85" s="20" t="s">
        <v>232</v>
      </c>
      <c r="K85" s="20" t="s">
        <v>25</v>
      </c>
      <c r="L85" s="27" t="s">
        <v>26</v>
      </c>
      <c r="M85" s="27" t="s">
        <v>26</v>
      </c>
      <c r="N85" s="21">
        <v>41.844353238315101</v>
      </c>
      <c r="O85" s="10">
        <v>-79.158339163760999</v>
      </c>
      <c r="P85" s="22">
        <v>603</v>
      </c>
      <c r="Q85" s="23">
        <v>44258</v>
      </c>
      <c r="R85" s="22" t="s">
        <v>27</v>
      </c>
      <c r="S85" s="22" t="s">
        <v>34</v>
      </c>
      <c r="T85" s="24">
        <f t="shared" si="1"/>
        <v>653.04899999999998</v>
      </c>
    </row>
    <row r="86" spans="1:20" x14ac:dyDescent="0.25">
      <c r="A86" s="8">
        <v>1013</v>
      </c>
      <c r="B86" s="8" t="s">
        <v>19</v>
      </c>
      <c r="C86" s="8">
        <v>1</v>
      </c>
      <c r="D86" s="8" t="s">
        <v>217</v>
      </c>
      <c r="E86" s="8" t="s">
        <v>222</v>
      </c>
      <c r="F86" s="18" t="s">
        <v>233</v>
      </c>
      <c r="G86" s="18" t="s">
        <v>183</v>
      </c>
      <c r="H86" s="19">
        <v>540</v>
      </c>
      <c r="I86" s="19">
        <v>1702</v>
      </c>
      <c r="J86" s="20" t="s">
        <v>234</v>
      </c>
      <c r="K86" s="20" t="s">
        <v>25</v>
      </c>
      <c r="L86" s="27" t="s">
        <v>26</v>
      </c>
      <c r="M86" s="27" t="s">
        <v>26</v>
      </c>
      <c r="N86" s="21">
        <v>41.906005307442797</v>
      </c>
      <c r="O86" s="10">
        <v>-79.150936399938999</v>
      </c>
      <c r="P86" s="22">
        <v>718</v>
      </c>
      <c r="Q86" s="23">
        <v>44222</v>
      </c>
      <c r="R86" s="22" t="s">
        <v>27</v>
      </c>
      <c r="S86" s="22" t="s">
        <v>62</v>
      </c>
      <c r="T86" s="24">
        <f t="shared" si="1"/>
        <v>777.59399999999994</v>
      </c>
    </row>
    <row r="87" spans="1:20" x14ac:dyDescent="0.25">
      <c r="A87" s="8">
        <v>1014</v>
      </c>
      <c r="B87" s="8" t="s">
        <v>19</v>
      </c>
      <c r="C87" s="8">
        <v>1</v>
      </c>
      <c r="D87" s="8" t="s">
        <v>217</v>
      </c>
      <c r="E87" s="8" t="s">
        <v>235</v>
      </c>
      <c r="F87" s="18" t="s">
        <v>236</v>
      </c>
      <c r="G87" s="18" t="s">
        <v>237</v>
      </c>
      <c r="H87" s="18">
        <v>20</v>
      </c>
      <c r="I87" s="18">
        <v>2316</v>
      </c>
      <c r="J87" s="20" t="s">
        <v>238</v>
      </c>
      <c r="K87" s="20" t="s">
        <v>25</v>
      </c>
      <c r="L87" s="27" t="s">
        <v>26</v>
      </c>
      <c r="M87" s="27" t="s">
        <v>26</v>
      </c>
      <c r="N87" s="21">
        <v>41.637222372082299</v>
      </c>
      <c r="O87" s="10">
        <v>-79.043484972001494</v>
      </c>
      <c r="P87" s="22">
        <v>12</v>
      </c>
      <c r="Q87" s="23">
        <v>44221</v>
      </c>
      <c r="R87" s="22" t="s">
        <v>27</v>
      </c>
      <c r="S87" s="22" t="s">
        <v>34</v>
      </c>
      <c r="T87" s="24">
        <f t="shared" si="1"/>
        <v>12.995999999999999</v>
      </c>
    </row>
    <row r="88" spans="1:20" x14ac:dyDescent="0.25">
      <c r="A88" s="8">
        <v>1015</v>
      </c>
      <c r="B88" s="8" t="s">
        <v>19</v>
      </c>
      <c r="C88" s="8">
        <v>1</v>
      </c>
      <c r="D88" s="8" t="s">
        <v>217</v>
      </c>
      <c r="E88" s="8" t="s">
        <v>239</v>
      </c>
      <c r="F88" s="18" t="s">
        <v>240</v>
      </c>
      <c r="G88" s="18" t="s">
        <v>241</v>
      </c>
      <c r="H88" s="18">
        <v>110</v>
      </c>
      <c r="I88" s="18">
        <v>0</v>
      </c>
      <c r="J88" s="20" t="s">
        <v>242</v>
      </c>
      <c r="K88" s="20" t="s">
        <v>25</v>
      </c>
      <c r="L88" s="27" t="s">
        <v>26</v>
      </c>
      <c r="M88" s="27" t="s">
        <v>26</v>
      </c>
      <c r="N88" s="21">
        <v>41.723940108296297</v>
      </c>
      <c r="O88" s="10">
        <v>-79.334322288632293</v>
      </c>
      <c r="P88" s="22">
        <v>57</v>
      </c>
      <c r="Q88" s="23">
        <v>44258</v>
      </c>
      <c r="R88" s="22" t="s">
        <v>27</v>
      </c>
      <c r="S88" s="22" t="s">
        <v>34</v>
      </c>
      <c r="T88" s="24">
        <f t="shared" si="1"/>
        <v>61.730999999999995</v>
      </c>
    </row>
    <row r="89" spans="1:20" x14ac:dyDescent="0.25">
      <c r="A89" s="8">
        <v>1016</v>
      </c>
      <c r="B89" s="8" t="s">
        <v>19</v>
      </c>
      <c r="C89" s="8">
        <v>1</v>
      </c>
      <c r="D89" s="8" t="s">
        <v>217</v>
      </c>
      <c r="E89" s="8" t="s">
        <v>230</v>
      </c>
      <c r="F89" s="18" t="s">
        <v>243</v>
      </c>
      <c r="G89" s="18" t="s">
        <v>244</v>
      </c>
      <c r="H89" s="19">
        <v>40</v>
      </c>
      <c r="I89" s="19">
        <v>995</v>
      </c>
      <c r="J89" s="20" t="s">
        <v>245</v>
      </c>
      <c r="K89" s="20" t="s">
        <v>25</v>
      </c>
      <c r="L89" s="27" t="s">
        <v>26</v>
      </c>
      <c r="M89" s="27" t="s">
        <v>26</v>
      </c>
      <c r="N89" s="21">
        <v>41.836896110910601</v>
      </c>
      <c r="O89" s="10">
        <v>-79.130239499495701</v>
      </c>
      <c r="P89" s="22">
        <v>653</v>
      </c>
      <c r="Q89" s="23">
        <v>44222</v>
      </c>
      <c r="R89" s="22" t="s">
        <v>27</v>
      </c>
      <c r="S89" s="22" t="s">
        <v>34</v>
      </c>
      <c r="T89" s="24">
        <f t="shared" si="1"/>
        <v>707.19899999999996</v>
      </c>
    </row>
    <row r="90" spans="1:20" x14ac:dyDescent="0.25">
      <c r="A90" s="8">
        <v>199</v>
      </c>
      <c r="B90" s="8" t="s">
        <v>19</v>
      </c>
      <c r="C90" s="8">
        <v>2</v>
      </c>
      <c r="D90" s="8" t="s">
        <v>246</v>
      </c>
      <c r="E90" s="8" t="s">
        <v>247</v>
      </c>
      <c r="F90" s="18" t="s">
        <v>248</v>
      </c>
      <c r="G90" s="18" t="s">
        <v>249</v>
      </c>
      <c r="H90" s="18">
        <v>40</v>
      </c>
      <c r="I90" s="18">
        <v>620</v>
      </c>
      <c r="J90" s="20" t="s">
        <v>250</v>
      </c>
      <c r="K90" s="20" t="s">
        <v>25</v>
      </c>
      <c r="L90" s="27" t="s">
        <v>26</v>
      </c>
      <c r="M90" s="27" t="s">
        <v>26</v>
      </c>
      <c r="N90" s="21">
        <v>41.239580314208602</v>
      </c>
      <c r="O90" s="10">
        <v>-78.179428545734297</v>
      </c>
      <c r="P90" s="22">
        <v>31</v>
      </c>
      <c r="Q90" s="23">
        <v>44287</v>
      </c>
      <c r="R90" s="22" t="s">
        <v>27</v>
      </c>
      <c r="S90" s="22" t="s">
        <v>34</v>
      </c>
      <c r="T90" s="24">
        <f t="shared" ref="T90:T153" si="2">P90*$X$4</f>
        <v>35.619</v>
      </c>
    </row>
    <row r="91" spans="1:20" x14ac:dyDescent="0.25">
      <c r="A91" s="8">
        <v>232</v>
      </c>
      <c r="B91" s="8" t="s">
        <v>19</v>
      </c>
      <c r="C91" s="8">
        <v>2</v>
      </c>
      <c r="D91" s="8" t="s">
        <v>251</v>
      </c>
      <c r="E91" s="8" t="s">
        <v>252</v>
      </c>
      <c r="F91" s="18" t="s">
        <v>253</v>
      </c>
      <c r="G91" s="18" t="s">
        <v>254</v>
      </c>
      <c r="H91" s="19">
        <v>100</v>
      </c>
      <c r="I91" s="19">
        <v>2690</v>
      </c>
      <c r="J91" s="20" t="s">
        <v>255</v>
      </c>
      <c r="K91" s="20" t="s">
        <v>25</v>
      </c>
      <c r="L91" s="27" t="s">
        <v>26</v>
      </c>
      <c r="M91" s="27" t="s">
        <v>26</v>
      </c>
      <c r="N91" s="21">
        <v>40.765788316584498</v>
      </c>
      <c r="O91" s="10">
        <v>-77.883865549026197</v>
      </c>
      <c r="P91" s="22">
        <v>3783</v>
      </c>
      <c r="Q91" s="23">
        <v>44251</v>
      </c>
      <c r="R91" s="22" t="s">
        <v>27</v>
      </c>
      <c r="S91" s="22" t="s">
        <v>38</v>
      </c>
      <c r="T91" s="24">
        <f t="shared" si="2"/>
        <v>4346.6670000000004</v>
      </c>
    </row>
    <row r="92" spans="1:20" x14ac:dyDescent="0.25">
      <c r="A92" s="8">
        <v>233</v>
      </c>
      <c r="B92" s="8" t="s">
        <v>19</v>
      </c>
      <c r="C92" s="8">
        <v>2</v>
      </c>
      <c r="D92" s="8" t="s">
        <v>251</v>
      </c>
      <c r="E92" s="8" t="s">
        <v>256</v>
      </c>
      <c r="F92" s="18" t="s">
        <v>253</v>
      </c>
      <c r="G92" s="18" t="s">
        <v>254</v>
      </c>
      <c r="H92" s="19">
        <v>151</v>
      </c>
      <c r="I92" s="19">
        <v>482</v>
      </c>
      <c r="J92" s="20" t="s">
        <v>257</v>
      </c>
      <c r="K92" s="20" t="s">
        <v>25</v>
      </c>
      <c r="L92" s="27" t="s">
        <v>26</v>
      </c>
      <c r="M92" s="27" t="s">
        <v>26</v>
      </c>
      <c r="N92" s="21">
        <v>40.788163814285703</v>
      </c>
      <c r="O92" s="10">
        <v>-77.869877270380002</v>
      </c>
      <c r="P92" s="22">
        <v>1170</v>
      </c>
      <c r="Q92" s="23">
        <v>44251</v>
      </c>
      <c r="R92" s="22" t="s">
        <v>27</v>
      </c>
      <c r="S92" s="22" t="s">
        <v>38</v>
      </c>
      <c r="T92" s="24">
        <f t="shared" si="2"/>
        <v>1344.33</v>
      </c>
    </row>
    <row r="93" spans="1:20" x14ac:dyDescent="0.25">
      <c r="A93" s="8">
        <v>234</v>
      </c>
      <c r="B93" s="8" t="s">
        <v>19</v>
      </c>
      <c r="C93" s="8">
        <v>2</v>
      </c>
      <c r="D93" s="8" t="s">
        <v>251</v>
      </c>
      <c r="E93" s="8" t="s">
        <v>256</v>
      </c>
      <c r="F93" s="18" t="s">
        <v>253</v>
      </c>
      <c r="G93" s="18" t="s">
        <v>254</v>
      </c>
      <c r="H93" s="19">
        <v>151</v>
      </c>
      <c r="I93" s="19">
        <v>1385</v>
      </c>
      <c r="J93" s="20" t="s">
        <v>258</v>
      </c>
      <c r="K93" s="20" t="s">
        <v>25</v>
      </c>
      <c r="L93" s="27" t="s">
        <v>26</v>
      </c>
      <c r="M93" s="27" t="s">
        <v>26</v>
      </c>
      <c r="N93" s="21">
        <v>40.789944345054103</v>
      </c>
      <c r="O93" s="10">
        <v>-77.867588859528198</v>
      </c>
      <c r="P93" s="22">
        <v>591</v>
      </c>
      <c r="Q93" s="23">
        <v>44251</v>
      </c>
      <c r="R93" s="22" t="s">
        <v>27</v>
      </c>
      <c r="S93" s="22" t="s">
        <v>34</v>
      </c>
      <c r="T93" s="24">
        <f t="shared" si="2"/>
        <v>679.05899999999997</v>
      </c>
    </row>
    <row r="94" spans="1:20" x14ac:dyDescent="0.25">
      <c r="A94" s="8">
        <v>235</v>
      </c>
      <c r="B94" s="8" t="s">
        <v>19</v>
      </c>
      <c r="C94" s="8">
        <v>2</v>
      </c>
      <c r="D94" s="8" t="s">
        <v>251</v>
      </c>
      <c r="E94" s="8" t="s">
        <v>256</v>
      </c>
      <c r="F94" s="18" t="s">
        <v>259</v>
      </c>
      <c r="G94" s="18" t="s">
        <v>254</v>
      </c>
      <c r="H94" s="19">
        <v>160</v>
      </c>
      <c r="I94" s="19">
        <v>2287</v>
      </c>
      <c r="J94" s="20" t="s">
        <v>260</v>
      </c>
      <c r="K94" s="20" t="s">
        <v>25</v>
      </c>
      <c r="L94" s="27" t="s">
        <v>26</v>
      </c>
      <c r="M94" s="27" t="s">
        <v>26</v>
      </c>
      <c r="N94" s="21">
        <v>40.795281160459197</v>
      </c>
      <c r="O94" s="10">
        <v>-77.857854737508205</v>
      </c>
      <c r="P94" s="22">
        <v>1233</v>
      </c>
      <c r="Q94" s="23">
        <v>44251</v>
      </c>
      <c r="R94" s="22" t="s">
        <v>27</v>
      </c>
      <c r="S94" s="22" t="s">
        <v>34</v>
      </c>
      <c r="T94" s="24">
        <f t="shared" si="2"/>
        <v>1416.7170000000001</v>
      </c>
    </row>
    <row r="95" spans="1:20" x14ac:dyDescent="0.25">
      <c r="A95" s="8">
        <v>236</v>
      </c>
      <c r="B95" s="8" t="s">
        <v>19</v>
      </c>
      <c r="C95" s="8">
        <v>2</v>
      </c>
      <c r="D95" s="8" t="s">
        <v>251</v>
      </c>
      <c r="E95" s="8" t="s">
        <v>256</v>
      </c>
      <c r="F95" s="18" t="s">
        <v>259</v>
      </c>
      <c r="G95" s="18" t="s">
        <v>254</v>
      </c>
      <c r="H95" s="19">
        <v>170</v>
      </c>
      <c r="I95" s="19">
        <v>1422</v>
      </c>
      <c r="J95" s="20" t="s">
        <v>261</v>
      </c>
      <c r="K95" s="20" t="s">
        <v>25</v>
      </c>
      <c r="L95" s="27" t="s">
        <v>26</v>
      </c>
      <c r="M95" s="27" t="s">
        <v>26</v>
      </c>
      <c r="N95" s="21">
        <v>40.7984843081965</v>
      </c>
      <c r="O95" s="10">
        <v>-77.853562379597903</v>
      </c>
      <c r="P95" s="22">
        <v>1302</v>
      </c>
      <c r="Q95" s="23">
        <v>44251</v>
      </c>
      <c r="R95" s="22" t="s">
        <v>27</v>
      </c>
      <c r="S95" s="22" t="s">
        <v>34</v>
      </c>
      <c r="T95" s="24">
        <f t="shared" si="2"/>
        <v>1495.998</v>
      </c>
    </row>
    <row r="96" spans="1:20" x14ac:dyDescent="0.25">
      <c r="A96" s="8">
        <v>237</v>
      </c>
      <c r="B96" s="8" t="s">
        <v>19</v>
      </c>
      <c r="C96" s="8">
        <v>2</v>
      </c>
      <c r="D96" s="8" t="s">
        <v>251</v>
      </c>
      <c r="E96" s="8" t="s">
        <v>262</v>
      </c>
      <c r="F96" s="18" t="s">
        <v>253</v>
      </c>
      <c r="G96" s="18" t="s">
        <v>254</v>
      </c>
      <c r="H96" s="19">
        <v>220</v>
      </c>
      <c r="I96" s="19">
        <v>2004</v>
      </c>
      <c r="J96" s="20" t="s">
        <v>263</v>
      </c>
      <c r="K96" s="20" t="s">
        <v>264</v>
      </c>
      <c r="L96" s="27" t="s">
        <v>26</v>
      </c>
      <c r="M96" s="27" t="s">
        <v>26</v>
      </c>
      <c r="N96" s="21">
        <v>40.823553981039296</v>
      </c>
      <c r="O96" s="10">
        <v>-77.812398973019796</v>
      </c>
      <c r="P96" s="22">
        <v>916</v>
      </c>
      <c r="Q96" s="23">
        <v>44251</v>
      </c>
      <c r="R96" s="22" t="s">
        <v>27</v>
      </c>
      <c r="S96" s="22" t="s">
        <v>28</v>
      </c>
      <c r="T96" s="24">
        <f t="shared" si="2"/>
        <v>1052.4839999999999</v>
      </c>
    </row>
    <row r="97" spans="1:20" x14ac:dyDescent="0.25">
      <c r="A97" s="8">
        <v>238</v>
      </c>
      <c r="B97" s="8" t="s">
        <v>19</v>
      </c>
      <c r="C97" s="8">
        <v>2</v>
      </c>
      <c r="D97" s="8" t="s">
        <v>251</v>
      </c>
      <c r="E97" s="8" t="s">
        <v>262</v>
      </c>
      <c r="F97" s="18" t="s">
        <v>253</v>
      </c>
      <c r="G97" s="18" t="s">
        <v>254</v>
      </c>
      <c r="H97" s="19">
        <v>230</v>
      </c>
      <c r="I97" s="19">
        <v>0</v>
      </c>
      <c r="J97" s="20" t="s">
        <v>265</v>
      </c>
      <c r="K97" s="20" t="s">
        <v>25</v>
      </c>
      <c r="L97" s="27" t="s">
        <v>26</v>
      </c>
      <c r="M97" s="27" t="s">
        <v>26</v>
      </c>
      <c r="N97" s="21">
        <v>40.826287697817399</v>
      </c>
      <c r="O97" s="10">
        <v>-77.808847653508806</v>
      </c>
      <c r="P97" s="22">
        <v>3167</v>
      </c>
      <c r="Q97" s="23">
        <v>44251</v>
      </c>
      <c r="R97" s="22" t="s">
        <v>27</v>
      </c>
      <c r="S97" s="22" t="s">
        <v>28</v>
      </c>
      <c r="T97" s="24">
        <f t="shared" si="2"/>
        <v>3638.8830000000003</v>
      </c>
    </row>
    <row r="98" spans="1:20" x14ac:dyDescent="0.25">
      <c r="A98" s="8">
        <v>239</v>
      </c>
      <c r="B98" s="8" t="s">
        <v>19</v>
      </c>
      <c r="C98" s="8">
        <v>2</v>
      </c>
      <c r="D98" s="8" t="s">
        <v>251</v>
      </c>
      <c r="E98" s="8" t="s">
        <v>266</v>
      </c>
      <c r="F98" s="18" t="s">
        <v>267</v>
      </c>
      <c r="G98" s="18" t="s">
        <v>268</v>
      </c>
      <c r="H98" s="18">
        <v>310</v>
      </c>
      <c r="I98" s="18">
        <v>1028</v>
      </c>
      <c r="J98" s="20" t="s">
        <v>269</v>
      </c>
      <c r="K98" s="20" t="s">
        <v>25</v>
      </c>
      <c r="L98" s="27" t="s">
        <v>26</v>
      </c>
      <c r="M98" s="27" t="s">
        <v>26</v>
      </c>
      <c r="N98" s="21">
        <v>40.789748370435298</v>
      </c>
      <c r="O98" s="10">
        <v>-77.753709627877399</v>
      </c>
      <c r="P98" s="22">
        <v>247</v>
      </c>
      <c r="Q98" s="23">
        <v>44251</v>
      </c>
      <c r="R98" s="22" t="s">
        <v>27</v>
      </c>
      <c r="S98" s="22" t="s">
        <v>28</v>
      </c>
      <c r="T98" s="24">
        <f t="shared" si="2"/>
        <v>283.803</v>
      </c>
    </row>
    <row r="99" spans="1:20" x14ac:dyDescent="0.25">
      <c r="A99" s="8">
        <v>240</v>
      </c>
      <c r="B99" s="8" t="s">
        <v>19</v>
      </c>
      <c r="C99" s="8">
        <v>2</v>
      </c>
      <c r="D99" s="8" t="s">
        <v>251</v>
      </c>
      <c r="E99" s="8" t="s">
        <v>270</v>
      </c>
      <c r="F99" s="18" t="s">
        <v>267</v>
      </c>
      <c r="G99" s="18" t="s">
        <v>268</v>
      </c>
      <c r="H99" s="18">
        <v>420</v>
      </c>
      <c r="I99" s="18">
        <v>385</v>
      </c>
      <c r="J99" s="20" t="s">
        <v>271</v>
      </c>
      <c r="K99" s="20" t="s">
        <v>25</v>
      </c>
      <c r="L99" s="27" t="s">
        <v>26</v>
      </c>
      <c r="M99" s="27" t="s">
        <v>26</v>
      </c>
      <c r="N99" s="21">
        <v>40.831152724099397</v>
      </c>
      <c r="O99" s="10">
        <v>-77.680252746605802</v>
      </c>
      <c r="P99" s="22">
        <v>274</v>
      </c>
      <c r="Q99" s="23">
        <v>44251</v>
      </c>
      <c r="R99" s="22" t="s">
        <v>27</v>
      </c>
      <c r="S99" s="22" t="s">
        <v>34</v>
      </c>
      <c r="T99" s="24">
        <f t="shared" si="2"/>
        <v>314.82600000000002</v>
      </c>
    </row>
    <row r="100" spans="1:20" x14ac:dyDescent="0.25">
      <c r="A100" s="8">
        <v>241</v>
      </c>
      <c r="B100" s="8" t="s">
        <v>19</v>
      </c>
      <c r="C100" s="8">
        <v>2</v>
      </c>
      <c r="D100" s="8" t="s">
        <v>251</v>
      </c>
      <c r="E100" s="8" t="s">
        <v>272</v>
      </c>
      <c r="F100" s="18" t="s">
        <v>267</v>
      </c>
      <c r="G100" s="18" t="s">
        <v>268</v>
      </c>
      <c r="H100" s="18">
        <v>500</v>
      </c>
      <c r="I100" s="18">
        <v>1688</v>
      </c>
      <c r="J100" s="20" t="s">
        <v>273</v>
      </c>
      <c r="K100" s="20" t="s">
        <v>25</v>
      </c>
      <c r="L100" s="27" t="s">
        <v>26</v>
      </c>
      <c r="M100" s="27" t="s">
        <v>26</v>
      </c>
      <c r="N100" s="21">
        <v>40.849544374731103</v>
      </c>
      <c r="O100" s="10">
        <v>-77.604181406444596</v>
      </c>
      <c r="P100" s="22">
        <v>310</v>
      </c>
      <c r="Q100" s="23">
        <v>44251</v>
      </c>
      <c r="R100" s="22" t="s">
        <v>27</v>
      </c>
      <c r="S100" s="22" t="s">
        <v>34</v>
      </c>
      <c r="T100" s="24">
        <f t="shared" si="2"/>
        <v>356.19</v>
      </c>
    </row>
    <row r="101" spans="1:20" x14ac:dyDescent="0.25">
      <c r="A101" s="8">
        <v>242</v>
      </c>
      <c r="B101" s="8" t="s">
        <v>19</v>
      </c>
      <c r="C101" s="8">
        <v>2</v>
      </c>
      <c r="D101" s="8" t="s">
        <v>251</v>
      </c>
      <c r="E101" s="8" t="s">
        <v>272</v>
      </c>
      <c r="F101" s="18" t="s">
        <v>267</v>
      </c>
      <c r="G101" s="18" t="s">
        <v>268</v>
      </c>
      <c r="H101" s="18">
        <v>530</v>
      </c>
      <c r="I101" s="18">
        <v>1595</v>
      </c>
      <c r="J101" s="20" t="s">
        <v>274</v>
      </c>
      <c r="K101" s="20" t="s">
        <v>25</v>
      </c>
      <c r="L101" s="27" t="s">
        <v>26</v>
      </c>
      <c r="M101" s="27" t="s">
        <v>26</v>
      </c>
      <c r="N101" s="21">
        <v>40.856505791657902</v>
      </c>
      <c r="O101" s="10">
        <v>-77.575277233330198</v>
      </c>
      <c r="P101" s="22">
        <v>716</v>
      </c>
      <c r="Q101" s="23">
        <v>44264</v>
      </c>
      <c r="R101" s="22" t="s">
        <v>27</v>
      </c>
      <c r="S101" s="22" t="s">
        <v>28</v>
      </c>
      <c r="T101" s="24">
        <f t="shared" si="2"/>
        <v>822.68399999999997</v>
      </c>
    </row>
    <row r="102" spans="1:20" x14ac:dyDescent="0.25">
      <c r="A102" s="8">
        <v>243</v>
      </c>
      <c r="B102" s="8" t="s">
        <v>19</v>
      </c>
      <c r="C102" s="8">
        <v>2</v>
      </c>
      <c r="D102" s="8" t="s">
        <v>251</v>
      </c>
      <c r="E102" s="8" t="s">
        <v>272</v>
      </c>
      <c r="F102" s="18" t="s">
        <v>275</v>
      </c>
      <c r="G102" s="18" t="s">
        <v>268</v>
      </c>
      <c r="H102" s="18">
        <v>560</v>
      </c>
      <c r="I102" s="18">
        <v>75</v>
      </c>
      <c r="J102" s="20" t="s">
        <v>274</v>
      </c>
      <c r="K102" s="20" t="s">
        <v>25</v>
      </c>
      <c r="L102" s="27" t="s">
        <v>26</v>
      </c>
      <c r="M102" s="27" t="s">
        <v>26</v>
      </c>
      <c r="N102" s="21">
        <v>40.860966614704402</v>
      </c>
      <c r="O102" s="10">
        <v>-77.558292912141695</v>
      </c>
      <c r="P102" s="22">
        <v>143</v>
      </c>
      <c r="Q102" s="23">
        <v>44251</v>
      </c>
      <c r="R102" s="22" t="s">
        <v>27</v>
      </c>
      <c r="S102" s="22" t="s">
        <v>34</v>
      </c>
      <c r="T102" s="24">
        <f t="shared" si="2"/>
        <v>164.30700000000002</v>
      </c>
    </row>
    <row r="103" spans="1:20" x14ac:dyDescent="0.25">
      <c r="A103" s="8">
        <v>244</v>
      </c>
      <c r="B103" s="8" t="s">
        <v>19</v>
      </c>
      <c r="C103" s="8">
        <v>2</v>
      </c>
      <c r="D103" s="8" t="s">
        <v>251</v>
      </c>
      <c r="E103" s="8" t="s">
        <v>276</v>
      </c>
      <c r="F103" s="18" t="s">
        <v>277</v>
      </c>
      <c r="G103" s="18" t="s">
        <v>278</v>
      </c>
      <c r="H103" s="18">
        <v>210</v>
      </c>
      <c r="I103" s="18">
        <v>2470</v>
      </c>
      <c r="J103" s="20" t="s">
        <v>279</v>
      </c>
      <c r="K103" s="20" t="s">
        <v>25</v>
      </c>
      <c r="L103" s="27" t="s">
        <v>26</v>
      </c>
      <c r="M103" s="27" t="s">
        <v>26</v>
      </c>
      <c r="N103" s="21">
        <v>40.977872124524502</v>
      </c>
      <c r="O103" s="10">
        <v>-77.590026236548695</v>
      </c>
      <c r="P103" s="22">
        <v>135</v>
      </c>
      <c r="Q103" s="23">
        <v>44243</v>
      </c>
      <c r="R103" s="22" t="s">
        <v>27</v>
      </c>
      <c r="S103" s="22" t="s">
        <v>28</v>
      </c>
      <c r="T103" s="24">
        <f t="shared" si="2"/>
        <v>155.11500000000001</v>
      </c>
    </row>
    <row r="104" spans="1:20" x14ac:dyDescent="0.25">
      <c r="A104" s="8">
        <v>245</v>
      </c>
      <c r="B104" s="8" t="s">
        <v>19</v>
      </c>
      <c r="C104" s="8">
        <v>2</v>
      </c>
      <c r="D104" s="8" t="s">
        <v>251</v>
      </c>
      <c r="E104" s="8" t="s">
        <v>270</v>
      </c>
      <c r="F104" s="18" t="s">
        <v>280</v>
      </c>
      <c r="G104" s="18" t="s">
        <v>281</v>
      </c>
      <c r="H104" s="18">
        <v>30</v>
      </c>
      <c r="I104" s="18">
        <v>1879</v>
      </c>
      <c r="J104" s="20" t="s">
        <v>282</v>
      </c>
      <c r="K104" s="20" t="s">
        <v>25</v>
      </c>
      <c r="L104" s="27" t="s">
        <v>26</v>
      </c>
      <c r="M104" s="27" t="s">
        <v>26</v>
      </c>
      <c r="N104" s="21">
        <v>40.811026101127297</v>
      </c>
      <c r="O104" s="10">
        <v>-77.637005257285296</v>
      </c>
      <c r="P104" s="22">
        <v>306</v>
      </c>
      <c r="Q104" s="23">
        <v>44251</v>
      </c>
      <c r="R104" s="22" t="s">
        <v>27</v>
      </c>
      <c r="S104" s="22" t="s">
        <v>62</v>
      </c>
      <c r="T104" s="24">
        <f t="shared" si="2"/>
        <v>351.59399999999999</v>
      </c>
    </row>
    <row r="105" spans="1:20" x14ac:dyDescent="0.25">
      <c r="A105" s="8">
        <v>246</v>
      </c>
      <c r="B105" s="8" t="s">
        <v>19</v>
      </c>
      <c r="C105" s="8">
        <v>2</v>
      </c>
      <c r="D105" s="8" t="s">
        <v>251</v>
      </c>
      <c r="E105" s="8" t="s">
        <v>270</v>
      </c>
      <c r="F105" s="18" t="s">
        <v>280</v>
      </c>
      <c r="G105" s="18" t="s">
        <v>281</v>
      </c>
      <c r="H105" s="18">
        <v>30</v>
      </c>
      <c r="I105" s="18">
        <v>1943</v>
      </c>
      <c r="J105" s="20" t="s">
        <v>283</v>
      </c>
      <c r="K105" s="20" t="s">
        <v>25</v>
      </c>
      <c r="L105" s="27" t="s">
        <v>26</v>
      </c>
      <c r="M105" s="27" t="s">
        <v>26</v>
      </c>
      <c r="N105" s="21">
        <v>40.811169987452097</v>
      </c>
      <c r="O105" s="10">
        <v>-77.637146902524904</v>
      </c>
      <c r="P105" s="22">
        <v>232</v>
      </c>
      <c r="Q105" s="23">
        <v>44251</v>
      </c>
      <c r="R105" s="22" t="s">
        <v>27</v>
      </c>
      <c r="S105" s="22" t="s">
        <v>38</v>
      </c>
      <c r="T105" s="24">
        <f t="shared" si="2"/>
        <v>266.56799999999998</v>
      </c>
    </row>
    <row r="106" spans="1:20" x14ac:dyDescent="0.25">
      <c r="A106" s="8">
        <v>247</v>
      </c>
      <c r="B106" s="8" t="s">
        <v>19</v>
      </c>
      <c r="C106" s="8">
        <v>2</v>
      </c>
      <c r="D106" s="8" t="s">
        <v>251</v>
      </c>
      <c r="E106" s="8" t="s">
        <v>284</v>
      </c>
      <c r="F106" s="18" t="s">
        <v>231</v>
      </c>
      <c r="G106" s="18" t="s">
        <v>281</v>
      </c>
      <c r="H106" s="18">
        <v>100</v>
      </c>
      <c r="I106" s="18">
        <v>1921</v>
      </c>
      <c r="J106" s="20" t="s">
        <v>285</v>
      </c>
      <c r="K106" s="20" t="s">
        <v>25</v>
      </c>
      <c r="L106" s="27" t="s">
        <v>26</v>
      </c>
      <c r="M106" s="27" t="s">
        <v>26</v>
      </c>
      <c r="N106" s="21">
        <v>40.844510917479198</v>
      </c>
      <c r="O106" s="10">
        <v>-77.683523626253702</v>
      </c>
      <c r="P106" s="22">
        <v>258</v>
      </c>
      <c r="Q106" s="23">
        <v>44251</v>
      </c>
      <c r="R106" s="22" t="s">
        <v>27</v>
      </c>
      <c r="S106" s="22" t="s">
        <v>28</v>
      </c>
      <c r="T106" s="24">
        <f t="shared" si="2"/>
        <v>296.44200000000001</v>
      </c>
    </row>
    <row r="107" spans="1:20" x14ac:dyDescent="0.25">
      <c r="A107" s="8">
        <v>248</v>
      </c>
      <c r="B107" s="8" t="s">
        <v>19</v>
      </c>
      <c r="C107" s="8">
        <v>2</v>
      </c>
      <c r="D107" s="8" t="s">
        <v>251</v>
      </c>
      <c r="E107" s="8" t="s">
        <v>286</v>
      </c>
      <c r="F107" s="18" t="s">
        <v>287</v>
      </c>
      <c r="G107" s="18" t="s">
        <v>281</v>
      </c>
      <c r="H107" s="18">
        <v>150</v>
      </c>
      <c r="I107" s="18">
        <v>1267</v>
      </c>
      <c r="J107" s="20" t="s">
        <v>288</v>
      </c>
      <c r="K107" s="20" t="s">
        <v>25</v>
      </c>
      <c r="L107" s="27" t="s">
        <v>26</v>
      </c>
      <c r="M107" s="27" t="s">
        <v>26</v>
      </c>
      <c r="N107" s="21">
        <v>40.846117141428302</v>
      </c>
      <c r="O107" s="10">
        <v>-77.722617133202803</v>
      </c>
      <c r="P107" s="22">
        <v>79</v>
      </c>
      <c r="Q107" s="23">
        <v>44251</v>
      </c>
      <c r="R107" s="22" t="s">
        <v>27</v>
      </c>
      <c r="S107" s="22" t="s">
        <v>28</v>
      </c>
      <c r="T107" s="24">
        <f t="shared" si="2"/>
        <v>90.771000000000001</v>
      </c>
    </row>
    <row r="108" spans="1:20" x14ac:dyDescent="0.25">
      <c r="A108" s="8">
        <v>249</v>
      </c>
      <c r="B108" s="8" t="s">
        <v>19</v>
      </c>
      <c r="C108" s="8">
        <v>2</v>
      </c>
      <c r="D108" s="8" t="s">
        <v>251</v>
      </c>
      <c r="E108" s="8" t="s">
        <v>289</v>
      </c>
      <c r="F108" s="18" t="s">
        <v>290</v>
      </c>
      <c r="G108" s="18" t="s">
        <v>291</v>
      </c>
      <c r="H108" s="18">
        <v>120</v>
      </c>
      <c r="I108" s="18">
        <v>675</v>
      </c>
      <c r="J108" s="20" t="s">
        <v>292</v>
      </c>
      <c r="K108" s="20" t="s">
        <v>57</v>
      </c>
      <c r="L108" s="27" t="s">
        <v>26</v>
      </c>
      <c r="M108" s="27" t="s">
        <v>26</v>
      </c>
      <c r="N108" s="21">
        <v>40.895988235771398</v>
      </c>
      <c r="O108" s="10">
        <v>-77.787288492244699</v>
      </c>
      <c r="P108" s="22">
        <v>1030</v>
      </c>
      <c r="Q108" s="23">
        <v>44251</v>
      </c>
      <c r="R108" s="22" t="s">
        <v>27</v>
      </c>
      <c r="S108" s="22" t="s">
        <v>38</v>
      </c>
      <c r="T108" s="24">
        <f t="shared" si="2"/>
        <v>1183.47</v>
      </c>
    </row>
    <row r="109" spans="1:20" x14ac:dyDescent="0.25">
      <c r="A109" s="8">
        <v>250</v>
      </c>
      <c r="B109" s="8" t="s">
        <v>19</v>
      </c>
      <c r="C109" s="8">
        <v>2</v>
      </c>
      <c r="D109" s="8" t="s">
        <v>251</v>
      </c>
      <c r="E109" s="8" t="s">
        <v>293</v>
      </c>
      <c r="F109" s="18" t="s">
        <v>294</v>
      </c>
      <c r="G109" s="18" t="s">
        <v>291</v>
      </c>
      <c r="H109" s="18">
        <v>200</v>
      </c>
      <c r="I109" s="18">
        <v>2492</v>
      </c>
      <c r="J109" s="20" t="s">
        <v>295</v>
      </c>
      <c r="K109" s="20" t="s">
        <v>25</v>
      </c>
      <c r="L109" s="27" t="s">
        <v>26</v>
      </c>
      <c r="M109" s="27" t="s">
        <v>26</v>
      </c>
      <c r="N109" s="21">
        <v>40.9755885074375</v>
      </c>
      <c r="O109" s="10">
        <v>-77.745003309639301</v>
      </c>
      <c r="P109" s="22">
        <v>359</v>
      </c>
      <c r="Q109" s="23">
        <v>44243</v>
      </c>
      <c r="R109" s="22" t="s">
        <v>27</v>
      </c>
      <c r="S109" s="22" t="s">
        <v>34</v>
      </c>
      <c r="T109" s="24">
        <f t="shared" si="2"/>
        <v>412.49099999999999</v>
      </c>
    </row>
    <row r="110" spans="1:20" x14ac:dyDescent="0.25">
      <c r="A110" s="8">
        <v>251</v>
      </c>
      <c r="B110" s="8" t="s">
        <v>19</v>
      </c>
      <c r="C110" s="8">
        <v>2</v>
      </c>
      <c r="D110" s="8" t="s">
        <v>251</v>
      </c>
      <c r="E110" s="8" t="s">
        <v>296</v>
      </c>
      <c r="F110" s="18" t="s">
        <v>294</v>
      </c>
      <c r="G110" s="18" t="s">
        <v>291</v>
      </c>
      <c r="H110" s="18">
        <v>344</v>
      </c>
      <c r="I110" s="18">
        <v>633</v>
      </c>
      <c r="J110" s="20" t="s">
        <v>297</v>
      </c>
      <c r="K110" s="20" t="s">
        <v>25</v>
      </c>
      <c r="L110" s="27" t="s">
        <v>26</v>
      </c>
      <c r="M110" s="27" t="s">
        <v>26</v>
      </c>
      <c r="N110" s="21">
        <v>41.035995244323701</v>
      </c>
      <c r="O110" s="10">
        <v>-77.651749466312907</v>
      </c>
      <c r="P110" s="22">
        <v>149</v>
      </c>
      <c r="Q110" s="23">
        <v>44243</v>
      </c>
      <c r="R110" s="22" t="s">
        <v>27</v>
      </c>
      <c r="S110" s="22" t="s">
        <v>34</v>
      </c>
      <c r="T110" s="24">
        <f t="shared" si="2"/>
        <v>171.20099999999999</v>
      </c>
    </row>
    <row r="111" spans="1:20" x14ac:dyDescent="0.25">
      <c r="A111" s="8">
        <v>252</v>
      </c>
      <c r="B111" s="8" t="s">
        <v>19</v>
      </c>
      <c r="C111" s="8">
        <v>2</v>
      </c>
      <c r="D111" s="8" t="s">
        <v>251</v>
      </c>
      <c r="E111" s="8" t="s">
        <v>298</v>
      </c>
      <c r="F111" s="18" t="s">
        <v>294</v>
      </c>
      <c r="G111" s="18" t="s">
        <v>291</v>
      </c>
      <c r="H111" s="18">
        <v>420</v>
      </c>
      <c r="I111" s="18">
        <v>0</v>
      </c>
      <c r="J111" s="20" t="s">
        <v>299</v>
      </c>
      <c r="K111" s="20" t="s">
        <v>25</v>
      </c>
      <c r="L111" s="27" t="s">
        <v>26</v>
      </c>
      <c r="M111" s="27" t="s">
        <v>26</v>
      </c>
      <c r="N111" s="21">
        <v>41.067158003389999</v>
      </c>
      <c r="O111" s="10">
        <v>-77.601266524316301</v>
      </c>
      <c r="P111" s="22">
        <v>603</v>
      </c>
      <c r="Q111" s="23">
        <v>44243</v>
      </c>
      <c r="R111" s="22" t="s">
        <v>27</v>
      </c>
      <c r="S111" s="22" t="s">
        <v>28</v>
      </c>
      <c r="T111" s="24">
        <f t="shared" si="2"/>
        <v>692.84699999999998</v>
      </c>
    </row>
    <row r="112" spans="1:20" x14ac:dyDescent="0.25">
      <c r="A112" s="8">
        <v>253</v>
      </c>
      <c r="B112" s="8" t="s">
        <v>19</v>
      </c>
      <c r="C112" s="8">
        <v>2</v>
      </c>
      <c r="D112" s="8" t="s">
        <v>251</v>
      </c>
      <c r="E112" s="8" t="s">
        <v>300</v>
      </c>
      <c r="F112" s="18" t="s">
        <v>301</v>
      </c>
      <c r="G112" s="18" t="s">
        <v>302</v>
      </c>
      <c r="H112" s="19">
        <v>50</v>
      </c>
      <c r="I112" s="19">
        <v>2124</v>
      </c>
      <c r="J112" s="20" t="s">
        <v>303</v>
      </c>
      <c r="K112" s="20" t="s">
        <v>57</v>
      </c>
      <c r="L112" s="27" t="s">
        <v>26</v>
      </c>
      <c r="M112" s="27" t="s">
        <v>26</v>
      </c>
      <c r="N112" s="21">
        <v>40.808898078241697</v>
      </c>
      <c r="O112" s="10">
        <v>-77.903562336472902</v>
      </c>
      <c r="P112" s="22">
        <v>2779</v>
      </c>
      <c r="Q112" s="23">
        <v>44251</v>
      </c>
      <c r="R112" s="22" t="s">
        <v>33</v>
      </c>
      <c r="S112" s="22" t="s">
        <v>34</v>
      </c>
      <c r="T112" s="24">
        <f t="shared" si="2"/>
        <v>3193.0709999999999</v>
      </c>
    </row>
    <row r="113" spans="1:20" x14ac:dyDescent="0.25">
      <c r="A113" s="8">
        <v>254</v>
      </c>
      <c r="B113" s="8" t="s">
        <v>19</v>
      </c>
      <c r="C113" s="8">
        <v>2</v>
      </c>
      <c r="D113" s="8" t="s">
        <v>251</v>
      </c>
      <c r="E113" s="8" t="s">
        <v>256</v>
      </c>
      <c r="F113" s="18" t="s">
        <v>304</v>
      </c>
      <c r="G113" s="18" t="s">
        <v>302</v>
      </c>
      <c r="H113" s="19">
        <v>120</v>
      </c>
      <c r="I113" s="19">
        <v>1079</v>
      </c>
      <c r="J113" s="20" t="s">
        <v>305</v>
      </c>
      <c r="K113" s="20" t="s">
        <v>25</v>
      </c>
      <c r="L113" s="27" t="s">
        <v>26</v>
      </c>
      <c r="M113" s="27" t="s">
        <v>26</v>
      </c>
      <c r="N113" s="21">
        <v>40.785807602238201</v>
      </c>
      <c r="O113" s="10">
        <v>-77.854509749859503</v>
      </c>
      <c r="P113" s="22">
        <v>584</v>
      </c>
      <c r="Q113" s="23">
        <v>44251</v>
      </c>
      <c r="R113" s="22" t="s">
        <v>27</v>
      </c>
      <c r="S113" s="22" t="s">
        <v>28</v>
      </c>
      <c r="T113" s="24">
        <f t="shared" si="2"/>
        <v>671.01599999999996</v>
      </c>
    </row>
    <row r="114" spans="1:20" x14ac:dyDescent="0.25">
      <c r="A114" s="8">
        <v>255</v>
      </c>
      <c r="B114" s="8" t="s">
        <v>19</v>
      </c>
      <c r="C114" s="8">
        <v>2</v>
      </c>
      <c r="D114" s="8" t="s">
        <v>251</v>
      </c>
      <c r="E114" s="8" t="s">
        <v>256</v>
      </c>
      <c r="F114" s="18" t="s">
        <v>304</v>
      </c>
      <c r="G114" s="18" t="s">
        <v>302</v>
      </c>
      <c r="H114" s="19">
        <v>130</v>
      </c>
      <c r="I114" s="19">
        <v>2058</v>
      </c>
      <c r="J114" s="20" t="s">
        <v>306</v>
      </c>
      <c r="K114" s="20" t="s">
        <v>57</v>
      </c>
      <c r="L114" s="27" t="s">
        <v>26</v>
      </c>
      <c r="M114" s="27" t="s">
        <v>26</v>
      </c>
      <c r="N114" s="21">
        <v>40.784326824864799</v>
      </c>
      <c r="O114" s="10">
        <v>-77.844637408440505</v>
      </c>
      <c r="P114" s="22">
        <v>1901</v>
      </c>
      <c r="Q114" s="23">
        <v>44251</v>
      </c>
      <c r="R114" s="22" t="s">
        <v>27</v>
      </c>
      <c r="S114" s="22" t="s">
        <v>34</v>
      </c>
      <c r="T114" s="24">
        <f t="shared" si="2"/>
        <v>2184.2490000000003</v>
      </c>
    </row>
    <row r="115" spans="1:20" x14ac:dyDescent="0.25">
      <c r="A115" s="8">
        <v>256</v>
      </c>
      <c r="B115" s="8" t="s">
        <v>19</v>
      </c>
      <c r="C115" s="8">
        <v>2</v>
      </c>
      <c r="D115" s="8" t="s">
        <v>251</v>
      </c>
      <c r="E115" s="8" t="s">
        <v>256</v>
      </c>
      <c r="F115" s="18" t="s">
        <v>307</v>
      </c>
      <c r="G115" s="18" t="s">
        <v>308</v>
      </c>
      <c r="H115" s="19">
        <v>70</v>
      </c>
      <c r="I115" s="19">
        <v>910</v>
      </c>
      <c r="J115" s="20" t="s">
        <v>309</v>
      </c>
      <c r="K115" s="20" t="s">
        <v>57</v>
      </c>
      <c r="L115" s="27" t="s">
        <v>26</v>
      </c>
      <c r="M115" s="27" t="s">
        <v>26</v>
      </c>
      <c r="N115" s="21">
        <v>40.784293594288698</v>
      </c>
      <c r="O115" s="10">
        <v>-77.836292767953097</v>
      </c>
      <c r="P115" s="22">
        <v>1085</v>
      </c>
      <c r="Q115" s="23">
        <v>44251</v>
      </c>
      <c r="R115" s="22" t="s">
        <v>27</v>
      </c>
      <c r="S115" s="22" t="s">
        <v>62</v>
      </c>
      <c r="T115" s="24">
        <f t="shared" si="2"/>
        <v>1246.665</v>
      </c>
    </row>
    <row r="116" spans="1:20" x14ac:dyDescent="0.25">
      <c r="A116" s="8">
        <v>257</v>
      </c>
      <c r="B116" s="8" t="s">
        <v>19</v>
      </c>
      <c r="C116" s="8">
        <v>2</v>
      </c>
      <c r="D116" s="8" t="s">
        <v>251</v>
      </c>
      <c r="E116" s="8" t="s">
        <v>262</v>
      </c>
      <c r="F116" s="18" t="s">
        <v>307</v>
      </c>
      <c r="G116" s="18" t="s">
        <v>310</v>
      </c>
      <c r="H116" s="19">
        <v>10</v>
      </c>
      <c r="I116" s="19">
        <v>1413</v>
      </c>
      <c r="J116" s="20" t="s">
        <v>311</v>
      </c>
      <c r="K116" s="20" t="s">
        <v>25</v>
      </c>
      <c r="L116" s="27" t="s">
        <v>26</v>
      </c>
      <c r="M116" s="27" t="s">
        <v>26</v>
      </c>
      <c r="N116" s="21">
        <v>40.8082163181883</v>
      </c>
      <c r="O116" s="10">
        <v>-77.857714615554102</v>
      </c>
      <c r="P116" s="22">
        <v>2889</v>
      </c>
      <c r="Q116" s="23">
        <v>44251</v>
      </c>
      <c r="R116" s="22" t="s">
        <v>27</v>
      </c>
      <c r="S116" s="22" t="s">
        <v>34</v>
      </c>
      <c r="T116" s="24">
        <f t="shared" si="2"/>
        <v>3319.4610000000002</v>
      </c>
    </row>
    <row r="117" spans="1:20" x14ac:dyDescent="0.25">
      <c r="A117" s="8">
        <v>287</v>
      </c>
      <c r="B117" s="8" t="s">
        <v>19</v>
      </c>
      <c r="C117" s="8">
        <v>2</v>
      </c>
      <c r="D117" s="8" t="s">
        <v>312</v>
      </c>
      <c r="E117" s="8" t="s">
        <v>313</v>
      </c>
      <c r="F117" s="18" t="s">
        <v>77</v>
      </c>
      <c r="G117" s="18" t="s">
        <v>314</v>
      </c>
      <c r="H117" s="18">
        <v>40</v>
      </c>
      <c r="I117" s="18">
        <v>2146</v>
      </c>
      <c r="J117" s="20" t="s">
        <v>315</v>
      </c>
      <c r="K117" s="20" t="s">
        <v>25</v>
      </c>
      <c r="L117" s="27" t="s">
        <v>26</v>
      </c>
      <c r="M117" s="27" t="s">
        <v>26</v>
      </c>
      <c r="N117" s="21">
        <v>40.752138938650099</v>
      </c>
      <c r="O117" s="10">
        <v>-78.534680014676596</v>
      </c>
      <c r="P117" s="22">
        <v>19</v>
      </c>
      <c r="Q117" s="23">
        <v>44259</v>
      </c>
      <c r="R117" s="22" t="s">
        <v>27</v>
      </c>
      <c r="S117" s="22" t="s">
        <v>62</v>
      </c>
      <c r="T117" s="24">
        <f t="shared" si="2"/>
        <v>21.831</v>
      </c>
    </row>
    <row r="118" spans="1:20" x14ac:dyDescent="0.25">
      <c r="A118" s="8">
        <v>288</v>
      </c>
      <c r="B118" s="8" t="s">
        <v>19</v>
      </c>
      <c r="C118" s="8">
        <v>2</v>
      </c>
      <c r="D118" s="8" t="s">
        <v>312</v>
      </c>
      <c r="E118" s="8" t="s">
        <v>316</v>
      </c>
      <c r="F118" s="18" t="s">
        <v>317</v>
      </c>
      <c r="G118" s="18" t="s">
        <v>314</v>
      </c>
      <c r="H118" s="18">
        <v>50</v>
      </c>
      <c r="I118" s="18">
        <v>912</v>
      </c>
      <c r="J118" s="20" t="s">
        <v>318</v>
      </c>
      <c r="K118" s="20" t="s">
        <v>25</v>
      </c>
      <c r="L118" s="27" t="s">
        <v>26</v>
      </c>
      <c r="M118" s="27" t="s">
        <v>26</v>
      </c>
      <c r="N118" s="21">
        <v>40.755209789445701</v>
      </c>
      <c r="O118" s="10">
        <v>-78.533628363560794</v>
      </c>
      <c r="P118" s="22">
        <v>112</v>
      </c>
      <c r="Q118" s="23">
        <v>44259</v>
      </c>
      <c r="R118" s="22" t="s">
        <v>27</v>
      </c>
      <c r="S118" s="22" t="s">
        <v>34</v>
      </c>
      <c r="T118" s="24">
        <f t="shared" si="2"/>
        <v>128.68799999999999</v>
      </c>
    </row>
    <row r="119" spans="1:20" x14ac:dyDescent="0.25">
      <c r="A119" s="8">
        <v>289</v>
      </c>
      <c r="B119" s="8" t="s">
        <v>19</v>
      </c>
      <c r="C119" s="8">
        <v>2</v>
      </c>
      <c r="D119" s="8" t="s">
        <v>312</v>
      </c>
      <c r="E119" s="8" t="s">
        <v>319</v>
      </c>
      <c r="F119" s="18" t="s">
        <v>320</v>
      </c>
      <c r="G119" s="18" t="s">
        <v>314</v>
      </c>
      <c r="H119" s="18">
        <v>320</v>
      </c>
      <c r="I119" s="18">
        <v>0</v>
      </c>
      <c r="J119" s="20" t="s">
        <v>321</v>
      </c>
      <c r="K119" s="20" t="s">
        <v>25</v>
      </c>
      <c r="L119" s="27" t="s">
        <v>26</v>
      </c>
      <c r="M119" s="27" t="s">
        <v>26</v>
      </c>
      <c r="N119" s="21">
        <v>40.830901678570903</v>
      </c>
      <c r="O119" s="10">
        <v>-78.400394655123193</v>
      </c>
      <c r="P119" s="22">
        <v>20</v>
      </c>
      <c r="Q119" s="23">
        <v>44259</v>
      </c>
      <c r="R119" s="22" t="s">
        <v>27</v>
      </c>
      <c r="S119" s="22" t="s">
        <v>34</v>
      </c>
      <c r="T119" s="24">
        <f t="shared" si="2"/>
        <v>22.98</v>
      </c>
    </row>
    <row r="120" spans="1:20" x14ac:dyDescent="0.25">
      <c r="A120" s="8">
        <v>290</v>
      </c>
      <c r="B120" s="8" t="s">
        <v>19</v>
      </c>
      <c r="C120" s="8">
        <v>2</v>
      </c>
      <c r="D120" s="8" t="s">
        <v>312</v>
      </c>
      <c r="E120" s="8" t="s">
        <v>322</v>
      </c>
      <c r="F120" s="18" t="s">
        <v>323</v>
      </c>
      <c r="G120" s="18" t="s">
        <v>314</v>
      </c>
      <c r="H120" s="19">
        <v>610</v>
      </c>
      <c r="I120" s="19">
        <v>755</v>
      </c>
      <c r="J120" s="20" t="s">
        <v>324</v>
      </c>
      <c r="K120" s="20" t="s">
        <v>25</v>
      </c>
      <c r="L120" s="27" t="s">
        <v>26</v>
      </c>
      <c r="M120" s="27" t="s">
        <v>26</v>
      </c>
      <c r="N120" s="21">
        <v>40.914823694461099</v>
      </c>
      <c r="O120" s="10">
        <v>-78.215906853947601</v>
      </c>
      <c r="P120" s="22">
        <v>61</v>
      </c>
      <c r="Q120" s="23">
        <v>44251</v>
      </c>
      <c r="R120" s="22" t="s">
        <v>27</v>
      </c>
      <c r="S120" s="22" t="s">
        <v>34</v>
      </c>
      <c r="T120" s="24">
        <f t="shared" si="2"/>
        <v>70.088999999999999</v>
      </c>
    </row>
    <row r="121" spans="1:20" x14ac:dyDescent="0.25">
      <c r="A121" s="8">
        <v>291</v>
      </c>
      <c r="B121" s="8" t="s">
        <v>19</v>
      </c>
      <c r="C121" s="8">
        <v>2</v>
      </c>
      <c r="D121" s="8" t="s">
        <v>312</v>
      </c>
      <c r="E121" s="8" t="s">
        <v>325</v>
      </c>
      <c r="F121" s="18" t="s">
        <v>326</v>
      </c>
      <c r="G121" s="18" t="s">
        <v>327</v>
      </c>
      <c r="H121" s="18">
        <v>50</v>
      </c>
      <c r="I121" s="18">
        <v>428</v>
      </c>
      <c r="J121" s="20" t="s">
        <v>328</v>
      </c>
      <c r="K121" s="20" t="s">
        <v>57</v>
      </c>
      <c r="L121" s="27" t="s">
        <v>26</v>
      </c>
      <c r="M121" s="27" t="s">
        <v>26</v>
      </c>
      <c r="N121" s="21">
        <v>41.083347029524397</v>
      </c>
      <c r="O121" s="10">
        <v>-78.783727131505103</v>
      </c>
      <c r="P121" s="22">
        <v>1340</v>
      </c>
      <c r="Q121" s="23">
        <v>44263</v>
      </c>
      <c r="R121" s="22" t="s">
        <v>33</v>
      </c>
      <c r="S121" s="22" t="s">
        <v>38</v>
      </c>
      <c r="T121" s="24">
        <f t="shared" si="2"/>
        <v>1539.66</v>
      </c>
    </row>
    <row r="122" spans="1:20" x14ac:dyDescent="0.25">
      <c r="A122" s="8">
        <v>292</v>
      </c>
      <c r="B122" s="8" t="s">
        <v>19</v>
      </c>
      <c r="C122" s="8">
        <v>2</v>
      </c>
      <c r="D122" s="8" t="s">
        <v>312</v>
      </c>
      <c r="E122" s="8" t="s">
        <v>329</v>
      </c>
      <c r="F122" s="18" t="s">
        <v>330</v>
      </c>
      <c r="G122" s="18" t="s">
        <v>331</v>
      </c>
      <c r="H122" s="18">
        <v>320</v>
      </c>
      <c r="I122" s="18">
        <v>950</v>
      </c>
      <c r="J122" s="20" t="s">
        <v>332</v>
      </c>
      <c r="K122" s="20" t="s">
        <v>25</v>
      </c>
      <c r="L122" s="27" t="s">
        <v>26</v>
      </c>
      <c r="M122" s="27" t="s">
        <v>26</v>
      </c>
      <c r="N122" s="21">
        <v>40.993912150905203</v>
      </c>
      <c r="O122" s="10">
        <v>-78.415757103034693</v>
      </c>
      <c r="P122" s="22">
        <v>1</v>
      </c>
      <c r="Q122" s="23">
        <v>44263</v>
      </c>
      <c r="R122" s="22" t="s">
        <v>33</v>
      </c>
      <c r="S122" s="22" t="s">
        <v>28</v>
      </c>
      <c r="T122" s="24">
        <f t="shared" si="2"/>
        <v>1.149</v>
      </c>
    </row>
    <row r="123" spans="1:20" x14ac:dyDescent="0.25">
      <c r="A123" s="8">
        <v>293</v>
      </c>
      <c r="B123" s="8" t="s">
        <v>19</v>
      </c>
      <c r="C123" s="8">
        <v>2</v>
      </c>
      <c r="D123" s="8" t="s">
        <v>312</v>
      </c>
      <c r="E123" s="8" t="s">
        <v>329</v>
      </c>
      <c r="F123" s="18" t="s">
        <v>330</v>
      </c>
      <c r="G123" s="18" t="s">
        <v>331</v>
      </c>
      <c r="H123" s="18">
        <v>330</v>
      </c>
      <c r="I123" s="18">
        <v>2503</v>
      </c>
      <c r="J123" s="20" t="s">
        <v>333</v>
      </c>
      <c r="K123" s="20" t="s">
        <v>25</v>
      </c>
      <c r="L123" s="27" t="s">
        <v>26</v>
      </c>
      <c r="M123" s="27" t="s">
        <v>26</v>
      </c>
      <c r="N123" s="21">
        <v>41.003100261052097</v>
      </c>
      <c r="O123" s="10">
        <v>-78.423010256508704</v>
      </c>
      <c r="P123" s="22">
        <v>309</v>
      </c>
      <c r="Q123" s="23">
        <v>44259</v>
      </c>
      <c r="R123" s="22" t="s">
        <v>27</v>
      </c>
      <c r="S123" s="22" t="s">
        <v>38</v>
      </c>
      <c r="T123" s="24">
        <f t="shared" si="2"/>
        <v>355.041</v>
      </c>
    </row>
    <row r="124" spans="1:20" x14ac:dyDescent="0.25">
      <c r="A124" s="8">
        <v>294</v>
      </c>
      <c r="B124" s="8" t="s">
        <v>19</v>
      </c>
      <c r="C124" s="8">
        <v>2</v>
      </c>
      <c r="D124" s="8" t="s">
        <v>312</v>
      </c>
      <c r="E124" s="8" t="s">
        <v>334</v>
      </c>
      <c r="F124" s="18" t="s">
        <v>320</v>
      </c>
      <c r="G124" s="18" t="s">
        <v>331</v>
      </c>
      <c r="H124" s="19">
        <v>401</v>
      </c>
      <c r="I124" s="19">
        <v>845</v>
      </c>
      <c r="J124" s="20" t="s">
        <v>335</v>
      </c>
      <c r="K124" s="20" t="s">
        <v>25</v>
      </c>
      <c r="L124" s="27" t="s">
        <v>26</v>
      </c>
      <c r="M124" s="27" t="s">
        <v>26</v>
      </c>
      <c r="N124" s="21">
        <v>41.024504591050103</v>
      </c>
      <c r="O124" s="10">
        <v>-78.439765146661898</v>
      </c>
      <c r="P124" s="22">
        <v>358</v>
      </c>
      <c r="Q124" s="23">
        <v>44259</v>
      </c>
      <c r="R124" s="22" t="s">
        <v>27</v>
      </c>
      <c r="S124" s="22" t="s">
        <v>38</v>
      </c>
      <c r="T124" s="24">
        <f t="shared" si="2"/>
        <v>411.34199999999998</v>
      </c>
    </row>
    <row r="125" spans="1:20" x14ac:dyDescent="0.25">
      <c r="A125" s="8">
        <v>295</v>
      </c>
      <c r="B125" s="8" t="s">
        <v>19</v>
      </c>
      <c r="C125" s="8">
        <v>2</v>
      </c>
      <c r="D125" s="8" t="s">
        <v>312</v>
      </c>
      <c r="E125" s="8" t="s">
        <v>336</v>
      </c>
      <c r="F125" s="18" t="s">
        <v>337</v>
      </c>
      <c r="G125" s="18" t="s">
        <v>338</v>
      </c>
      <c r="H125" s="19">
        <v>880</v>
      </c>
      <c r="I125" s="19">
        <v>853</v>
      </c>
      <c r="J125" s="20" t="s">
        <v>339</v>
      </c>
      <c r="K125" s="20" t="s">
        <v>25</v>
      </c>
      <c r="L125" s="27" t="s">
        <v>26</v>
      </c>
      <c r="M125" s="27" t="s">
        <v>26</v>
      </c>
      <c r="N125" s="21">
        <v>41.1280546023279</v>
      </c>
      <c r="O125" s="10">
        <v>-78.757898047342195</v>
      </c>
      <c r="P125" s="22">
        <v>3946</v>
      </c>
      <c r="Q125" s="23">
        <v>44258</v>
      </c>
      <c r="R125" s="22" t="s">
        <v>27</v>
      </c>
      <c r="S125" s="22" t="s">
        <v>62</v>
      </c>
      <c r="T125" s="24">
        <f t="shared" si="2"/>
        <v>4533.9539999999997</v>
      </c>
    </row>
    <row r="126" spans="1:20" x14ac:dyDescent="0.25">
      <c r="A126" s="8">
        <v>296</v>
      </c>
      <c r="B126" s="8" t="s">
        <v>19</v>
      </c>
      <c r="C126" s="8">
        <v>2</v>
      </c>
      <c r="D126" s="8" t="s">
        <v>312</v>
      </c>
      <c r="E126" s="8" t="s">
        <v>336</v>
      </c>
      <c r="F126" s="18" t="s">
        <v>340</v>
      </c>
      <c r="G126" s="18" t="s">
        <v>341</v>
      </c>
      <c r="H126" s="19">
        <v>10</v>
      </c>
      <c r="I126" s="19">
        <v>553</v>
      </c>
      <c r="J126" s="20" t="s">
        <v>342</v>
      </c>
      <c r="K126" s="20" t="s">
        <v>25</v>
      </c>
      <c r="L126" s="27" t="s">
        <v>26</v>
      </c>
      <c r="M126" s="27" t="s">
        <v>26</v>
      </c>
      <c r="N126" s="21">
        <v>41.126791923408902</v>
      </c>
      <c r="O126" s="10">
        <v>-78.753117721705195</v>
      </c>
      <c r="P126" s="22">
        <v>660</v>
      </c>
      <c r="Q126" s="23">
        <v>44258</v>
      </c>
      <c r="R126" s="22" t="s">
        <v>27</v>
      </c>
      <c r="S126" s="22" t="s">
        <v>38</v>
      </c>
      <c r="T126" s="24">
        <f t="shared" si="2"/>
        <v>758.34</v>
      </c>
    </row>
    <row r="127" spans="1:20" x14ac:dyDescent="0.25">
      <c r="A127" s="8">
        <v>297</v>
      </c>
      <c r="B127" s="8" t="s">
        <v>19</v>
      </c>
      <c r="C127" s="8">
        <v>2</v>
      </c>
      <c r="D127" s="8" t="s">
        <v>312</v>
      </c>
      <c r="E127" s="8" t="s">
        <v>325</v>
      </c>
      <c r="F127" s="18" t="s">
        <v>343</v>
      </c>
      <c r="G127" s="18" t="s">
        <v>341</v>
      </c>
      <c r="H127" s="19">
        <v>40</v>
      </c>
      <c r="I127" s="19">
        <v>1226</v>
      </c>
      <c r="J127" s="20" t="s">
        <v>264</v>
      </c>
      <c r="K127" s="20" t="s">
        <v>264</v>
      </c>
      <c r="L127" s="27" t="s">
        <v>26</v>
      </c>
      <c r="M127" s="27" t="s">
        <v>26</v>
      </c>
      <c r="N127" s="21">
        <v>41.122585077964501</v>
      </c>
      <c r="O127" s="10">
        <v>-78.724841477503304</v>
      </c>
      <c r="P127" s="22">
        <v>1515</v>
      </c>
      <c r="Q127" s="23">
        <v>44264</v>
      </c>
      <c r="R127" s="22" t="s">
        <v>33</v>
      </c>
      <c r="S127" s="22" t="s">
        <v>28</v>
      </c>
      <c r="T127" s="24">
        <f t="shared" si="2"/>
        <v>1740.7350000000001</v>
      </c>
    </row>
    <row r="128" spans="1:20" x14ac:dyDescent="0.25">
      <c r="A128" s="8">
        <v>298</v>
      </c>
      <c r="B128" s="8" t="s">
        <v>19</v>
      </c>
      <c r="C128" s="8">
        <v>2</v>
      </c>
      <c r="D128" s="8" t="s">
        <v>312</v>
      </c>
      <c r="E128" s="8" t="s">
        <v>325</v>
      </c>
      <c r="F128" s="18" t="s">
        <v>343</v>
      </c>
      <c r="G128" s="18" t="s">
        <v>341</v>
      </c>
      <c r="H128" s="18">
        <v>50</v>
      </c>
      <c r="I128" s="18">
        <v>989</v>
      </c>
      <c r="J128" s="20" t="s">
        <v>344</v>
      </c>
      <c r="K128" s="20" t="s">
        <v>25</v>
      </c>
      <c r="L128" s="27" t="s">
        <v>26</v>
      </c>
      <c r="M128" s="27" t="s">
        <v>26</v>
      </c>
      <c r="N128" s="21">
        <v>41.125030387199402</v>
      </c>
      <c r="O128" s="10">
        <v>-78.716292612035303</v>
      </c>
      <c r="P128" s="22">
        <v>38</v>
      </c>
      <c r="Q128" s="23">
        <v>44258</v>
      </c>
      <c r="R128" s="22" t="s">
        <v>27</v>
      </c>
      <c r="S128" s="22" t="s">
        <v>34</v>
      </c>
      <c r="T128" s="24">
        <f t="shared" si="2"/>
        <v>43.661999999999999</v>
      </c>
    </row>
    <row r="129" spans="1:20" x14ac:dyDescent="0.25">
      <c r="A129" s="8">
        <v>299</v>
      </c>
      <c r="B129" s="8" t="s">
        <v>19</v>
      </c>
      <c r="C129" s="8">
        <v>2</v>
      </c>
      <c r="D129" s="8" t="s">
        <v>312</v>
      </c>
      <c r="E129" s="8" t="s">
        <v>325</v>
      </c>
      <c r="F129" s="18" t="s">
        <v>343</v>
      </c>
      <c r="G129" s="18" t="s">
        <v>341</v>
      </c>
      <c r="H129" s="18">
        <v>70</v>
      </c>
      <c r="I129" s="18">
        <v>2227</v>
      </c>
      <c r="J129" s="20" t="s">
        <v>345</v>
      </c>
      <c r="K129" s="20" t="s">
        <v>25</v>
      </c>
      <c r="L129" s="27" t="s">
        <v>26</v>
      </c>
      <c r="M129" s="27" t="s">
        <v>26</v>
      </c>
      <c r="N129" s="21">
        <v>41.136122928165101</v>
      </c>
      <c r="O129" s="10">
        <v>-78.697458621985604</v>
      </c>
      <c r="P129" s="22">
        <v>6160</v>
      </c>
      <c r="Q129" s="23">
        <v>44258</v>
      </c>
      <c r="R129" s="22" t="s">
        <v>27</v>
      </c>
      <c r="S129" s="22" t="s">
        <v>34</v>
      </c>
      <c r="T129" s="24">
        <f t="shared" si="2"/>
        <v>7077.84</v>
      </c>
    </row>
    <row r="130" spans="1:20" x14ac:dyDescent="0.25">
      <c r="A130" s="8">
        <v>300</v>
      </c>
      <c r="B130" s="8" t="s">
        <v>19</v>
      </c>
      <c r="C130" s="8">
        <v>2</v>
      </c>
      <c r="D130" s="8" t="s">
        <v>312</v>
      </c>
      <c r="E130" s="8" t="s">
        <v>334</v>
      </c>
      <c r="F130" s="18" t="s">
        <v>346</v>
      </c>
      <c r="G130" s="18" t="s">
        <v>75</v>
      </c>
      <c r="H130" s="19">
        <v>440</v>
      </c>
      <c r="I130" s="19">
        <v>487</v>
      </c>
      <c r="J130" s="20" t="s">
        <v>347</v>
      </c>
      <c r="K130" s="20" t="s">
        <v>25</v>
      </c>
      <c r="L130" s="27" t="s">
        <v>26</v>
      </c>
      <c r="M130" s="27" t="s">
        <v>26</v>
      </c>
      <c r="N130" s="21">
        <v>41.026364755986201</v>
      </c>
      <c r="O130" s="10">
        <v>-78.436583323055402</v>
      </c>
      <c r="P130" s="22">
        <v>4083</v>
      </c>
      <c r="Q130" s="23">
        <v>44258</v>
      </c>
      <c r="R130" s="22" t="s">
        <v>27</v>
      </c>
      <c r="S130" s="22" t="s">
        <v>28</v>
      </c>
      <c r="T130" s="24">
        <f t="shared" si="2"/>
        <v>4691.3670000000002</v>
      </c>
    </row>
    <row r="131" spans="1:20" x14ac:dyDescent="0.25">
      <c r="A131" s="8">
        <v>301</v>
      </c>
      <c r="B131" s="8" t="s">
        <v>19</v>
      </c>
      <c r="C131" s="8">
        <v>2</v>
      </c>
      <c r="D131" s="8" t="s">
        <v>312</v>
      </c>
      <c r="E131" s="8" t="s">
        <v>329</v>
      </c>
      <c r="F131" s="18" t="s">
        <v>348</v>
      </c>
      <c r="G131" s="18" t="s">
        <v>75</v>
      </c>
      <c r="H131" s="19">
        <v>472</v>
      </c>
      <c r="I131" s="19">
        <v>560</v>
      </c>
      <c r="J131" s="20" t="s">
        <v>349</v>
      </c>
      <c r="K131" s="20" t="s">
        <v>25</v>
      </c>
      <c r="L131" s="27" t="s">
        <v>26</v>
      </c>
      <c r="M131" s="27" t="s">
        <v>26</v>
      </c>
      <c r="N131" s="21">
        <v>41.021954302967302</v>
      </c>
      <c r="O131" s="10">
        <v>-78.413876364653305</v>
      </c>
      <c r="P131" s="22">
        <v>412</v>
      </c>
      <c r="Q131" s="23">
        <v>44258</v>
      </c>
      <c r="R131" s="22" t="s">
        <v>27</v>
      </c>
      <c r="S131" s="22" t="s">
        <v>28</v>
      </c>
      <c r="T131" s="24">
        <f t="shared" si="2"/>
        <v>473.38800000000003</v>
      </c>
    </row>
    <row r="132" spans="1:20" x14ac:dyDescent="0.25">
      <c r="A132" s="8">
        <v>302</v>
      </c>
      <c r="B132" s="8" t="s">
        <v>19</v>
      </c>
      <c r="C132" s="8">
        <v>2</v>
      </c>
      <c r="D132" s="8" t="s">
        <v>312</v>
      </c>
      <c r="E132" s="8" t="s">
        <v>350</v>
      </c>
      <c r="F132" s="18" t="s">
        <v>348</v>
      </c>
      <c r="G132" s="18" t="s">
        <v>75</v>
      </c>
      <c r="H132" s="18">
        <v>600</v>
      </c>
      <c r="I132" s="18">
        <v>0</v>
      </c>
      <c r="J132" s="20" t="s">
        <v>351</v>
      </c>
      <c r="K132" s="20" t="s">
        <v>25</v>
      </c>
      <c r="L132" s="27" t="s">
        <v>26</v>
      </c>
      <c r="M132" s="27" t="s">
        <v>26</v>
      </c>
      <c r="N132" s="21">
        <v>40.999043106505198</v>
      </c>
      <c r="O132" s="10">
        <v>-78.323721192648804</v>
      </c>
      <c r="P132" s="22">
        <v>10</v>
      </c>
      <c r="Q132" s="23">
        <v>44251</v>
      </c>
      <c r="R132" s="22" t="s">
        <v>27</v>
      </c>
      <c r="S132" s="22" t="s">
        <v>34</v>
      </c>
      <c r="T132" s="24">
        <f t="shared" si="2"/>
        <v>11.49</v>
      </c>
    </row>
    <row r="133" spans="1:20" x14ac:dyDescent="0.25">
      <c r="A133" s="8">
        <v>303</v>
      </c>
      <c r="B133" s="8" t="s">
        <v>19</v>
      </c>
      <c r="C133" s="8">
        <v>2</v>
      </c>
      <c r="D133" s="8" t="s">
        <v>312</v>
      </c>
      <c r="E133" s="8" t="s">
        <v>352</v>
      </c>
      <c r="F133" s="18" t="s">
        <v>348</v>
      </c>
      <c r="G133" s="18" t="s">
        <v>75</v>
      </c>
      <c r="H133" s="19">
        <v>774</v>
      </c>
      <c r="I133" s="19">
        <v>0</v>
      </c>
      <c r="J133" s="20" t="s">
        <v>353</v>
      </c>
      <c r="K133" s="20" t="s">
        <v>25</v>
      </c>
      <c r="L133" s="27" t="s">
        <v>26</v>
      </c>
      <c r="M133" s="27" t="s">
        <v>26</v>
      </c>
      <c r="N133" s="21">
        <v>40.904274788411101</v>
      </c>
      <c r="O133" s="10">
        <v>-78.233366019189802</v>
      </c>
      <c r="P133" s="22">
        <v>3497</v>
      </c>
      <c r="Q133" s="23">
        <v>44252</v>
      </c>
      <c r="R133" s="22" t="s">
        <v>27</v>
      </c>
      <c r="S133" s="22" t="s">
        <v>28</v>
      </c>
      <c r="T133" s="24">
        <f t="shared" si="2"/>
        <v>4018.0529999999999</v>
      </c>
    </row>
    <row r="134" spans="1:20" x14ac:dyDescent="0.25">
      <c r="A134" s="8">
        <v>304</v>
      </c>
      <c r="B134" s="8" t="s">
        <v>19</v>
      </c>
      <c r="C134" s="8">
        <v>2</v>
      </c>
      <c r="D134" s="8" t="s">
        <v>312</v>
      </c>
      <c r="E134" s="8" t="s">
        <v>329</v>
      </c>
      <c r="F134" s="18" t="s">
        <v>354</v>
      </c>
      <c r="G134" s="18" t="s">
        <v>355</v>
      </c>
      <c r="H134" s="18">
        <v>340</v>
      </c>
      <c r="I134" s="18">
        <v>210</v>
      </c>
      <c r="J134" s="20" t="s">
        <v>356</v>
      </c>
      <c r="K134" s="20" t="s">
        <v>357</v>
      </c>
      <c r="L134" s="27" t="s">
        <v>26</v>
      </c>
      <c r="M134" s="27" t="s">
        <v>26</v>
      </c>
      <c r="N134" s="21">
        <v>41.034146474083101</v>
      </c>
      <c r="O134" s="10">
        <v>-78.403250470596205</v>
      </c>
      <c r="P134" s="22">
        <v>6017</v>
      </c>
      <c r="Q134" s="23">
        <v>44263</v>
      </c>
      <c r="R134" s="22" t="s">
        <v>33</v>
      </c>
      <c r="S134" s="22" t="s">
        <v>38</v>
      </c>
      <c r="T134" s="24">
        <f t="shared" si="2"/>
        <v>6913.5330000000004</v>
      </c>
    </row>
    <row r="135" spans="1:20" x14ac:dyDescent="0.25">
      <c r="A135" s="8">
        <v>305</v>
      </c>
      <c r="B135" s="8" t="s">
        <v>19</v>
      </c>
      <c r="C135" s="8">
        <v>2</v>
      </c>
      <c r="D135" s="8" t="s">
        <v>312</v>
      </c>
      <c r="E135" s="8" t="s">
        <v>350</v>
      </c>
      <c r="F135" s="18" t="s">
        <v>358</v>
      </c>
      <c r="G135" s="18" t="s">
        <v>359</v>
      </c>
      <c r="H135" s="18">
        <v>12</v>
      </c>
      <c r="I135" s="18">
        <v>2967</v>
      </c>
      <c r="J135" s="20" t="s">
        <v>360</v>
      </c>
      <c r="K135" s="20" t="s">
        <v>25</v>
      </c>
      <c r="L135" s="27" t="s">
        <v>26</v>
      </c>
      <c r="M135" s="27" t="s">
        <v>26</v>
      </c>
      <c r="N135" s="21">
        <v>41.008040977946102</v>
      </c>
      <c r="O135" s="10">
        <v>-78.347631131579703</v>
      </c>
      <c r="P135" s="22">
        <v>2363</v>
      </c>
      <c r="Q135" s="23">
        <v>44252</v>
      </c>
      <c r="R135" s="22" t="s">
        <v>27</v>
      </c>
      <c r="S135" s="22" t="s">
        <v>62</v>
      </c>
      <c r="T135" s="24">
        <f t="shared" si="2"/>
        <v>2715.087</v>
      </c>
    </row>
    <row r="136" spans="1:20" x14ac:dyDescent="0.25">
      <c r="A136" s="8">
        <v>306</v>
      </c>
      <c r="B136" s="8" t="s">
        <v>19</v>
      </c>
      <c r="C136" s="8">
        <v>2</v>
      </c>
      <c r="D136" s="8" t="s">
        <v>312</v>
      </c>
      <c r="E136" s="8" t="s">
        <v>329</v>
      </c>
      <c r="F136" s="18" t="s">
        <v>361</v>
      </c>
      <c r="G136" s="18" t="s">
        <v>84</v>
      </c>
      <c r="H136" s="19">
        <v>50</v>
      </c>
      <c r="I136" s="19">
        <v>857</v>
      </c>
      <c r="J136" s="20" t="s">
        <v>362</v>
      </c>
      <c r="K136" s="20" t="s">
        <v>25</v>
      </c>
      <c r="L136" s="27" t="s">
        <v>26</v>
      </c>
      <c r="M136" s="27" t="s">
        <v>26</v>
      </c>
      <c r="N136" s="21">
        <v>41.004763425038</v>
      </c>
      <c r="O136" s="10">
        <v>-78.461383549933899</v>
      </c>
      <c r="P136" s="22">
        <v>823</v>
      </c>
      <c r="Q136" s="23">
        <v>44259</v>
      </c>
      <c r="R136" s="22" t="s">
        <v>27</v>
      </c>
      <c r="S136" s="22" t="s">
        <v>62</v>
      </c>
      <c r="T136" s="24">
        <f t="shared" si="2"/>
        <v>945.62700000000007</v>
      </c>
    </row>
    <row r="137" spans="1:20" x14ac:dyDescent="0.25">
      <c r="A137" s="8">
        <v>307</v>
      </c>
      <c r="B137" s="8" t="s">
        <v>19</v>
      </c>
      <c r="C137" s="8">
        <v>2</v>
      </c>
      <c r="D137" s="8" t="s">
        <v>312</v>
      </c>
      <c r="E137" s="8" t="s">
        <v>329</v>
      </c>
      <c r="F137" s="18" t="s">
        <v>363</v>
      </c>
      <c r="G137" s="18" t="s">
        <v>84</v>
      </c>
      <c r="H137" s="19">
        <v>80</v>
      </c>
      <c r="I137" s="19">
        <v>1014</v>
      </c>
      <c r="J137" s="20" t="s">
        <v>364</v>
      </c>
      <c r="K137" s="20" t="s">
        <v>25</v>
      </c>
      <c r="L137" s="27" t="s">
        <v>26</v>
      </c>
      <c r="M137" s="27" t="s">
        <v>26</v>
      </c>
      <c r="N137" s="21">
        <v>41.006232781639099</v>
      </c>
      <c r="O137" s="10">
        <v>-78.453864425365495</v>
      </c>
      <c r="P137" s="22">
        <v>327</v>
      </c>
      <c r="Q137" s="23">
        <v>44259</v>
      </c>
      <c r="R137" s="22" t="s">
        <v>27</v>
      </c>
      <c r="S137" s="22" t="s">
        <v>28</v>
      </c>
      <c r="T137" s="24">
        <f t="shared" si="2"/>
        <v>375.72300000000001</v>
      </c>
    </row>
    <row r="138" spans="1:20" x14ac:dyDescent="0.25">
      <c r="A138" s="8">
        <v>308</v>
      </c>
      <c r="B138" s="8" t="s">
        <v>19</v>
      </c>
      <c r="C138" s="8">
        <v>2</v>
      </c>
      <c r="D138" s="8" t="s">
        <v>312</v>
      </c>
      <c r="E138" s="8" t="s">
        <v>334</v>
      </c>
      <c r="F138" s="18" t="s">
        <v>348</v>
      </c>
      <c r="G138" s="18" t="s">
        <v>89</v>
      </c>
      <c r="H138" s="19">
        <v>80</v>
      </c>
      <c r="I138" s="19">
        <v>0</v>
      </c>
      <c r="J138" s="20" t="s">
        <v>365</v>
      </c>
      <c r="K138" s="20" t="s">
        <v>25</v>
      </c>
      <c r="L138" s="27" t="s">
        <v>26</v>
      </c>
      <c r="M138" s="27" t="s">
        <v>26</v>
      </c>
      <c r="N138" s="21">
        <v>41.022105353462102</v>
      </c>
      <c r="O138" s="10">
        <v>-78.432496704589397</v>
      </c>
      <c r="P138" s="22">
        <v>708</v>
      </c>
      <c r="Q138" s="23">
        <v>44259</v>
      </c>
      <c r="R138" s="22" t="s">
        <v>27</v>
      </c>
      <c r="S138" s="22" t="s">
        <v>28</v>
      </c>
      <c r="T138" s="24">
        <f t="shared" si="2"/>
        <v>813.49199999999996</v>
      </c>
    </row>
    <row r="139" spans="1:20" x14ac:dyDescent="0.25">
      <c r="A139" s="8">
        <v>309</v>
      </c>
      <c r="B139" s="8" t="s">
        <v>19</v>
      </c>
      <c r="C139" s="8">
        <v>2</v>
      </c>
      <c r="D139" s="8" t="s">
        <v>312</v>
      </c>
      <c r="E139" s="8" t="s">
        <v>329</v>
      </c>
      <c r="F139" s="18" t="s">
        <v>366</v>
      </c>
      <c r="G139" s="18" t="s">
        <v>367</v>
      </c>
      <c r="H139" s="18">
        <v>130</v>
      </c>
      <c r="I139" s="18">
        <v>0</v>
      </c>
      <c r="J139" s="20" t="s">
        <v>368</v>
      </c>
      <c r="K139" s="20" t="s">
        <v>25</v>
      </c>
      <c r="L139" s="27" t="s">
        <v>26</v>
      </c>
      <c r="M139" s="27" t="s">
        <v>26</v>
      </c>
      <c r="N139" s="21">
        <v>40.984326184824802</v>
      </c>
      <c r="O139" s="10">
        <v>-78.445432219203596</v>
      </c>
      <c r="P139" s="22">
        <v>98</v>
      </c>
      <c r="Q139" s="23">
        <v>44259</v>
      </c>
      <c r="R139" s="22" t="s">
        <v>27</v>
      </c>
      <c r="S139" s="22" t="s">
        <v>38</v>
      </c>
      <c r="T139" s="24">
        <f t="shared" si="2"/>
        <v>112.602</v>
      </c>
    </row>
    <row r="140" spans="1:20" x14ac:dyDescent="0.25">
      <c r="A140" s="8">
        <v>310</v>
      </c>
      <c r="B140" s="8" t="s">
        <v>19</v>
      </c>
      <c r="C140" s="8">
        <v>2</v>
      </c>
      <c r="D140" s="8" t="s">
        <v>369</v>
      </c>
      <c r="E140" s="8" t="s">
        <v>370</v>
      </c>
      <c r="F140" s="18" t="s">
        <v>371</v>
      </c>
      <c r="G140" s="18" t="s">
        <v>278</v>
      </c>
      <c r="H140" s="18">
        <v>80</v>
      </c>
      <c r="I140" s="18">
        <v>0</v>
      </c>
      <c r="J140" s="20" t="s">
        <v>372</v>
      </c>
      <c r="K140" s="20" t="s">
        <v>25</v>
      </c>
      <c r="L140" s="27" t="s">
        <v>26</v>
      </c>
      <c r="M140" s="27" t="s">
        <v>26</v>
      </c>
      <c r="N140" s="21">
        <v>41.0435940101301</v>
      </c>
      <c r="O140" s="10">
        <v>-77.507984788781897</v>
      </c>
      <c r="P140" s="22">
        <v>182</v>
      </c>
      <c r="Q140" s="23">
        <v>44243</v>
      </c>
      <c r="R140" s="22" t="s">
        <v>27</v>
      </c>
      <c r="S140" s="22" t="s">
        <v>34</v>
      </c>
      <c r="T140" s="24">
        <f t="shared" si="2"/>
        <v>209.11799999999999</v>
      </c>
    </row>
    <row r="141" spans="1:20" x14ac:dyDescent="0.25">
      <c r="A141" s="8">
        <v>311</v>
      </c>
      <c r="B141" s="8" t="s">
        <v>19</v>
      </c>
      <c r="C141" s="8">
        <v>2</v>
      </c>
      <c r="D141" s="8" t="s">
        <v>369</v>
      </c>
      <c r="E141" s="8" t="s">
        <v>373</v>
      </c>
      <c r="F141" s="18" t="s">
        <v>22</v>
      </c>
      <c r="G141" s="18" t="s">
        <v>278</v>
      </c>
      <c r="H141" s="19">
        <v>180</v>
      </c>
      <c r="I141" s="19">
        <v>1480</v>
      </c>
      <c r="J141" s="20" t="s">
        <v>374</v>
      </c>
      <c r="K141" s="20" t="s">
        <v>25</v>
      </c>
      <c r="L141" s="27" t="s">
        <v>26</v>
      </c>
      <c r="M141" s="27" t="s">
        <v>26</v>
      </c>
      <c r="N141" s="21">
        <v>41.104857167328497</v>
      </c>
      <c r="O141" s="10">
        <v>-77.487402077958194</v>
      </c>
      <c r="P141" s="22">
        <v>612</v>
      </c>
      <c r="Q141" s="23">
        <v>44243</v>
      </c>
      <c r="R141" s="22" t="s">
        <v>27</v>
      </c>
      <c r="S141" s="22" t="s">
        <v>62</v>
      </c>
      <c r="T141" s="24">
        <f t="shared" si="2"/>
        <v>703.18799999999999</v>
      </c>
    </row>
    <row r="142" spans="1:20" x14ac:dyDescent="0.25">
      <c r="A142" s="8">
        <v>312</v>
      </c>
      <c r="B142" s="8" t="s">
        <v>19</v>
      </c>
      <c r="C142" s="8">
        <v>2</v>
      </c>
      <c r="D142" s="8" t="s">
        <v>369</v>
      </c>
      <c r="E142" s="8" t="s">
        <v>373</v>
      </c>
      <c r="F142" s="18" t="s">
        <v>375</v>
      </c>
      <c r="G142" s="18" t="s">
        <v>291</v>
      </c>
      <c r="H142" s="19">
        <v>130</v>
      </c>
      <c r="I142" s="19">
        <v>1590</v>
      </c>
      <c r="J142" s="20" t="s">
        <v>376</v>
      </c>
      <c r="K142" s="20" t="s">
        <v>25</v>
      </c>
      <c r="L142" s="27" t="s">
        <v>26</v>
      </c>
      <c r="M142" s="27" t="s">
        <v>26</v>
      </c>
      <c r="N142" s="21">
        <v>41.112575263066901</v>
      </c>
      <c r="O142" s="10">
        <v>-77.4937527129714</v>
      </c>
      <c r="P142" s="22">
        <v>617</v>
      </c>
      <c r="Q142" s="23">
        <v>44243</v>
      </c>
      <c r="R142" s="22" t="s">
        <v>27</v>
      </c>
      <c r="S142" s="22" t="s">
        <v>28</v>
      </c>
      <c r="T142" s="24">
        <f t="shared" si="2"/>
        <v>708.93299999999999</v>
      </c>
    </row>
    <row r="143" spans="1:20" x14ac:dyDescent="0.25">
      <c r="A143" s="8">
        <v>313</v>
      </c>
      <c r="B143" s="8" t="s">
        <v>19</v>
      </c>
      <c r="C143" s="8">
        <v>2</v>
      </c>
      <c r="D143" s="8" t="s">
        <v>369</v>
      </c>
      <c r="E143" s="8" t="s">
        <v>377</v>
      </c>
      <c r="F143" s="18" t="s">
        <v>378</v>
      </c>
      <c r="G143" s="18" t="s">
        <v>291</v>
      </c>
      <c r="H143" s="19">
        <v>160</v>
      </c>
      <c r="I143" s="19">
        <v>1324</v>
      </c>
      <c r="J143" s="20" t="s">
        <v>379</v>
      </c>
      <c r="K143" s="20" t="s">
        <v>380</v>
      </c>
      <c r="L143" s="27" t="s">
        <v>381</v>
      </c>
      <c r="M143" s="27" t="s">
        <v>26</v>
      </c>
      <c r="N143" s="21">
        <v>41.116145594807897</v>
      </c>
      <c r="O143" s="10">
        <v>-77.476811570629096</v>
      </c>
      <c r="P143" s="22">
        <v>3890</v>
      </c>
      <c r="Q143" s="23">
        <v>44251</v>
      </c>
      <c r="R143" s="22" t="s">
        <v>33</v>
      </c>
      <c r="S143" s="22" t="s">
        <v>34</v>
      </c>
      <c r="T143" s="24">
        <f t="shared" si="2"/>
        <v>4469.6099999999997</v>
      </c>
    </row>
    <row r="144" spans="1:20" x14ac:dyDescent="0.25">
      <c r="A144" s="8">
        <v>315</v>
      </c>
      <c r="B144" s="8" t="s">
        <v>19</v>
      </c>
      <c r="C144" s="8">
        <v>2</v>
      </c>
      <c r="D144" s="8" t="s">
        <v>369</v>
      </c>
      <c r="E144" s="8" t="s">
        <v>382</v>
      </c>
      <c r="F144" s="18" t="s">
        <v>124</v>
      </c>
      <c r="G144" s="18" t="s">
        <v>291</v>
      </c>
      <c r="H144" s="19">
        <v>180</v>
      </c>
      <c r="I144" s="19">
        <v>253</v>
      </c>
      <c r="J144" s="20" t="s">
        <v>383</v>
      </c>
      <c r="K144" s="20" t="s">
        <v>25</v>
      </c>
      <c r="L144" s="27" t="s">
        <v>26</v>
      </c>
      <c r="M144" s="27" t="s">
        <v>26</v>
      </c>
      <c r="N144" s="21">
        <v>41.122552478350798</v>
      </c>
      <c r="O144" s="10">
        <v>-77.472497180782398</v>
      </c>
      <c r="P144" s="22">
        <v>969</v>
      </c>
      <c r="Q144" s="23">
        <v>44243</v>
      </c>
      <c r="R144" s="22" t="s">
        <v>27</v>
      </c>
      <c r="S144" s="22" t="s">
        <v>34</v>
      </c>
      <c r="T144" s="24">
        <f t="shared" si="2"/>
        <v>1113.3810000000001</v>
      </c>
    </row>
    <row r="145" spans="1:20" x14ac:dyDescent="0.25">
      <c r="A145" s="8">
        <v>316</v>
      </c>
      <c r="B145" s="8" t="s">
        <v>19</v>
      </c>
      <c r="C145" s="8">
        <v>2</v>
      </c>
      <c r="D145" s="8" t="s">
        <v>369</v>
      </c>
      <c r="E145" s="8" t="s">
        <v>384</v>
      </c>
      <c r="F145" s="18" t="s">
        <v>124</v>
      </c>
      <c r="G145" s="18" t="s">
        <v>291</v>
      </c>
      <c r="H145" s="19">
        <v>190</v>
      </c>
      <c r="I145" s="19">
        <v>1744</v>
      </c>
      <c r="J145" s="20" t="s">
        <v>385</v>
      </c>
      <c r="K145" s="20" t="s">
        <v>25</v>
      </c>
      <c r="L145" s="27" t="s">
        <v>381</v>
      </c>
      <c r="M145" s="27" t="s">
        <v>26</v>
      </c>
      <c r="N145" s="21">
        <v>41.130297080025798</v>
      </c>
      <c r="O145" s="10">
        <v>-77.464179125554097</v>
      </c>
      <c r="P145" s="22">
        <v>1599</v>
      </c>
      <c r="Q145" s="23">
        <v>44243</v>
      </c>
      <c r="R145" s="22" t="s">
        <v>27</v>
      </c>
      <c r="S145" s="22" t="s">
        <v>34</v>
      </c>
      <c r="T145" s="24">
        <f t="shared" si="2"/>
        <v>1837.251</v>
      </c>
    </row>
    <row r="146" spans="1:20" x14ac:dyDescent="0.25">
      <c r="A146" s="8">
        <v>319</v>
      </c>
      <c r="B146" s="8" t="s">
        <v>19</v>
      </c>
      <c r="C146" s="8">
        <v>2</v>
      </c>
      <c r="D146" s="8" t="s">
        <v>369</v>
      </c>
      <c r="E146" s="8" t="s">
        <v>384</v>
      </c>
      <c r="F146" s="18" t="s">
        <v>124</v>
      </c>
      <c r="G146" s="18" t="s">
        <v>291</v>
      </c>
      <c r="H146" s="19">
        <v>190</v>
      </c>
      <c r="I146" s="19">
        <v>2466</v>
      </c>
      <c r="J146" s="20" t="s">
        <v>386</v>
      </c>
      <c r="K146" s="20" t="s">
        <v>25</v>
      </c>
      <c r="L146" s="27" t="s">
        <v>381</v>
      </c>
      <c r="M146" s="27" t="s">
        <v>26</v>
      </c>
      <c r="N146" s="21">
        <v>41.131190981180801</v>
      </c>
      <c r="O146" s="10">
        <v>-77.461941601152006</v>
      </c>
      <c r="P146" s="22">
        <v>818</v>
      </c>
      <c r="Q146" s="23">
        <v>44243</v>
      </c>
      <c r="R146" s="22" t="s">
        <v>27</v>
      </c>
      <c r="S146" s="22" t="s">
        <v>34</v>
      </c>
      <c r="T146" s="24">
        <f t="shared" si="2"/>
        <v>939.88200000000006</v>
      </c>
    </row>
    <row r="147" spans="1:20" x14ac:dyDescent="0.25">
      <c r="A147" s="8">
        <v>320</v>
      </c>
      <c r="B147" s="8" t="s">
        <v>19</v>
      </c>
      <c r="C147" s="8">
        <v>2</v>
      </c>
      <c r="D147" s="8" t="s">
        <v>369</v>
      </c>
      <c r="E147" s="8" t="s">
        <v>384</v>
      </c>
      <c r="F147" s="18" t="s">
        <v>387</v>
      </c>
      <c r="G147" s="18" t="s">
        <v>291</v>
      </c>
      <c r="H147" s="19">
        <v>210</v>
      </c>
      <c r="I147" s="19">
        <v>951</v>
      </c>
      <c r="J147" s="20" t="s">
        <v>388</v>
      </c>
      <c r="K147" s="20" t="s">
        <v>25</v>
      </c>
      <c r="L147" s="27" t="s">
        <v>26</v>
      </c>
      <c r="M147" s="27" t="s">
        <v>26</v>
      </c>
      <c r="N147" s="21">
        <v>41.135003204034</v>
      </c>
      <c r="O147" s="10">
        <v>-77.452754843368197</v>
      </c>
      <c r="P147" s="22">
        <v>4139</v>
      </c>
      <c r="Q147" s="23">
        <v>44243</v>
      </c>
      <c r="R147" s="22" t="s">
        <v>27</v>
      </c>
      <c r="S147" s="22" t="s">
        <v>28</v>
      </c>
      <c r="T147" s="24">
        <f t="shared" si="2"/>
        <v>4755.7110000000002</v>
      </c>
    </row>
    <row r="148" spans="1:20" x14ac:dyDescent="0.25">
      <c r="A148" s="8">
        <v>321</v>
      </c>
      <c r="B148" s="8" t="s">
        <v>19</v>
      </c>
      <c r="C148" s="8">
        <v>2</v>
      </c>
      <c r="D148" s="8" t="s">
        <v>369</v>
      </c>
      <c r="E148" s="8" t="s">
        <v>384</v>
      </c>
      <c r="F148" s="18" t="s">
        <v>387</v>
      </c>
      <c r="G148" s="18" t="s">
        <v>291</v>
      </c>
      <c r="H148" s="19">
        <v>220</v>
      </c>
      <c r="I148" s="19">
        <v>686</v>
      </c>
      <c r="J148" s="20" t="s">
        <v>339</v>
      </c>
      <c r="K148" s="20" t="s">
        <v>25</v>
      </c>
      <c r="L148" s="27" t="s">
        <v>26</v>
      </c>
      <c r="M148" s="27" t="s">
        <v>26</v>
      </c>
      <c r="N148" s="21">
        <v>41.135895419565699</v>
      </c>
      <c r="O148" s="10">
        <v>-77.450600399280603</v>
      </c>
      <c r="P148" s="22">
        <v>1876</v>
      </c>
      <c r="Q148" s="23">
        <v>44243</v>
      </c>
      <c r="R148" s="22" t="s">
        <v>27</v>
      </c>
      <c r="S148" s="22" t="s">
        <v>34</v>
      </c>
      <c r="T148" s="24">
        <f t="shared" si="2"/>
        <v>2155.5239999999999</v>
      </c>
    </row>
    <row r="149" spans="1:20" x14ac:dyDescent="0.25">
      <c r="A149" s="8">
        <v>322</v>
      </c>
      <c r="B149" s="8" t="s">
        <v>19</v>
      </c>
      <c r="C149" s="8">
        <v>2</v>
      </c>
      <c r="D149" s="8" t="s">
        <v>369</v>
      </c>
      <c r="E149" s="8" t="s">
        <v>384</v>
      </c>
      <c r="F149" s="18" t="s">
        <v>389</v>
      </c>
      <c r="G149" s="18" t="s">
        <v>390</v>
      </c>
      <c r="H149" s="19">
        <v>10</v>
      </c>
      <c r="I149" s="19">
        <v>946</v>
      </c>
      <c r="J149" s="20" t="s">
        <v>391</v>
      </c>
      <c r="K149" s="20" t="s">
        <v>25</v>
      </c>
      <c r="L149" s="27" t="s">
        <v>26</v>
      </c>
      <c r="M149" s="27" t="s">
        <v>26</v>
      </c>
      <c r="N149" s="21">
        <v>41.136014774914599</v>
      </c>
      <c r="O149" s="10">
        <v>-77.457383506801193</v>
      </c>
      <c r="P149" s="22">
        <v>393</v>
      </c>
      <c r="Q149" s="23">
        <v>44243</v>
      </c>
      <c r="R149" s="22" t="s">
        <v>27</v>
      </c>
      <c r="S149" s="22" t="s">
        <v>62</v>
      </c>
      <c r="T149" s="24">
        <f t="shared" si="2"/>
        <v>451.55700000000002</v>
      </c>
    </row>
    <row r="150" spans="1:20" x14ac:dyDescent="0.25">
      <c r="A150" s="8">
        <v>446</v>
      </c>
      <c r="B150" s="8" t="s">
        <v>19</v>
      </c>
      <c r="C150" s="8">
        <v>2</v>
      </c>
      <c r="D150" s="8" t="s">
        <v>392</v>
      </c>
      <c r="E150" s="8" t="s">
        <v>393</v>
      </c>
      <c r="F150" s="18" t="s">
        <v>320</v>
      </c>
      <c r="G150" s="18" t="s">
        <v>394</v>
      </c>
      <c r="H150" s="19">
        <v>20</v>
      </c>
      <c r="I150" s="19">
        <v>322</v>
      </c>
      <c r="J150" s="20" t="s">
        <v>395</v>
      </c>
      <c r="K150" s="20" t="s">
        <v>25</v>
      </c>
      <c r="L150" s="27" t="s">
        <v>26</v>
      </c>
      <c r="M150" s="27" t="s">
        <v>26</v>
      </c>
      <c r="N150" s="21">
        <v>41.4262633655851</v>
      </c>
      <c r="O150" s="10">
        <v>-78.726159438444796</v>
      </c>
      <c r="P150" s="22">
        <v>279</v>
      </c>
      <c r="Q150" s="23">
        <v>44257</v>
      </c>
      <c r="R150" s="22" t="s">
        <v>27</v>
      </c>
      <c r="S150" s="22" t="s">
        <v>34</v>
      </c>
      <c r="T150" s="24">
        <f t="shared" si="2"/>
        <v>320.57100000000003</v>
      </c>
    </row>
    <row r="151" spans="1:20" x14ac:dyDescent="0.25">
      <c r="A151" s="8">
        <v>447</v>
      </c>
      <c r="B151" s="8" t="s">
        <v>19</v>
      </c>
      <c r="C151" s="8">
        <v>2</v>
      </c>
      <c r="D151" s="8" t="s">
        <v>392</v>
      </c>
      <c r="E151" s="8" t="s">
        <v>396</v>
      </c>
      <c r="F151" s="18" t="s">
        <v>397</v>
      </c>
      <c r="G151" s="18" t="s">
        <v>394</v>
      </c>
      <c r="H151" s="19">
        <v>350</v>
      </c>
      <c r="I151" s="19">
        <v>2259</v>
      </c>
      <c r="J151" s="20" t="s">
        <v>398</v>
      </c>
      <c r="K151" s="20" t="s">
        <v>25</v>
      </c>
      <c r="L151" s="27" t="s">
        <v>26</v>
      </c>
      <c r="M151" s="27" t="s">
        <v>26</v>
      </c>
      <c r="N151" s="21">
        <v>41.444210848855299</v>
      </c>
      <c r="O151" s="10">
        <v>-78.4753049686271</v>
      </c>
      <c r="P151" s="22">
        <v>136</v>
      </c>
      <c r="Q151" s="23">
        <v>44284</v>
      </c>
      <c r="R151" s="22" t="s">
        <v>27</v>
      </c>
      <c r="S151" s="22" t="s">
        <v>34</v>
      </c>
      <c r="T151" s="24">
        <f t="shared" si="2"/>
        <v>156.26400000000001</v>
      </c>
    </row>
    <row r="152" spans="1:20" x14ac:dyDescent="0.25">
      <c r="A152" s="8">
        <v>448</v>
      </c>
      <c r="B152" s="8" t="s">
        <v>19</v>
      </c>
      <c r="C152" s="8">
        <v>2</v>
      </c>
      <c r="D152" s="8" t="s">
        <v>392</v>
      </c>
      <c r="E152" s="8" t="s">
        <v>396</v>
      </c>
      <c r="F152" s="18" t="s">
        <v>399</v>
      </c>
      <c r="G152" s="18" t="s">
        <v>394</v>
      </c>
      <c r="H152" s="19" t="s">
        <v>400</v>
      </c>
      <c r="I152" s="19" t="s">
        <v>401</v>
      </c>
      <c r="J152" s="20" t="s">
        <v>402</v>
      </c>
      <c r="K152" s="20" t="s">
        <v>25</v>
      </c>
      <c r="L152" s="27" t="s">
        <v>26</v>
      </c>
      <c r="M152" s="27" t="s">
        <v>26</v>
      </c>
      <c r="N152" s="21">
        <v>41.420584279538403</v>
      </c>
      <c r="O152" s="10">
        <v>-78.573884210836894</v>
      </c>
      <c r="P152" s="22">
        <v>144</v>
      </c>
      <c r="Q152" s="23">
        <v>44257</v>
      </c>
      <c r="R152" s="22" t="s">
        <v>27</v>
      </c>
      <c r="S152" s="22" t="s">
        <v>28</v>
      </c>
      <c r="T152" s="24">
        <f t="shared" si="2"/>
        <v>165.45600000000002</v>
      </c>
    </row>
    <row r="153" spans="1:20" x14ac:dyDescent="0.25">
      <c r="A153" s="8">
        <v>449</v>
      </c>
      <c r="B153" s="8" t="s">
        <v>19</v>
      </c>
      <c r="C153" s="8">
        <v>2</v>
      </c>
      <c r="D153" s="8" t="s">
        <v>392</v>
      </c>
      <c r="E153" s="8" t="s">
        <v>403</v>
      </c>
      <c r="F153" s="18" t="s">
        <v>404</v>
      </c>
      <c r="G153" s="18" t="s">
        <v>341</v>
      </c>
      <c r="H153" s="18">
        <v>40</v>
      </c>
      <c r="I153" s="18">
        <v>1311</v>
      </c>
      <c r="J153" s="20" t="s">
        <v>405</v>
      </c>
      <c r="K153" s="20" t="s">
        <v>25</v>
      </c>
      <c r="L153" s="27" t="s">
        <v>26</v>
      </c>
      <c r="M153" s="27" t="s">
        <v>26</v>
      </c>
      <c r="N153" s="21">
        <v>41.258326744106</v>
      </c>
      <c r="O153" s="10">
        <v>-78.501476971638795</v>
      </c>
      <c r="P153" s="22">
        <v>25</v>
      </c>
      <c r="Q153" s="23">
        <v>44257</v>
      </c>
      <c r="R153" s="22" t="s">
        <v>27</v>
      </c>
      <c r="S153" s="22" t="s">
        <v>62</v>
      </c>
      <c r="T153" s="24">
        <f t="shared" si="2"/>
        <v>28.725000000000001</v>
      </c>
    </row>
    <row r="154" spans="1:20" x14ac:dyDescent="0.25">
      <c r="A154" s="8">
        <v>450</v>
      </c>
      <c r="B154" s="8" t="s">
        <v>19</v>
      </c>
      <c r="C154" s="8">
        <v>2</v>
      </c>
      <c r="D154" s="8" t="s">
        <v>392</v>
      </c>
      <c r="E154" s="8" t="s">
        <v>406</v>
      </c>
      <c r="F154" s="18" t="s">
        <v>407</v>
      </c>
      <c r="G154" s="18" t="s">
        <v>341</v>
      </c>
      <c r="H154" s="18">
        <v>260</v>
      </c>
      <c r="I154" s="18">
        <v>699</v>
      </c>
      <c r="J154" s="20" t="s">
        <v>408</v>
      </c>
      <c r="K154" s="20" t="s">
        <v>25</v>
      </c>
      <c r="L154" s="27" t="s">
        <v>26</v>
      </c>
      <c r="M154" s="27" t="s">
        <v>26</v>
      </c>
      <c r="N154" s="21">
        <v>41.389861772768498</v>
      </c>
      <c r="O154" s="10">
        <v>-78.558489448325702</v>
      </c>
      <c r="P154" s="22">
        <v>585</v>
      </c>
      <c r="Q154" s="23">
        <v>44257</v>
      </c>
      <c r="R154" s="22" t="s">
        <v>27</v>
      </c>
      <c r="S154" s="22" t="s">
        <v>38</v>
      </c>
      <c r="T154" s="24">
        <f t="shared" ref="T154:T198" si="3">P154*$X$4</f>
        <v>672.16499999999996</v>
      </c>
    </row>
    <row r="155" spans="1:20" x14ac:dyDescent="0.25">
      <c r="A155" s="8">
        <v>451</v>
      </c>
      <c r="B155" s="8" t="s">
        <v>19</v>
      </c>
      <c r="C155" s="8">
        <v>2</v>
      </c>
      <c r="D155" s="8" t="s">
        <v>392</v>
      </c>
      <c r="E155" s="8" t="s">
        <v>406</v>
      </c>
      <c r="F155" s="18" t="s">
        <v>407</v>
      </c>
      <c r="G155" s="18" t="s">
        <v>341</v>
      </c>
      <c r="H155" s="18">
        <v>270</v>
      </c>
      <c r="I155" s="18">
        <v>0</v>
      </c>
      <c r="J155" s="20" t="s">
        <v>409</v>
      </c>
      <c r="K155" s="20" t="s">
        <v>25</v>
      </c>
      <c r="L155" s="27" t="s">
        <v>26</v>
      </c>
      <c r="M155" s="27" t="s">
        <v>26</v>
      </c>
      <c r="N155" s="21">
        <v>41.393646723523602</v>
      </c>
      <c r="O155" s="10">
        <v>-78.556415901503598</v>
      </c>
      <c r="P155" s="22">
        <v>234</v>
      </c>
      <c r="Q155" s="23">
        <v>44257</v>
      </c>
      <c r="R155" s="22" t="s">
        <v>27</v>
      </c>
      <c r="S155" s="22" t="s">
        <v>62</v>
      </c>
      <c r="T155" s="24">
        <f t="shared" si="3"/>
        <v>268.86599999999999</v>
      </c>
    </row>
    <row r="156" spans="1:20" x14ac:dyDescent="0.25">
      <c r="A156" s="8">
        <v>452</v>
      </c>
      <c r="B156" s="8" t="s">
        <v>19</v>
      </c>
      <c r="C156" s="8">
        <v>2</v>
      </c>
      <c r="D156" s="8" t="s">
        <v>392</v>
      </c>
      <c r="E156" s="8" t="s">
        <v>396</v>
      </c>
      <c r="F156" s="18" t="s">
        <v>407</v>
      </c>
      <c r="G156" s="18" t="s">
        <v>341</v>
      </c>
      <c r="H156" s="19">
        <v>281</v>
      </c>
      <c r="I156" s="19">
        <v>190</v>
      </c>
      <c r="J156" s="20" t="s">
        <v>410</v>
      </c>
      <c r="K156" s="20" t="s">
        <v>25</v>
      </c>
      <c r="L156" s="27" t="s">
        <v>26</v>
      </c>
      <c r="M156" s="27" t="s">
        <v>26</v>
      </c>
      <c r="N156" s="21">
        <v>41.401054361515598</v>
      </c>
      <c r="O156" s="10">
        <v>-78.560212786970496</v>
      </c>
      <c r="P156" s="22">
        <v>287</v>
      </c>
      <c r="Q156" s="23">
        <v>44257</v>
      </c>
      <c r="R156" s="22" t="s">
        <v>27</v>
      </c>
      <c r="S156" s="22" t="s">
        <v>62</v>
      </c>
      <c r="T156" s="24">
        <f t="shared" si="3"/>
        <v>329.76300000000003</v>
      </c>
    </row>
    <row r="157" spans="1:20" x14ac:dyDescent="0.25">
      <c r="A157" s="8">
        <v>453</v>
      </c>
      <c r="B157" s="8" t="s">
        <v>19</v>
      </c>
      <c r="C157" s="8">
        <v>2</v>
      </c>
      <c r="D157" s="8" t="s">
        <v>392</v>
      </c>
      <c r="E157" s="8" t="s">
        <v>396</v>
      </c>
      <c r="F157" s="18" t="s">
        <v>407</v>
      </c>
      <c r="G157" s="18" t="s">
        <v>341</v>
      </c>
      <c r="H157" s="19">
        <v>290</v>
      </c>
      <c r="I157" s="19">
        <v>950</v>
      </c>
      <c r="J157" s="20" t="s">
        <v>411</v>
      </c>
      <c r="K157" s="20" t="s">
        <v>57</v>
      </c>
      <c r="L157" s="27" t="s">
        <v>381</v>
      </c>
      <c r="M157" s="27" t="s">
        <v>26</v>
      </c>
      <c r="N157" s="21">
        <v>41.411080887912703</v>
      </c>
      <c r="O157" s="10">
        <v>-78.5606650213021</v>
      </c>
      <c r="P157" s="22">
        <v>1984</v>
      </c>
      <c r="Q157" s="23">
        <v>44263</v>
      </c>
      <c r="R157" s="22" t="s">
        <v>33</v>
      </c>
      <c r="S157" s="22" t="s">
        <v>62</v>
      </c>
      <c r="T157" s="24">
        <f t="shared" si="3"/>
        <v>2279.616</v>
      </c>
    </row>
    <row r="158" spans="1:20" x14ac:dyDescent="0.25">
      <c r="A158" s="8">
        <v>454</v>
      </c>
      <c r="B158" s="8" t="s">
        <v>19</v>
      </c>
      <c r="C158" s="8">
        <v>2</v>
      </c>
      <c r="D158" s="8" t="s">
        <v>392</v>
      </c>
      <c r="E158" s="8" t="s">
        <v>396</v>
      </c>
      <c r="F158" s="18" t="s">
        <v>412</v>
      </c>
      <c r="G158" s="18" t="s">
        <v>341</v>
      </c>
      <c r="H158" s="19">
        <v>300</v>
      </c>
      <c r="I158" s="19">
        <v>2039</v>
      </c>
      <c r="J158" s="20" t="s">
        <v>413</v>
      </c>
      <c r="K158" s="20" t="s">
        <v>25</v>
      </c>
      <c r="L158" s="27" t="s">
        <v>26</v>
      </c>
      <c r="M158" s="27" t="s">
        <v>26</v>
      </c>
      <c r="N158" s="21">
        <v>41.421857302464197</v>
      </c>
      <c r="O158" s="10">
        <v>-78.560926209090297</v>
      </c>
      <c r="P158" s="22">
        <v>1278</v>
      </c>
      <c r="Q158" s="23">
        <v>44257</v>
      </c>
      <c r="R158" s="22" t="s">
        <v>27</v>
      </c>
      <c r="S158" s="22" t="s">
        <v>38</v>
      </c>
      <c r="T158" s="24">
        <f t="shared" si="3"/>
        <v>1468.422</v>
      </c>
    </row>
    <row r="159" spans="1:20" x14ac:dyDescent="0.25">
      <c r="A159" s="8">
        <v>455</v>
      </c>
      <c r="B159" s="8" t="s">
        <v>19</v>
      </c>
      <c r="C159" s="8">
        <v>2</v>
      </c>
      <c r="D159" s="8" t="s">
        <v>392</v>
      </c>
      <c r="E159" s="8" t="s">
        <v>396</v>
      </c>
      <c r="F159" s="18" t="s">
        <v>404</v>
      </c>
      <c r="G159" s="18" t="s">
        <v>341</v>
      </c>
      <c r="H159" s="19">
        <v>390</v>
      </c>
      <c r="I159" s="19">
        <v>0</v>
      </c>
      <c r="J159" s="20" t="s">
        <v>414</v>
      </c>
      <c r="K159" s="20" t="s">
        <v>25</v>
      </c>
      <c r="L159" s="27" t="s">
        <v>26</v>
      </c>
      <c r="M159" s="27" t="s">
        <v>26</v>
      </c>
      <c r="N159" s="21">
        <v>41.448782620100197</v>
      </c>
      <c r="O159" s="10">
        <v>-78.598498696408797</v>
      </c>
      <c r="P159" s="22">
        <v>273</v>
      </c>
      <c r="Q159" s="23">
        <v>44257</v>
      </c>
      <c r="R159" s="22" t="s">
        <v>27</v>
      </c>
      <c r="S159" s="22" t="s">
        <v>28</v>
      </c>
      <c r="T159" s="24">
        <f t="shared" si="3"/>
        <v>313.67700000000002</v>
      </c>
    </row>
    <row r="160" spans="1:20" x14ac:dyDescent="0.25">
      <c r="A160" s="8">
        <v>456</v>
      </c>
      <c r="B160" s="8" t="s">
        <v>19</v>
      </c>
      <c r="C160" s="8">
        <v>2</v>
      </c>
      <c r="D160" s="8" t="s">
        <v>392</v>
      </c>
      <c r="E160" s="8" t="s">
        <v>393</v>
      </c>
      <c r="F160" s="18" t="s">
        <v>77</v>
      </c>
      <c r="G160" s="18" t="s">
        <v>415</v>
      </c>
      <c r="H160" s="19">
        <v>202</v>
      </c>
      <c r="I160" s="19">
        <v>1180</v>
      </c>
      <c r="J160" s="20" t="s">
        <v>416</v>
      </c>
      <c r="K160" s="20" t="s">
        <v>57</v>
      </c>
      <c r="L160" s="27" t="s">
        <v>381</v>
      </c>
      <c r="M160" s="27" t="s">
        <v>26</v>
      </c>
      <c r="N160" s="21">
        <v>41.420699144836298</v>
      </c>
      <c r="O160" s="10">
        <v>-78.733322263660199</v>
      </c>
      <c r="P160" s="22">
        <v>545</v>
      </c>
      <c r="Q160" s="23">
        <v>44263</v>
      </c>
      <c r="R160" s="22" t="s">
        <v>33</v>
      </c>
      <c r="S160" s="22" t="s">
        <v>34</v>
      </c>
      <c r="T160" s="24">
        <f t="shared" si="3"/>
        <v>626.20500000000004</v>
      </c>
    </row>
    <row r="161" spans="1:20" x14ac:dyDescent="0.25">
      <c r="A161" s="8">
        <v>457</v>
      </c>
      <c r="B161" s="8" t="s">
        <v>19</v>
      </c>
      <c r="C161" s="8">
        <v>2</v>
      </c>
      <c r="D161" s="8" t="s">
        <v>392</v>
      </c>
      <c r="E161" s="8" t="s">
        <v>393</v>
      </c>
      <c r="F161" s="18" t="s">
        <v>417</v>
      </c>
      <c r="G161" s="18" t="s">
        <v>415</v>
      </c>
      <c r="H161" s="19">
        <v>220</v>
      </c>
      <c r="I161" s="19">
        <v>1409</v>
      </c>
      <c r="J161" s="20" t="s">
        <v>418</v>
      </c>
      <c r="K161" s="20" t="s">
        <v>25</v>
      </c>
      <c r="L161" s="20" t="s">
        <v>26</v>
      </c>
      <c r="M161" s="20" t="s">
        <v>26</v>
      </c>
      <c r="N161" s="21">
        <v>41.431996204874999</v>
      </c>
      <c r="O161" s="10">
        <v>-78.741339619895399</v>
      </c>
      <c r="P161" s="22">
        <v>915</v>
      </c>
      <c r="Q161" s="23">
        <v>44257</v>
      </c>
      <c r="R161" s="22" t="s">
        <v>27</v>
      </c>
      <c r="S161" s="22" t="s">
        <v>62</v>
      </c>
      <c r="T161" s="24">
        <f t="shared" si="3"/>
        <v>1051.335</v>
      </c>
    </row>
    <row r="162" spans="1:20" x14ac:dyDescent="0.25">
      <c r="A162" s="8">
        <v>458</v>
      </c>
      <c r="B162" s="8" t="s">
        <v>19</v>
      </c>
      <c r="C162" s="8">
        <v>2</v>
      </c>
      <c r="D162" s="8" t="s">
        <v>392</v>
      </c>
      <c r="E162" s="8" t="s">
        <v>396</v>
      </c>
      <c r="F162" s="18" t="s">
        <v>419</v>
      </c>
      <c r="G162" s="18" t="s">
        <v>84</v>
      </c>
      <c r="H162" s="19">
        <v>20</v>
      </c>
      <c r="I162" s="19">
        <v>489</v>
      </c>
      <c r="J162" s="20" t="s">
        <v>420</v>
      </c>
      <c r="K162" s="20" t="s">
        <v>25</v>
      </c>
      <c r="L162" s="20" t="s">
        <v>26</v>
      </c>
      <c r="M162" s="20" t="s">
        <v>26</v>
      </c>
      <c r="N162" s="21">
        <v>41.433061875362</v>
      </c>
      <c r="O162" s="10">
        <v>-78.562366130219004</v>
      </c>
      <c r="P162" s="22">
        <v>1932</v>
      </c>
      <c r="Q162" s="23">
        <v>44257</v>
      </c>
      <c r="R162" s="22" t="s">
        <v>27</v>
      </c>
      <c r="S162" s="22" t="s">
        <v>34</v>
      </c>
      <c r="T162" s="24">
        <f t="shared" si="3"/>
        <v>2219.8679999999999</v>
      </c>
    </row>
    <row r="163" spans="1:20" x14ac:dyDescent="0.25">
      <c r="A163" s="8">
        <v>459</v>
      </c>
      <c r="B163" s="8" t="s">
        <v>19</v>
      </c>
      <c r="C163" s="8">
        <v>2</v>
      </c>
      <c r="D163" s="8" t="s">
        <v>392</v>
      </c>
      <c r="E163" s="8" t="s">
        <v>396</v>
      </c>
      <c r="F163" s="18" t="s">
        <v>48</v>
      </c>
      <c r="G163" s="18" t="s">
        <v>421</v>
      </c>
      <c r="H163" s="19">
        <v>10</v>
      </c>
      <c r="I163" s="19">
        <v>385</v>
      </c>
      <c r="J163" s="20" t="s">
        <v>422</v>
      </c>
      <c r="K163" s="20" t="s">
        <v>25</v>
      </c>
      <c r="L163" s="20" t="s">
        <v>26</v>
      </c>
      <c r="M163" s="20" t="s">
        <v>26</v>
      </c>
      <c r="N163" s="21">
        <v>41.429017866292902</v>
      </c>
      <c r="O163" s="10">
        <v>-78.560694669485798</v>
      </c>
      <c r="P163" s="22">
        <v>2011</v>
      </c>
      <c r="Q163" s="23">
        <v>44257</v>
      </c>
      <c r="R163" s="22" t="s">
        <v>27</v>
      </c>
      <c r="S163" s="22" t="s">
        <v>28</v>
      </c>
      <c r="T163" s="24">
        <f t="shared" si="3"/>
        <v>2310.6390000000001</v>
      </c>
    </row>
    <row r="164" spans="1:20" x14ac:dyDescent="0.25">
      <c r="A164" s="8">
        <v>460</v>
      </c>
      <c r="B164" s="8" t="s">
        <v>19</v>
      </c>
      <c r="C164" s="8">
        <v>2</v>
      </c>
      <c r="D164" s="8" t="s">
        <v>392</v>
      </c>
      <c r="E164" s="8" t="s">
        <v>396</v>
      </c>
      <c r="F164" s="18" t="s">
        <v>423</v>
      </c>
      <c r="G164" s="18" t="s">
        <v>424</v>
      </c>
      <c r="H164" s="19">
        <v>20</v>
      </c>
      <c r="I164" s="19">
        <v>577</v>
      </c>
      <c r="J164" s="20" t="s">
        <v>425</v>
      </c>
      <c r="K164" s="20" t="s">
        <v>25</v>
      </c>
      <c r="L164" s="20" t="s">
        <v>26</v>
      </c>
      <c r="M164" s="20" t="s">
        <v>26</v>
      </c>
      <c r="N164" s="21">
        <v>41.423354280762403</v>
      </c>
      <c r="O164" s="10">
        <v>-78.551335183145795</v>
      </c>
      <c r="P164" s="22">
        <v>146</v>
      </c>
      <c r="Q164" s="23">
        <v>44257</v>
      </c>
      <c r="R164" s="22" t="s">
        <v>27</v>
      </c>
      <c r="S164" s="22" t="s">
        <v>62</v>
      </c>
      <c r="T164" s="24">
        <f t="shared" si="3"/>
        <v>167.75399999999999</v>
      </c>
    </row>
    <row r="165" spans="1:20" x14ac:dyDescent="0.25">
      <c r="A165" s="8">
        <v>586</v>
      </c>
      <c r="B165" s="8" t="s">
        <v>19</v>
      </c>
      <c r="C165" s="8">
        <v>2</v>
      </c>
      <c r="D165" s="8" t="s">
        <v>426</v>
      </c>
      <c r="E165" s="8" t="s">
        <v>427</v>
      </c>
      <c r="F165" s="18" t="s">
        <v>428</v>
      </c>
      <c r="G165" s="18" t="s">
        <v>429</v>
      </c>
      <c r="H165" s="18">
        <v>570</v>
      </c>
      <c r="I165" s="18">
        <v>97</v>
      </c>
      <c r="J165" s="20" t="s">
        <v>430</v>
      </c>
      <c r="K165" s="20" t="s">
        <v>25</v>
      </c>
      <c r="L165" s="27" t="s">
        <v>26</v>
      </c>
      <c r="M165" s="27" t="s">
        <v>26</v>
      </c>
      <c r="N165" s="21">
        <v>40.5828752968416</v>
      </c>
      <c r="O165" s="10">
        <v>-77.370250899964205</v>
      </c>
      <c r="P165" s="22">
        <v>1442</v>
      </c>
      <c r="Q165" s="23">
        <v>44250</v>
      </c>
      <c r="R165" s="22" t="s">
        <v>27</v>
      </c>
      <c r="S165" s="22" t="s">
        <v>38</v>
      </c>
      <c r="T165" s="24">
        <f t="shared" si="3"/>
        <v>1656.8579999999999</v>
      </c>
    </row>
    <row r="166" spans="1:20" x14ac:dyDescent="0.25">
      <c r="A166" s="8">
        <v>587</v>
      </c>
      <c r="B166" s="8" t="s">
        <v>19</v>
      </c>
      <c r="C166" s="8">
        <v>2</v>
      </c>
      <c r="D166" s="8" t="s">
        <v>426</v>
      </c>
      <c r="E166" s="8" t="s">
        <v>431</v>
      </c>
      <c r="F166" s="18" t="s">
        <v>432</v>
      </c>
      <c r="G166" s="18" t="s">
        <v>433</v>
      </c>
      <c r="H166" s="18">
        <v>310</v>
      </c>
      <c r="I166" s="18">
        <v>2403</v>
      </c>
      <c r="J166" s="20" t="s">
        <v>434</v>
      </c>
      <c r="K166" s="20" t="s">
        <v>25</v>
      </c>
      <c r="L166" s="27" t="s">
        <v>26</v>
      </c>
      <c r="M166" s="27" t="s">
        <v>26</v>
      </c>
      <c r="N166" s="21">
        <v>40.615387472843402</v>
      </c>
      <c r="O166" s="10">
        <v>-77.238317319619199</v>
      </c>
      <c r="P166" s="22">
        <v>666</v>
      </c>
      <c r="Q166" s="23">
        <v>44250</v>
      </c>
      <c r="R166" s="22" t="s">
        <v>27</v>
      </c>
      <c r="S166" s="22" t="s">
        <v>38</v>
      </c>
      <c r="T166" s="24">
        <f t="shared" si="3"/>
        <v>765.23400000000004</v>
      </c>
    </row>
    <row r="167" spans="1:20" x14ac:dyDescent="0.25">
      <c r="A167" s="8">
        <v>588</v>
      </c>
      <c r="B167" s="8" t="s">
        <v>19</v>
      </c>
      <c r="C167" s="8">
        <v>2</v>
      </c>
      <c r="D167" s="8" t="s">
        <v>426</v>
      </c>
      <c r="E167" s="8" t="s">
        <v>435</v>
      </c>
      <c r="F167" s="18" t="s">
        <v>436</v>
      </c>
      <c r="G167" s="18" t="s">
        <v>437</v>
      </c>
      <c r="H167" s="18">
        <v>160</v>
      </c>
      <c r="I167" s="18">
        <v>0</v>
      </c>
      <c r="J167" s="20" t="s">
        <v>438</v>
      </c>
      <c r="K167" s="20" t="s">
        <v>25</v>
      </c>
      <c r="L167" s="27" t="s">
        <v>26</v>
      </c>
      <c r="M167" s="27" t="s">
        <v>26</v>
      </c>
      <c r="N167" s="21">
        <v>40.552362447545498</v>
      </c>
      <c r="O167" s="10">
        <v>-77.412197949262506</v>
      </c>
      <c r="P167" s="22">
        <v>62</v>
      </c>
      <c r="Q167" s="23">
        <v>44250</v>
      </c>
      <c r="R167" s="22" t="s">
        <v>27</v>
      </c>
      <c r="S167" s="22" t="s">
        <v>38</v>
      </c>
      <c r="T167" s="24">
        <f t="shared" si="3"/>
        <v>71.238</v>
      </c>
    </row>
    <row r="168" spans="1:20" x14ac:dyDescent="0.25">
      <c r="A168" s="8">
        <v>721</v>
      </c>
      <c r="B168" s="8" t="s">
        <v>19</v>
      </c>
      <c r="C168" s="8">
        <v>2</v>
      </c>
      <c r="D168" s="8" t="s">
        <v>439</v>
      </c>
      <c r="E168" s="8" t="s">
        <v>440</v>
      </c>
      <c r="F168" s="18" t="s">
        <v>441</v>
      </c>
      <c r="G168" s="18" t="s">
        <v>23</v>
      </c>
      <c r="H168" s="18">
        <v>320</v>
      </c>
      <c r="I168" s="18">
        <v>964</v>
      </c>
      <c r="J168" s="20" t="s">
        <v>442</v>
      </c>
      <c r="K168" s="20" t="s">
        <v>25</v>
      </c>
      <c r="L168" s="27" t="s">
        <v>26</v>
      </c>
      <c r="M168" s="27" t="s">
        <v>26</v>
      </c>
      <c r="N168" s="21">
        <v>41.682357460643402</v>
      </c>
      <c r="O168" s="10">
        <v>-78.723338536877804</v>
      </c>
      <c r="P168" s="22">
        <v>32</v>
      </c>
      <c r="Q168" s="23">
        <v>44221</v>
      </c>
      <c r="R168" s="22" t="s">
        <v>27</v>
      </c>
      <c r="S168" s="22" t="s">
        <v>62</v>
      </c>
      <c r="T168" s="24">
        <f t="shared" si="3"/>
        <v>36.768000000000001</v>
      </c>
    </row>
    <row r="169" spans="1:20" x14ac:dyDescent="0.25">
      <c r="A169" s="8">
        <v>722</v>
      </c>
      <c r="B169" s="8" t="s">
        <v>19</v>
      </c>
      <c r="C169" s="8">
        <v>2</v>
      </c>
      <c r="D169" s="8" t="s">
        <v>439</v>
      </c>
      <c r="E169" s="8" t="s">
        <v>443</v>
      </c>
      <c r="F169" s="18" t="s">
        <v>444</v>
      </c>
      <c r="G169" s="18" t="s">
        <v>23</v>
      </c>
      <c r="H169" s="18">
        <v>790</v>
      </c>
      <c r="I169" s="18">
        <v>92</v>
      </c>
      <c r="J169" s="20" t="s">
        <v>445</v>
      </c>
      <c r="K169" s="20" t="s">
        <v>25</v>
      </c>
      <c r="L169" s="27" t="s">
        <v>26</v>
      </c>
      <c r="M169" s="27" t="s">
        <v>26</v>
      </c>
      <c r="N169" s="21">
        <v>41.808755829187199</v>
      </c>
      <c r="O169" s="10">
        <v>-78.419667769920196</v>
      </c>
      <c r="P169" s="22">
        <v>45</v>
      </c>
      <c r="Q169" s="23">
        <v>44221</v>
      </c>
      <c r="R169" s="22" t="s">
        <v>27</v>
      </c>
      <c r="S169" s="22" t="s">
        <v>38</v>
      </c>
      <c r="T169" s="24">
        <f t="shared" si="3"/>
        <v>51.704999999999998</v>
      </c>
    </row>
    <row r="170" spans="1:20" x14ac:dyDescent="0.25">
      <c r="A170" s="8">
        <v>723</v>
      </c>
      <c r="B170" s="8" t="s">
        <v>19</v>
      </c>
      <c r="C170" s="8">
        <v>2</v>
      </c>
      <c r="D170" s="8" t="s">
        <v>439</v>
      </c>
      <c r="E170" s="8" t="s">
        <v>443</v>
      </c>
      <c r="F170" s="18" t="s">
        <v>441</v>
      </c>
      <c r="G170" s="18" t="s">
        <v>23</v>
      </c>
      <c r="H170" s="18">
        <v>830</v>
      </c>
      <c r="I170" s="18">
        <v>1011</v>
      </c>
      <c r="J170" s="20" t="s">
        <v>446</v>
      </c>
      <c r="K170" s="20" t="s">
        <v>25</v>
      </c>
      <c r="L170" s="27" t="s">
        <v>26</v>
      </c>
      <c r="M170" s="27" t="s">
        <v>26</v>
      </c>
      <c r="N170" s="21">
        <v>41.824525652639302</v>
      </c>
      <c r="O170" s="10">
        <v>-78.384101351637298</v>
      </c>
      <c r="P170" s="22">
        <v>194</v>
      </c>
      <c r="Q170" s="23">
        <v>44221</v>
      </c>
      <c r="R170" s="22" t="s">
        <v>27</v>
      </c>
      <c r="S170" s="22" t="s">
        <v>34</v>
      </c>
      <c r="T170" s="24">
        <f t="shared" si="3"/>
        <v>222.90600000000001</v>
      </c>
    </row>
    <row r="171" spans="1:20" x14ac:dyDescent="0.25">
      <c r="A171" s="8">
        <v>724</v>
      </c>
      <c r="B171" s="8" t="s">
        <v>19</v>
      </c>
      <c r="C171" s="8">
        <v>2</v>
      </c>
      <c r="D171" s="8" t="s">
        <v>439</v>
      </c>
      <c r="E171" s="8" t="s">
        <v>447</v>
      </c>
      <c r="F171" s="18" t="s">
        <v>48</v>
      </c>
      <c r="G171" s="18" t="s">
        <v>448</v>
      </c>
      <c r="H171" s="19">
        <v>320</v>
      </c>
      <c r="I171" s="19">
        <v>1161</v>
      </c>
      <c r="J171" s="20" t="s">
        <v>449</v>
      </c>
      <c r="K171" s="20" t="s">
        <v>25</v>
      </c>
      <c r="L171" s="20" t="s">
        <v>26</v>
      </c>
      <c r="M171" s="20" t="s">
        <v>26</v>
      </c>
      <c r="N171" s="21">
        <v>41.9572210447255</v>
      </c>
      <c r="O171" s="10">
        <v>-78.658085717940196</v>
      </c>
      <c r="P171" s="22">
        <v>1277</v>
      </c>
      <c r="Q171" s="23">
        <v>44221</v>
      </c>
      <c r="R171" s="22" t="s">
        <v>27</v>
      </c>
      <c r="S171" s="22" t="s">
        <v>34</v>
      </c>
      <c r="T171" s="24">
        <f t="shared" si="3"/>
        <v>1467.2730000000001</v>
      </c>
    </row>
    <row r="172" spans="1:20" x14ac:dyDescent="0.25">
      <c r="A172" s="8">
        <v>725</v>
      </c>
      <c r="B172" s="8" t="s">
        <v>19</v>
      </c>
      <c r="C172" s="8">
        <v>2</v>
      </c>
      <c r="D172" s="8" t="s">
        <v>439</v>
      </c>
      <c r="E172" s="8" t="s">
        <v>447</v>
      </c>
      <c r="F172" s="18" t="s">
        <v>450</v>
      </c>
      <c r="G172" s="18" t="s">
        <v>448</v>
      </c>
      <c r="H172" s="19">
        <v>330</v>
      </c>
      <c r="I172" s="19">
        <v>1906</v>
      </c>
      <c r="J172" s="20" t="s">
        <v>451</v>
      </c>
      <c r="K172" s="20" t="s">
        <v>25</v>
      </c>
      <c r="L172" s="20" t="s">
        <v>26</v>
      </c>
      <c r="M172" s="20" t="s">
        <v>26</v>
      </c>
      <c r="N172" s="21">
        <v>41.956583984960403</v>
      </c>
      <c r="O172" s="10">
        <v>-78.651405941236504</v>
      </c>
      <c r="P172" s="22">
        <v>1843</v>
      </c>
      <c r="Q172" s="23">
        <v>44221</v>
      </c>
      <c r="R172" s="22" t="s">
        <v>27</v>
      </c>
      <c r="S172" s="22" t="s">
        <v>28</v>
      </c>
      <c r="T172" s="24">
        <f t="shared" si="3"/>
        <v>2117.607</v>
      </c>
    </row>
    <row r="173" spans="1:20" x14ac:dyDescent="0.25">
      <c r="A173" s="8">
        <v>726</v>
      </c>
      <c r="B173" s="8" t="s">
        <v>19</v>
      </c>
      <c r="C173" s="8">
        <v>2</v>
      </c>
      <c r="D173" s="8" t="s">
        <v>439</v>
      </c>
      <c r="E173" s="8" t="s">
        <v>447</v>
      </c>
      <c r="F173" s="18" t="s">
        <v>452</v>
      </c>
      <c r="G173" s="18" t="s">
        <v>448</v>
      </c>
      <c r="H173" s="19">
        <v>350</v>
      </c>
      <c r="I173" s="19">
        <v>0</v>
      </c>
      <c r="J173" s="20" t="s">
        <v>453</v>
      </c>
      <c r="K173" s="20" t="s">
        <v>25</v>
      </c>
      <c r="L173" s="20" t="s">
        <v>26</v>
      </c>
      <c r="M173" s="20" t="s">
        <v>26</v>
      </c>
      <c r="N173" s="21">
        <v>41.958121395466002</v>
      </c>
      <c r="O173" s="10">
        <v>-78.643934836692495</v>
      </c>
      <c r="P173" s="22">
        <v>515</v>
      </c>
      <c r="Q173" s="23">
        <v>44264</v>
      </c>
      <c r="R173" s="22" t="s">
        <v>33</v>
      </c>
      <c r="S173" s="22" t="s">
        <v>28</v>
      </c>
      <c r="T173" s="24">
        <f t="shared" si="3"/>
        <v>591.73500000000001</v>
      </c>
    </row>
    <row r="174" spans="1:20" x14ac:dyDescent="0.25">
      <c r="A174" s="8">
        <v>727</v>
      </c>
      <c r="B174" s="8" t="s">
        <v>19</v>
      </c>
      <c r="C174" s="8">
        <v>2</v>
      </c>
      <c r="D174" s="8" t="s">
        <v>439</v>
      </c>
      <c r="E174" s="8" t="s">
        <v>447</v>
      </c>
      <c r="F174" s="18" t="s">
        <v>452</v>
      </c>
      <c r="G174" s="18" t="s">
        <v>448</v>
      </c>
      <c r="H174" s="19">
        <v>350</v>
      </c>
      <c r="I174" s="19">
        <v>82</v>
      </c>
      <c r="J174" s="20" t="s">
        <v>454</v>
      </c>
      <c r="K174" s="20" t="s">
        <v>25</v>
      </c>
      <c r="L174" s="20" t="s">
        <v>26</v>
      </c>
      <c r="M174" s="20" t="s">
        <v>26</v>
      </c>
      <c r="N174" s="21">
        <v>41.958139000000003</v>
      </c>
      <c r="O174" s="10">
        <v>-78.643416999999999</v>
      </c>
      <c r="P174" s="22">
        <v>220</v>
      </c>
      <c r="Q174" s="23">
        <v>44221</v>
      </c>
      <c r="R174" s="22" t="s">
        <v>27</v>
      </c>
      <c r="S174" s="22" t="s">
        <v>34</v>
      </c>
      <c r="T174" s="24">
        <f t="shared" si="3"/>
        <v>252.78</v>
      </c>
    </row>
    <row r="175" spans="1:20" x14ac:dyDescent="0.25">
      <c r="A175" s="8">
        <v>728</v>
      </c>
      <c r="B175" s="8" t="s">
        <v>19</v>
      </c>
      <c r="C175" s="8">
        <v>2</v>
      </c>
      <c r="D175" s="8" t="s">
        <v>439</v>
      </c>
      <c r="E175" s="8" t="s">
        <v>455</v>
      </c>
      <c r="F175" s="18" t="s">
        <v>456</v>
      </c>
      <c r="G175" s="18" t="s">
        <v>448</v>
      </c>
      <c r="H175" s="19">
        <v>400</v>
      </c>
      <c r="I175" s="19">
        <v>450</v>
      </c>
      <c r="J175" s="20" t="s">
        <v>457</v>
      </c>
      <c r="K175" s="20" t="s">
        <v>25</v>
      </c>
      <c r="L175" s="20" t="s">
        <v>26</v>
      </c>
      <c r="M175" s="20" t="s">
        <v>26</v>
      </c>
      <c r="N175" s="21">
        <v>41.971300811256498</v>
      </c>
      <c r="O175" s="10">
        <v>-78.596688348571405</v>
      </c>
      <c r="P175" s="22">
        <v>68</v>
      </c>
      <c r="Q175" s="23">
        <v>44221</v>
      </c>
      <c r="R175" s="22" t="s">
        <v>27</v>
      </c>
      <c r="S175" s="22" t="s">
        <v>34</v>
      </c>
      <c r="T175" s="24">
        <f t="shared" si="3"/>
        <v>78.132000000000005</v>
      </c>
    </row>
    <row r="176" spans="1:20" x14ac:dyDescent="0.25">
      <c r="A176" s="8">
        <v>729</v>
      </c>
      <c r="B176" s="8" t="s">
        <v>19</v>
      </c>
      <c r="C176" s="8">
        <v>2</v>
      </c>
      <c r="D176" s="8" t="s">
        <v>439</v>
      </c>
      <c r="E176" s="8" t="s">
        <v>447</v>
      </c>
      <c r="F176" s="18" t="s">
        <v>77</v>
      </c>
      <c r="G176" s="18" t="s">
        <v>458</v>
      </c>
      <c r="H176" s="19">
        <v>112</v>
      </c>
      <c r="I176" s="19">
        <v>1063</v>
      </c>
      <c r="J176" s="20" t="s">
        <v>459</v>
      </c>
      <c r="K176" s="20" t="s">
        <v>25</v>
      </c>
      <c r="L176" s="20" t="s">
        <v>26</v>
      </c>
      <c r="M176" s="20" t="s">
        <v>26</v>
      </c>
      <c r="N176" s="21">
        <v>41.968312732155198</v>
      </c>
      <c r="O176" s="10">
        <v>-78.622067615633597</v>
      </c>
      <c r="P176" s="22">
        <v>186</v>
      </c>
      <c r="Q176" s="23">
        <v>44221</v>
      </c>
      <c r="R176" s="22" t="s">
        <v>27</v>
      </c>
      <c r="S176" s="22" t="s">
        <v>62</v>
      </c>
      <c r="T176" s="24">
        <f t="shared" si="3"/>
        <v>213.714</v>
      </c>
    </row>
    <row r="177" spans="1:20" x14ac:dyDescent="0.25">
      <c r="A177" s="8">
        <v>732</v>
      </c>
      <c r="B177" s="8" t="s">
        <v>19</v>
      </c>
      <c r="C177" s="8">
        <v>2</v>
      </c>
      <c r="D177" s="8" t="s">
        <v>460</v>
      </c>
      <c r="E177" s="8" t="s">
        <v>461</v>
      </c>
      <c r="F177" s="18" t="s">
        <v>462</v>
      </c>
      <c r="G177" s="18" t="s">
        <v>463</v>
      </c>
      <c r="H177" s="19">
        <v>550</v>
      </c>
      <c r="I177" s="19">
        <v>2200</v>
      </c>
      <c r="J177" s="20" t="s">
        <v>464</v>
      </c>
      <c r="K177" s="20" t="s">
        <v>25</v>
      </c>
      <c r="L177" s="20" t="s">
        <v>26</v>
      </c>
      <c r="M177" s="20" t="s">
        <v>26</v>
      </c>
      <c r="N177" s="21">
        <v>40.589915200787402</v>
      </c>
      <c r="O177" s="10">
        <v>-77.577466470735104</v>
      </c>
      <c r="P177" s="22">
        <v>301</v>
      </c>
      <c r="Q177" s="23">
        <v>44250</v>
      </c>
      <c r="R177" s="22" t="s">
        <v>27</v>
      </c>
      <c r="S177" s="22" t="s">
        <v>62</v>
      </c>
      <c r="T177" s="24">
        <f t="shared" si="3"/>
        <v>345.84899999999999</v>
      </c>
    </row>
    <row r="178" spans="1:20" x14ac:dyDescent="0.25">
      <c r="A178" s="8">
        <v>733</v>
      </c>
      <c r="B178" s="8" t="s">
        <v>19</v>
      </c>
      <c r="C178" s="8">
        <v>2</v>
      </c>
      <c r="D178" s="8" t="s">
        <v>460</v>
      </c>
      <c r="E178" s="8" t="s">
        <v>461</v>
      </c>
      <c r="F178" s="18" t="s">
        <v>465</v>
      </c>
      <c r="G178" s="18" t="s">
        <v>463</v>
      </c>
      <c r="H178" s="19">
        <v>556</v>
      </c>
      <c r="I178" s="19">
        <v>711</v>
      </c>
      <c r="J178" s="20" t="s">
        <v>466</v>
      </c>
      <c r="K178" s="20" t="s">
        <v>25</v>
      </c>
      <c r="L178" s="20" t="s">
        <v>26</v>
      </c>
      <c r="M178" s="20" t="s">
        <v>26</v>
      </c>
      <c r="N178" s="21">
        <v>40.592711426400797</v>
      </c>
      <c r="O178" s="10">
        <v>-77.578369504438399</v>
      </c>
      <c r="P178" s="22">
        <v>174</v>
      </c>
      <c r="Q178" s="23">
        <v>44250</v>
      </c>
      <c r="R178" s="22" t="s">
        <v>27</v>
      </c>
      <c r="S178" s="22" t="s">
        <v>38</v>
      </c>
      <c r="T178" s="24">
        <f t="shared" si="3"/>
        <v>199.92600000000002</v>
      </c>
    </row>
    <row r="179" spans="1:20" x14ac:dyDescent="0.25">
      <c r="A179" s="8">
        <v>734</v>
      </c>
      <c r="B179" s="8" t="s">
        <v>19</v>
      </c>
      <c r="C179" s="8">
        <v>2</v>
      </c>
      <c r="D179" s="8" t="s">
        <v>460</v>
      </c>
      <c r="E179" s="8" t="s">
        <v>467</v>
      </c>
      <c r="F179" s="18" t="s">
        <v>468</v>
      </c>
      <c r="G179" s="18" t="s">
        <v>469</v>
      </c>
      <c r="H179" s="19">
        <v>110</v>
      </c>
      <c r="I179" s="19">
        <v>33</v>
      </c>
      <c r="J179" s="20" t="s">
        <v>470</v>
      </c>
      <c r="K179" s="20" t="s">
        <v>25</v>
      </c>
      <c r="L179" s="20" t="s">
        <v>26</v>
      </c>
      <c r="M179" s="20" t="s">
        <v>26</v>
      </c>
      <c r="N179" s="21">
        <v>40.619551346595699</v>
      </c>
      <c r="O179" s="10">
        <v>-77.544860298473594</v>
      </c>
      <c r="P179" s="22">
        <v>402</v>
      </c>
      <c r="Q179" s="23">
        <v>44250</v>
      </c>
      <c r="R179" s="22" t="s">
        <v>27</v>
      </c>
      <c r="S179" s="22" t="s">
        <v>28</v>
      </c>
      <c r="T179" s="24">
        <f t="shared" si="3"/>
        <v>461.89800000000002</v>
      </c>
    </row>
    <row r="180" spans="1:20" x14ac:dyDescent="0.25">
      <c r="A180" s="8">
        <v>735</v>
      </c>
      <c r="B180" s="8" t="s">
        <v>19</v>
      </c>
      <c r="C180" s="8">
        <v>2</v>
      </c>
      <c r="D180" s="8" t="s">
        <v>460</v>
      </c>
      <c r="E180" s="8" t="s">
        <v>467</v>
      </c>
      <c r="F180" s="18" t="s">
        <v>468</v>
      </c>
      <c r="G180" s="18" t="s">
        <v>469</v>
      </c>
      <c r="H180" s="19">
        <v>110</v>
      </c>
      <c r="I180" s="19">
        <v>133</v>
      </c>
      <c r="J180" s="20" t="s">
        <v>471</v>
      </c>
      <c r="K180" s="20" t="s">
        <v>25</v>
      </c>
      <c r="L180" s="20" t="s">
        <v>26</v>
      </c>
      <c r="M180" s="20" t="s">
        <v>26</v>
      </c>
      <c r="N180" s="21">
        <v>40.619678068733897</v>
      </c>
      <c r="O180" s="10">
        <v>-77.544546379507096</v>
      </c>
      <c r="P180" s="22">
        <v>95</v>
      </c>
      <c r="Q180" s="23">
        <v>44250</v>
      </c>
      <c r="R180" s="22" t="s">
        <v>27</v>
      </c>
      <c r="S180" s="22" t="s">
        <v>34</v>
      </c>
      <c r="T180" s="24">
        <f t="shared" si="3"/>
        <v>109.155</v>
      </c>
    </row>
    <row r="181" spans="1:20" x14ac:dyDescent="0.25">
      <c r="A181" s="8">
        <v>736</v>
      </c>
      <c r="B181" s="8" t="s">
        <v>19</v>
      </c>
      <c r="C181" s="8">
        <v>2</v>
      </c>
      <c r="D181" s="8" t="s">
        <v>460</v>
      </c>
      <c r="E181" s="8" t="s">
        <v>472</v>
      </c>
      <c r="F181" s="18" t="s">
        <v>473</v>
      </c>
      <c r="G181" s="18" t="s">
        <v>474</v>
      </c>
      <c r="H181" s="18">
        <v>190</v>
      </c>
      <c r="I181" s="18">
        <v>0</v>
      </c>
      <c r="J181" s="20" t="s">
        <v>475</v>
      </c>
      <c r="K181" s="20" t="s">
        <v>25</v>
      </c>
      <c r="L181" s="27" t="s">
        <v>26</v>
      </c>
      <c r="M181" s="27" t="s">
        <v>26</v>
      </c>
      <c r="N181" s="21">
        <v>40.615484249724801</v>
      </c>
      <c r="O181" s="10">
        <v>-77.701266158887705</v>
      </c>
      <c r="P181" s="22">
        <v>1430</v>
      </c>
      <c r="Q181" s="23">
        <v>44250</v>
      </c>
      <c r="R181" s="22" t="s">
        <v>27</v>
      </c>
      <c r="S181" s="22" t="s">
        <v>28</v>
      </c>
      <c r="T181" s="24">
        <f t="shared" si="3"/>
        <v>1643.07</v>
      </c>
    </row>
    <row r="182" spans="1:20" x14ac:dyDescent="0.25">
      <c r="A182" s="8">
        <v>737</v>
      </c>
      <c r="B182" s="8" t="s">
        <v>19</v>
      </c>
      <c r="C182" s="8">
        <v>2</v>
      </c>
      <c r="D182" s="8" t="s">
        <v>460</v>
      </c>
      <c r="E182" s="8" t="s">
        <v>472</v>
      </c>
      <c r="F182" s="18" t="s">
        <v>473</v>
      </c>
      <c r="G182" s="18" t="s">
        <v>474</v>
      </c>
      <c r="H182" s="18">
        <v>200</v>
      </c>
      <c r="I182" s="18">
        <v>0</v>
      </c>
      <c r="J182" s="20" t="s">
        <v>476</v>
      </c>
      <c r="K182" s="20" t="s">
        <v>25</v>
      </c>
      <c r="L182" s="27" t="s">
        <v>26</v>
      </c>
      <c r="M182" s="27" t="s">
        <v>26</v>
      </c>
      <c r="N182" s="21">
        <v>40.619032039939398</v>
      </c>
      <c r="O182" s="10">
        <v>-77.695545382629604</v>
      </c>
      <c r="P182" s="22">
        <v>379</v>
      </c>
      <c r="Q182" s="23">
        <v>44250</v>
      </c>
      <c r="R182" s="22" t="s">
        <v>27</v>
      </c>
      <c r="S182" s="22" t="s">
        <v>34</v>
      </c>
      <c r="T182" s="24">
        <f t="shared" si="3"/>
        <v>435.471</v>
      </c>
    </row>
    <row r="183" spans="1:20" x14ac:dyDescent="0.25">
      <c r="A183" s="8">
        <v>738</v>
      </c>
      <c r="B183" s="8" t="s">
        <v>19</v>
      </c>
      <c r="C183" s="8">
        <v>2</v>
      </c>
      <c r="D183" s="8" t="s">
        <v>460</v>
      </c>
      <c r="E183" s="8" t="s">
        <v>477</v>
      </c>
      <c r="F183" s="18" t="s">
        <v>473</v>
      </c>
      <c r="G183" s="18" t="s">
        <v>474</v>
      </c>
      <c r="H183" s="19">
        <v>314</v>
      </c>
      <c r="I183" s="19">
        <v>1429</v>
      </c>
      <c r="J183" s="20" t="s">
        <v>478</v>
      </c>
      <c r="K183" s="20" t="s">
        <v>25</v>
      </c>
      <c r="L183" s="20" t="s">
        <v>26</v>
      </c>
      <c r="M183" s="20" t="s">
        <v>26</v>
      </c>
      <c r="N183" s="21">
        <v>40.667432012150996</v>
      </c>
      <c r="O183" s="10">
        <v>-77.606625672480106</v>
      </c>
      <c r="P183" s="22">
        <v>1341</v>
      </c>
      <c r="Q183" s="23">
        <v>44250</v>
      </c>
      <c r="R183" s="22" t="s">
        <v>27</v>
      </c>
      <c r="S183" s="22" t="s">
        <v>34</v>
      </c>
      <c r="T183" s="24">
        <f t="shared" si="3"/>
        <v>1540.809</v>
      </c>
    </row>
    <row r="184" spans="1:20" x14ac:dyDescent="0.25">
      <c r="A184" s="8">
        <v>739</v>
      </c>
      <c r="B184" s="8" t="s">
        <v>19</v>
      </c>
      <c r="C184" s="8">
        <v>2</v>
      </c>
      <c r="D184" s="8" t="s">
        <v>460</v>
      </c>
      <c r="E184" s="8" t="s">
        <v>479</v>
      </c>
      <c r="F184" s="18" t="s">
        <v>480</v>
      </c>
      <c r="G184" s="18" t="s">
        <v>481</v>
      </c>
      <c r="H184" s="19">
        <v>34</v>
      </c>
      <c r="I184" s="19">
        <v>1140</v>
      </c>
      <c r="J184" s="20" t="s">
        <v>482</v>
      </c>
      <c r="K184" s="20" t="s">
        <v>25</v>
      </c>
      <c r="L184" s="20" t="s">
        <v>26</v>
      </c>
      <c r="M184" s="20" t="s">
        <v>26</v>
      </c>
      <c r="N184" s="21">
        <v>40.604200445982102</v>
      </c>
      <c r="O184" s="10">
        <v>-77.570446726795197</v>
      </c>
      <c r="P184" s="22">
        <v>1192</v>
      </c>
      <c r="Q184" s="23">
        <v>44250</v>
      </c>
      <c r="R184" s="22" t="s">
        <v>27</v>
      </c>
      <c r="S184" s="22" t="s">
        <v>38</v>
      </c>
      <c r="T184" s="24">
        <f t="shared" si="3"/>
        <v>1369.6079999999999</v>
      </c>
    </row>
    <row r="185" spans="1:20" x14ac:dyDescent="0.25">
      <c r="A185" s="8">
        <v>740</v>
      </c>
      <c r="B185" s="8" t="s">
        <v>19</v>
      </c>
      <c r="C185" s="8">
        <v>2</v>
      </c>
      <c r="D185" s="8" t="s">
        <v>460</v>
      </c>
      <c r="E185" s="8" t="s">
        <v>467</v>
      </c>
      <c r="F185" s="18" t="s">
        <v>483</v>
      </c>
      <c r="G185" s="18" t="s">
        <v>481</v>
      </c>
      <c r="H185" s="19">
        <v>50</v>
      </c>
      <c r="I185" s="19">
        <v>872</v>
      </c>
      <c r="J185" s="20" t="s">
        <v>484</v>
      </c>
      <c r="K185" s="20" t="s">
        <v>25</v>
      </c>
      <c r="L185" s="20" t="s">
        <v>26</v>
      </c>
      <c r="M185" s="20" t="s">
        <v>26</v>
      </c>
      <c r="N185" s="21">
        <v>40.615446851543403</v>
      </c>
      <c r="O185" s="10">
        <v>-77.568527986832194</v>
      </c>
      <c r="P185" s="22">
        <v>834</v>
      </c>
      <c r="Q185" s="23">
        <v>44250</v>
      </c>
      <c r="R185" s="22" t="s">
        <v>27</v>
      </c>
      <c r="S185" s="22" t="s">
        <v>34</v>
      </c>
      <c r="T185" s="24">
        <f t="shared" si="3"/>
        <v>958.26599999999996</v>
      </c>
    </row>
    <row r="186" spans="1:20" x14ac:dyDescent="0.25">
      <c r="A186" s="8">
        <v>741</v>
      </c>
      <c r="B186" s="8" t="s">
        <v>19</v>
      </c>
      <c r="C186" s="8">
        <v>2</v>
      </c>
      <c r="D186" s="8" t="s">
        <v>460</v>
      </c>
      <c r="E186" s="8" t="s">
        <v>485</v>
      </c>
      <c r="F186" s="18" t="s">
        <v>486</v>
      </c>
      <c r="G186" s="18" t="s">
        <v>481</v>
      </c>
      <c r="H186" s="19">
        <v>210</v>
      </c>
      <c r="I186" s="19">
        <v>1443</v>
      </c>
      <c r="J186" s="20" t="s">
        <v>487</v>
      </c>
      <c r="K186" s="20" t="s">
        <v>25</v>
      </c>
      <c r="L186" s="20" t="s">
        <v>26</v>
      </c>
      <c r="M186" s="20" t="s">
        <v>26</v>
      </c>
      <c r="N186" s="21">
        <v>40.703306639567401</v>
      </c>
      <c r="O186" s="10">
        <v>-77.590424250498401</v>
      </c>
      <c r="P186" s="22">
        <v>3159</v>
      </c>
      <c r="Q186" s="23">
        <v>44250</v>
      </c>
      <c r="R186" s="22" t="s">
        <v>27</v>
      </c>
      <c r="S186" s="22" t="s">
        <v>62</v>
      </c>
      <c r="T186" s="24">
        <f t="shared" si="3"/>
        <v>3629.6910000000003</v>
      </c>
    </row>
    <row r="187" spans="1:20" x14ac:dyDescent="0.25">
      <c r="A187" s="8">
        <v>742</v>
      </c>
      <c r="B187" s="8" t="s">
        <v>19</v>
      </c>
      <c r="C187" s="8">
        <v>2</v>
      </c>
      <c r="D187" s="8" t="s">
        <v>460</v>
      </c>
      <c r="E187" s="8" t="s">
        <v>467</v>
      </c>
      <c r="F187" s="18" t="s">
        <v>488</v>
      </c>
      <c r="G187" s="18" t="s">
        <v>489</v>
      </c>
      <c r="H187" s="19">
        <v>40</v>
      </c>
      <c r="I187" s="19">
        <v>591</v>
      </c>
      <c r="J187" s="20" t="s">
        <v>490</v>
      </c>
      <c r="K187" s="20" t="s">
        <v>25</v>
      </c>
      <c r="L187" s="20" t="s">
        <v>26</v>
      </c>
      <c r="M187" s="20" t="s">
        <v>26</v>
      </c>
      <c r="N187" s="21">
        <v>40.602705760708503</v>
      </c>
      <c r="O187" s="10">
        <v>-77.556498524462299</v>
      </c>
      <c r="P187" s="22">
        <v>2308</v>
      </c>
      <c r="Q187" s="23">
        <v>44250</v>
      </c>
      <c r="R187" s="22" t="s">
        <v>27</v>
      </c>
      <c r="S187" s="22" t="s">
        <v>34</v>
      </c>
      <c r="T187" s="24">
        <f t="shared" si="3"/>
        <v>2651.8919999999998</v>
      </c>
    </row>
    <row r="188" spans="1:20" x14ac:dyDescent="0.25">
      <c r="A188" s="8">
        <v>743</v>
      </c>
      <c r="B188" s="8" t="s">
        <v>19</v>
      </c>
      <c r="C188" s="8">
        <v>2</v>
      </c>
      <c r="D188" s="8" t="s">
        <v>460</v>
      </c>
      <c r="E188" s="8" t="s">
        <v>479</v>
      </c>
      <c r="F188" s="18" t="s">
        <v>77</v>
      </c>
      <c r="G188" s="18" t="s">
        <v>491</v>
      </c>
      <c r="H188" s="19">
        <v>30</v>
      </c>
      <c r="I188" s="19">
        <v>1386</v>
      </c>
      <c r="J188" s="20" t="s">
        <v>492</v>
      </c>
      <c r="K188" s="20" t="s">
        <v>25</v>
      </c>
      <c r="L188" s="20" t="s">
        <v>26</v>
      </c>
      <c r="M188" s="20" t="s">
        <v>26</v>
      </c>
      <c r="N188" s="21">
        <v>40.5916408810806</v>
      </c>
      <c r="O188" s="10">
        <v>-77.567074031977896</v>
      </c>
      <c r="P188" s="22">
        <v>656</v>
      </c>
      <c r="Q188" s="23">
        <v>44250</v>
      </c>
      <c r="R188" s="22" t="s">
        <v>27</v>
      </c>
      <c r="S188" s="22" t="s">
        <v>34</v>
      </c>
      <c r="T188" s="24">
        <f t="shared" si="3"/>
        <v>753.74400000000003</v>
      </c>
    </row>
    <row r="189" spans="1:20" x14ac:dyDescent="0.25">
      <c r="A189" s="8">
        <v>744</v>
      </c>
      <c r="B189" s="8" t="s">
        <v>19</v>
      </c>
      <c r="C189" s="8">
        <v>2</v>
      </c>
      <c r="D189" s="8" t="s">
        <v>460</v>
      </c>
      <c r="E189" s="8" t="s">
        <v>461</v>
      </c>
      <c r="F189" s="18" t="s">
        <v>493</v>
      </c>
      <c r="G189" s="18" t="s">
        <v>494</v>
      </c>
      <c r="H189" s="19">
        <v>30</v>
      </c>
      <c r="I189" s="19">
        <v>296</v>
      </c>
      <c r="J189" s="20" t="s">
        <v>495</v>
      </c>
      <c r="K189" s="20" t="s">
        <v>25</v>
      </c>
      <c r="L189" s="20" t="s">
        <v>26</v>
      </c>
      <c r="M189" s="20" t="s">
        <v>26</v>
      </c>
      <c r="N189" s="21">
        <v>40.582851897909499</v>
      </c>
      <c r="O189" s="10">
        <v>-77.613361632264898</v>
      </c>
      <c r="P189" s="22">
        <v>8234</v>
      </c>
      <c r="Q189" s="23">
        <v>44250</v>
      </c>
      <c r="R189" s="22" t="s">
        <v>27</v>
      </c>
      <c r="S189" s="22" t="s">
        <v>28</v>
      </c>
      <c r="T189" s="24">
        <f t="shared" si="3"/>
        <v>9460.866</v>
      </c>
    </row>
    <row r="190" spans="1:20" x14ac:dyDescent="0.25">
      <c r="A190" s="8">
        <v>745</v>
      </c>
      <c r="B190" s="8" t="s">
        <v>19</v>
      </c>
      <c r="C190" s="8">
        <v>2</v>
      </c>
      <c r="D190" s="8" t="s">
        <v>460</v>
      </c>
      <c r="E190" s="8" t="s">
        <v>479</v>
      </c>
      <c r="F190" s="18" t="s">
        <v>391</v>
      </c>
      <c r="G190" s="18" t="s">
        <v>494</v>
      </c>
      <c r="H190" s="19">
        <v>70</v>
      </c>
      <c r="I190" s="19">
        <v>623</v>
      </c>
      <c r="J190" s="20" t="s">
        <v>496</v>
      </c>
      <c r="K190" s="20" t="s">
        <v>25</v>
      </c>
      <c r="L190" s="20" t="s">
        <v>26</v>
      </c>
      <c r="M190" s="20" t="s">
        <v>26</v>
      </c>
      <c r="N190" s="21">
        <v>40.594666011143801</v>
      </c>
      <c r="O190" s="10">
        <v>-77.5861006806701</v>
      </c>
      <c r="P190" s="22">
        <v>209</v>
      </c>
      <c r="Q190" s="23">
        <v>44284</v>
      </c>
      <c r="R190" s="22" t="s">
        <v>27</v>
      </c>
      <c r="S190" s="22" t="s">
        <v>34</v>
      </c>
      <c r="T190" s="24">
        <f t="shared" si="3"/>
        <v>240.14099999999999</v>
      </c>
    </row>
    <row r="191" spans="1:20" x14ac:dyDescent="0.25">
      <c r="A191" s="8">
        <v>746</v>
      </c>
      <c r="B191" s="8" t="s">
        <v>19</v>
      </c>
      <c r="C191" s="8">
        <v>2</v>
      </c>
      <c r="D191" s="8" t="s">
        <v>460</v>
      </c>
      <c r="E191" s="8" t="s">
        <v>479</v>
      </c>
      <c r="F191" s="18" t="s">
        <v>391</v>
      </c>
      <c r="G191" s="18" t="s">
        <v>494</v>
      </c>
      <c r="H191" s="19">
        <v>70</v>
      </c>
      <c r="I191" s="19">
        <v>2328</v>
      </c>
      <c r="J191" s="20" t="s">
        <v>497</v>
      </c>
      <c r="K191" s="20" t="s">
        <v>25</v>
      </c>
      <c r="L191" s="20" t="s">
        <v>26</v>
      </c>
      <c r="M191" s="20" t="s">
        <v>26</v>
      </c>
      <c r="N191" s="21">
        <v>40.5955012373676</v>
      </c>
      <c r="O191" s="10">
        <v>-77.580260807086702</v>
      </c>
      <c r="P191" s="22">
        <v>4043</v>
      </c>
      <c r="Q191" s="23">
        <v>44250</v>
      </c>
      <c r="R191" s="22" t="s">
        <v>27</v>
      </c>
      <c r="S191" s="22" t="s">
        <v>34</v>
      </c>
      <c r="T191" s="24">
        <f t="shared" si="3"/>
        <v>4645.4070000000002</v>
      </c>
    </row>
    <row r="192" spans="1:20" x14ac:dyDescent="0.25">
      <c r="A192" s="8">
        <v>748</v>
      </c>
      <c r="B192" s="8" t="s">
        <v>19</v>
      </c>
      <c r="C192" s="8">
        <v>2</v>
      </c>
      <c r="D192" s="8" t="s">
        <v>460</v>
      </c>
      <c r="E192" s="8" t="s">
        <v>479</v>
      </c>
      <c r="F192" s="18" t="s">
        <v>498</v>
      </c>
      <c r="G192" s="18" t="s">
        <v>494</v>
      </c>
      <c r="H192" s="19">
        <v>90</v>
      </c>
      <c r="I192" s="19">
        <v>961</v>
      </c>
      <c r="J192" s="20" t="s">
        <v>499</v>
      </c>
      <c r="K192" s="20" t="s">
        <v>25</v>
      </c>
      <c r="L192" s="20" t="s">
        <v>26</v>
      </c>
      <c r="M192" s="20" t="s">
        <v>26</v>
      </c>
      <c r="N192" s="21">
        <v>40.595564687781902</v>
      </c>
      <c r="O192" s="10">
        <v>-77.568680600557997</v>
      </c>
      <c r="P192" s="22">
        <v>4215</v>
      </c>
      <c r="Q192" s="23">
        <v>44250</v>
      </c>
      <c r="R192" s="22" t="s">
        <v>27</v>
      </c>
      <c r="S192" s="22" t="s">
        <v>28</v>
      </c>
      <c r="T192" s="24">
        <f t="shared" si="3"/>
        <v>4843.0349999999999</v>
      </c>
    </row>
    <row r="193" spans="1:20" x14ac:dyDescent="0.25">
      <c r="A193" s="8">
        <v>749</v>
      </c>
      <c r="B193" s="8" t="s">
        <v>19</v>
      </c>
      <c r="C193" s="8">
        <v>2</v>
      </c>
      <c r="D193" s="8" t="s">
        <v>460</v>
      </c>
      <c r="E193" s="8" t="s">
        <v>500</v>
      </c>
      <c r="F193" s="18" t="s">
        <v>501</v>
      </c>
      <c r="G193" s="18" t="s">
        <v>302</v>
      </c>
      <c r="H193" s="18">
        <v>10</v>
      </c>
      <c r="I193" s="18">
        <v>191</v>
      </c>
      <c r="J193" s="20" t="s">
        <v>22</v>
      </c>
      <c r="K193" s="20" t="s">
        <v>25</v>
      </c>
      <c r="L193" s="27" t="s">
        <v>26</v>
      </c>
      <c r="M193" s="27" t="s">
        <v>26</v>
      </c>
      <c r="N193" s="21">
        <v>40.497937109106601</v>
      </c>
      <c r="O193" s="10">
        <v>-77.739833794702605</v>
      </c>
      <c r="P193" s="22">
        <v>182</v>
      </c>
      <c r="Q193" s="23">
        <v>44250</v>
      </c>
      <c r="R193" s="22" t="s">
        <v>27</v>
      </c>
      <c r="S193" s="22" t="s">
        <v>34</v>
      </c>
      <c r="T193" s="24">
        <f t="shared" si="3"/>
        <v>209.11799999999999</v>
      </c>
    </row>
    <row r="194" spans="1:20" x14ac:dyDescent="0.25">
      <c r="A194" s="8">
        <v>750</v>
      </c>
      <c r="B194" s="8" t="s">
        <v>19</v>
      </c>
      <c r="C194" s="8">
        <v>2</v>
      </c>
      <c r="D194" s="8" t="s">
        <v>460</v>
      </c>
      <c r="E194" s="8" t="s">
        <v>467</v>
      </c>
      <c r="F194" s="18" t="s">
        <v>502</v>
      </c>
      <c r="G194" s="18" t="s">
        <v>503</v>
      </c>
      <c r="H194" s="19">
        <v>210</v>
      </c>
      <c r="I194" s="19">
        <v>1330</v>
      </c>
      <c r="J194" s="29" t="s">
        <v>504</v>
      </c>
      <c r="K194" s="20" t="s">
        <v>25</v>
      </c>
      <c r="L194" s="20" t="s">
        <v>26</v>
      </c>
      <c r="M194" s="20" t="s">
        <v>26</v>
      </c>
      <c r="N194" s="21">
        <v>40.6290451038304</v>
      </c>
      <c r="O194" s="10">
        <v>-77.572808215536895</v>
      </c>
      <c r="P194" s="22">
        <v>3040</v>
      </c>
      <c r="Q194" s="23">
        <v>44250</v>
      </c>
      <c r="R194" s="22" t="s">
        <v>27</v>
      </c>
      <c r="S194" s="22" t="s">
        <v>34</v>
      </c>
      <c r="T194" s="24">
        <f t="shared" si="3"/>
        <v>3492.96</v>
      </c>
    </row>
    <row r="195" spans="1:20" x14ac:dyDescent="0.25">
      <c r="A195" s="8">
        <v>886</v>
      </c>
      <c r="B195" s="8" t="s">
        <v>19</v>
      </c>
      <c r="C195" s="8">
        <v>2</v>
      </c>
      <c r="D195" s="8" t="s">
        <v>505</v>
      </c>
      <c r="E195" s="8" t="s">
        <v>506</v>
      </c>
      <c r="F195" s="18" t="s">
        <v>143</v>
      </c>
      <c r="G195" s="18" t="s">
        <v>23</v>
      </c>
      <c r="H195" s="18">
        <v>250</v>
      </c>
      <c r="I195" s="18">
        <v>0</v>
      </c>
      <c r="J195" s="20" t="s">
        <v>507</v>
      </c>
      <c r="K195" s="20" t="s">
        <v>25</v>
      </c>
      <c r="L195" s="27" t="s">
        <v>26</v>
      </c>
      <c r="M195" s="27" t="s">
        <v>26</v>
      </c>
      <c r="N195" s="21">
        <v>41.769742781024803</v>
      </c>
      <c r="O195" s="10">
        <v>-78.025376190678998</v>
      </c>
      <c r="P195" s="22">
        <v>1511</v>
      </c>
      <c r="Q195" s="23">
        <v>44264</v>
      </c>
      <c r="R195" s="22" t="s">
        <v>27</v>
      </c>
      <c r="S195" s="22" t="s">
        <v>34</v>
      </c>
      <c r="T195" s="24">
        <f t="shared" si="3"/>
        <v>1736.1390000000001</v>
      </c>
    </row>
    <row r="196" spans="1:20" x14ac:dyDescent="0.25">
      <c r="A196" s="8">
        <v>887</v>
      </c>
      <c r="B196" s="8" t="s">
        <v>19</v>
      </c>
      <c r="C196" s="8">
        <v>2</v>
      </c>
      <c r="D196" s="8" t="s">
        <v>505</v>
      </c>
      <c r="E196" s="8" t="s">
        <v>506</v>
      </c>
      <c r="F196" s="18" t="s">
        <v>143</v>
      </c>
      <c r="G196" s="18" t="s">
        <v>23</v>
      </c>
      <c r="H196" s="18">
        <v>250</v>
      </c>
      <c r="I196" s="18">
        <v>741</v>
      </c>
      <c r="J196" s="20" t="s">
        <v>508</v>
      </c>
      <c r="K196" s="20" t="s">
        <v>25</v>
      </c>
      <c r="L196" s="27" t="s">
        <v>26</v>
      </c>
      <c r="M196" s="27" t="s">
        <v>26</v>
      </c>
      <c r="N196" s="21">
        <v>41.769704442406997</v>
      </c>
      <c r="O196" s="10">
        <v>-78.022830090014295</v>
      </c>
      <c r="P196" s="22">
        <v>509</v>
      </c>
      <c r="Q196" s="23">
        <v>44264</v>
      </c>
      <c r="R196" s="22" t="s">
        <v>27</v>
      </c>
      <c r="S196" s="22" t="s">
        <v>34</v>
      </c>
      <c r="T196" s="24">
        <f t="shared" si="3"/>
        <v>584.84100000000001</v>
      </c>
    </row>
    <row r="197" spans="1:20" x14ac:dyDescent="0.25">
      <c r="A197" s="8">
        <v>888</v>
      </c>
      <c r="B197" s="8" t="s">
        <v>19</v>
      </c>
      <c r="C197" s="8">
        <v>2</v>
      </c>
      <c r="D197" s="8" t="s">
        <v>505</v>
      </c>
      <c r="E197" s="8" t="s">
        <v>506</v>
      </c>
      <c r="F197" s="18" t="s">
        <v>509</v>
      </c>
      <c r="G197" s="18" t="s">
        <v>23</v>
      </c>
      <c r="H197" s="18">
        <v>270</v>
      </c>
      <c r="I197" s="18">
        <v>334</v>
      </c>
      <c r="J197" s="20" t="s">
        <v>444</v>
      </c>
      <c r="K197" s="20" t="s">
        <v>25</v>
      </c>
      <c r="L197" s="27" t="s">
        <v>26</v>
      </c>
      <c r="M197" s="27" t="s">
        <v>26</v>
      </c>
      <c r="N197" s="21">
        <v>41.774540524176501</v>
      </c>
      <c r="O197" s="10">
        <v>-78.019777424738805</v>
      </c>
      <c r="P197" s="22">
        <v>926</v>
      </c>
      <c r="Q197" s="23">
        <v>44264</v>
      </c>
      <c r="R197" s="22" t="s">
        <v>27</v>
      </c>
      <c r="S197" s="22" t="s">
        <v>34</v>
      </c>
      <c r="T197" s="24">
        <f t="shared" si="3"/>
        <v>1063.9739999999999</v>
      </c>
    </row>
    <row r="198" spans="1:20" x14ac:dyDescent="0.25">
      <c r="A198" s="8">
        <v>889</v>
      </c>
      <c r="B198" s="8" t="s">
        <v>19</v>
      </c>
      <c r="C198" s="8">
        <v>2</v>
      </c>
      <c r="D198" s="8" t="s">
        <v>505</v>
      </c>
      <c r="E198" s="8" t="s">
        <v>510</v>
      </c>
      <c r="F198" s="18" t="s">
        <v>511</v>
      </c>
      <c r="G198" s="18" t="s">
        <v>503</v>
      </c>
      <c r="H198" s="18">
        <v>150</v>
      </c>
      <c r="I198" s="18">
        <v>1085</v>
      </c>
      <c r="J198" s="20" t="s">
        <v>512</v>
      </c>
      <c r="K198" s="20" t="s">
        <v>25</v>
      </c>
      <c r="L198" s="27" t="s">
        <v>26</v>
      </c>
      <c r="M198" s="27" t="s">
        <v>26</v>
      </c>
      <c r="N198" s="21">
        <v>41.8312936562277</v>
      </c>
      <c r="O198" s="10">
        <v>-77.911878387084698</v>
      </c>
      <c r="P198" s="22">
        <v>245</v>
      </c>
      <c r="Q198" s="23">
        <v>44221</v>
      </c>
      <c r="R198" s="22" t="s">
        <v>27</v>
      </c>
      <c r="S198" s="22" t="s">
        <v>38</v>
      </c>
      <c r="T198" s="24">
        <f t="shared" si="3"/>
        <v>281.505</v>
      </c>
    </row>
    <row r="199" spans="1:20" x14ac:dyDescent="0.25">
      <c r="A199" s="8">
        <v>122</v>
      </c>
      <c r="B199" s="8" t="s">
        <v>19</v>
      </c>
      <c r="C199" s="8">
        <v>3</v>
      </c>
      <c r="D199" s="8" t="s">
        <v>513</v>
      </c>
      <c r="E199" s="8" t="s">
        <v>514</v>
      </c>
      <c r="F199" s="18" t="s">
        <v>515</v>
      </c>
      <c r="G199" s="18" t="s">
        <v>23</v>
      </c>
      <c r="H199" s="18">
        <v>190</v>
      </c>
      <c r="I199" s="18">
        <v>0</v>
      </c>
      <c r="J199" s="20" t="s">
        <v>516</v>
      </c>
      <c r="K199" s="20" t="s">
        <v>25</v>
      </c>
      <c r="L199" s="27" t="s">
        <v>26</v>
      </c>
      <c r="M199" s="27" t="s">
        <v>26</v>
      </c>
      <c r="N199" s="21">
        <v>41.7867601240646</v>
      </c>
      <c r="O199" s="10">
        <v>-76.765767071011098</v>
      </c>
      <c r="P199" s="22">
        <v>303</v>
      </c>
      <c r="Q199" s="23">
        <v>44235</v>
      </c>
      <c r="R199" s="22" t="s">
        <v>27</v>
      </c>
      <c r="S199" s="22" t="s">
        <v>517</v>
      </c>
      <c r="T199" s="24">
        <f t="shared" ref="T199:T246" si="4">P199*$X$5</f>
        <v>305.42399999999998</v>
      </c>
    </row>
    <row r="200" spans="1:20" x14ac:dyDescent="0.25">
      <c r="A200" s="8">
        <v>123</v>
      </c>
      <c r="B200" s="8" t="s">
        <v>19</v>
      </c>
      <c r="C200" s="8">
        <v>3</v>
      </c>
      <c r="D200" s="8" t="s">
        <v>513</v>
      </c>
      <c r="E200" s="8" t="s">
        <v>518</v>
      </c>
      <c r="F200" s="18" t="s">
        <v>515</v>
      </c>
      <c r="G200" s="18" t="s">
        <v>23</v>
      </c>
      <c r="H200" s="18">
        <v>320</v>
      </c>
      <c r="I200" s="18">
        <v>645</v>
      </c>
      <c r="J200" s="20" t="s">
        <v>519</v>
      </c>
      <c r="K200" s="20" t="s">
        <v>25</v>
      </c>
      <c r="L200" s="27" t="s">
        <v>26</v>
      </c>
      <c r="M200" s="27" t="s">
        <v>26</v>
      </c>
      <c r="N200" s="21">
        <v>41.766939138593102</v>
      </c>
      <c r="O200" s="10">
        <v>-76.650622405594305</v>
      </c>
      <c r="P200" s="22">
        <v>27</v>
      </c>
      <c r="Q200" s="23">
        <v>44235</v>
      </c>
      <c r="R200" s="22" t="s">
        <v>27</v>
      </c>
      <c r="S200" s="22" t="s">
        <v>34</v>
      </c>
      <c r="T200" s="24">
        <f t="shared" si="4"/>
        <v>27.216000000000001</v>
      </c>
    </row>
    <row r="201" spans="1:20" x14ac:dyDescent="0.25">
      <c r="A201" s="8">
        <v>124</v>
      </c>
      <c r="B201" s="8" t="s">
        <v>19</v>
      </c>
      <c r="C201" s="8">
        <v>3</v>
      </c>
      <c r="D201" s="8" t="s">
        <v>513</v>
      </c>
      <c r="E201" s="8" t="s">
        <v>520</v>
      </c>
      <c r="F201" s="18" t="s">
        <v>515</v>
      </c>
      <c r="G201" s="18" t="s">
        <v>23</v>
      </c>
      <c r="H201" s="18">
        <v>520</v>
      </c>
      <c r="I201" s="18">
        <v>916</v>
      </c>
      <c r="J201" s="20" t="s">
        <v>521</v>
      </c>
      <c r="K201" s="20" t="s">
        <v>25</v>
      </c>
      <c r="L201" s="27" t="s">
        <v>26</v>
      </c>
      <c r="M201" s="27" t="s">
        <v>26</v>
      </c>
      <c r="N201" s="21">
        <v>41.795048472644702</v>
      </c>
      <c r="O201" s="10">
        <v>-76.478480664081999</v>
      </c>
      <c r="P201" s="22">
        <v>445</v>
      </c>
      <c r="Q201" s="23">
        <v>44243</v>
      </c>
      <c r="R201" s="22" t="s">
        <v>33</v>
      </c>
      <c r="S201" s="22" t="s">
        <v>34</v>
      </c>
      <c r="T201" s="24">
        <f t="shared" si="4"/>
        <v>448.56</v>
      </c>
    </row>
    <row r="202" spans="1:20" x14ac:dyDescent="0.25">
      <c r="A202" s="8">
        <v>125</v>
      </c>
      <c r="B202" s="8" t="s">
        <v>19</v>
      </c>
      <c r="C202" s="8">
        <v>3</v>
      </c>
      <c r="D202" s="8" t="s">
        <v>513</v>
      </c>
      <c r="E202" s="8" t="s">
        <v>520</v>
      </c>
      <c r="F202" s="18" t="s">
        <v>522</v>
      </c>
      <c r="G202" s="18" t="s">
        <v>23</v>
      </c>
      <c r="H202" s="18">
        <v>550</v>
      </c>
      <c r="I202" s="18">
        <v>3185</v>
      </c>
      <c r="J202" s="20" t="s">
        <v>523</v>
      </c>
      <c r="K202" s="20" t="s">
        <v>25</v>
      </c>
      <c r="L202" s="27" t="s">
        <v>26</v>
      </c>
      <c r="M202" s="27" t="s">
        <v>26</v>
      </c>
      <c r="N202" s="21">
        <v>41.783410067055698</v>
      </c>
      <c r="O202" s="10">
        <v>-76.450432786264997</v>
      </c>
      <c r="P202" s="22">
        <v>2149</v>
      </c>
      <c r="Q202" s="23">
        <v>44251</v>
      </c>
      <c r="R202" s="22" t="s">
        <v>27</v>
      </c>
      <c r="S202" s="22" t="s">
        <v>517</v>
      </c>
      <c r="T202" s="24">
        <f t="shared" si="4"/>
        <v>2166.192</v>
      </c>
    </row>
    <row r="203" spans="1:20" x14ac:dyDescent="0.25">
      <c r="A203" s="8">
        <v>126</v>
      </c>
      <c r="B203" s="8" t="s">
        <v>19</v>
      </c>
      <c r="C203" s="8">
        <v>3</v>
      </c>
      <c r="D203" s="8" t="s">
        <v>513</v>
      </c>
      <c r="E203" s="8" t="s">
        <v>520</v>
      </c>
      <c r="F203" s="18" t="s">
        <v>522</v>
      </c>
      <c r="G203" s="18" t="s">
        <v>23</v>
      </c>
      <c r="H203" s="18">
        <v>550</v>
      </c>
      <c r="I203" s="18">
        <v>3384</v>
      </c>
      <c r="J203" s="20" t="s">
        <v>524</v>
      </c>
      <c r="K203" s="20" t="s">
        <v>25</v>
      </c>
      <c r="L203" s="27" t="s">
        <v>26</v>
      </c>
      <c r="M203" s="27" t="s">
        <v>26</v>
      </c>
      <c r="N203" s="21">
        <v>41.782960928406801</v>
      </c>
      <c r="O203" s="10">
        <v>-76.450037910753295</v>
      </c>
      <c r="P203" s="22">
        <v>991</v>
      </c>
      <c r="Q203" s="23">
        <v>44243</v>
      </c>
      <c r="R203" s="22" t="s">
        <v>33</v>
      </c>
      <c r="S203" s="22" t="s">
        <v>38</v>
      </c>
      <c r="T203" s="24">
        <f t="shared" si="4"/>
        <v>998.928</v>
      </c>
    </row>
    <row r="204" spans="1:20" x14ac:dyDescent="0.25">
      <c r="A204" s="8">
        <v>127</v>
      </c>
      <c r="B204" s="8" t="s">
        <v>19</v>
      </c>
      <c r="C204" s="8">
        <v>3</v>
      </c>
      <c r="D204" s="8" t="s">
        <v>513</v>
      </c>
      <c r="E204" s="8" t="s">
        <v>525</v>
      </c>
      <c r="F204" s="18" t="s">
        <v>77</v>
      </c>
      <c r="G204" s="18" t="s">
        <v>23</v>
      </c>
      <c r="H204" s="18">
        <v>604</v>
      </c>
      <c r="I204" s="18">
        <v>703</v>
      </c>
      <c r="J204" s="20" t="s">
        <v>526</v>
      </c>
      <c r="K204" s="20" t="s">
        <v>25</v>
      </c>
      <c r="L204" s="27" t="s">
        <v>26</v>
      </c>
      <c r="M204" s="27" t="s">
        <v>26</v>
      </c>
      <c r="N204" s="21">
        <v>41.763468149001099</v>
      </c>
      <c r="O204" s="10">
        <v>-76.443051005144</v>
      </c>
      <c r="P204" s="22">
        <v>1007</v>
      </c>
      <c r="Q204" s="23">
        <v>44251</v>
      </c>
      <c r="R204" s="22" t="s">
        <v>27</v>
      </c>
      <c r="S204" s="22" t="s">
        <v>517</v>
      </c>
      <c r="T204" s="24">
        <f t="shared" si="4"/>
        <v>1015.056</v>
      </c>
    </row>
    <row r="205" spans="1:20" x14ac:dyDescent="0.25">
      <c r="A205" s="8">
        <v>128</v>
      </c>
      <c r="B205" s="8" t="s">
        <v>19</v>
      </c>
      <c r="C205" s="8">
        <v>3</v>
      </c>
      <c r="D205" s="8" t="s">
        <v>513</v>
      </c>
      <c r="E205" s="8" t="s">
        <v>527</v>
      </c>
      <c r="F205" s="18" t="s">
        <v>515</v>
      </c>
      <c r="G205" s="18" t="s">
        <v>23</v>
      </c>
      <c r="H205" s="18">
        <v>630</v>
      </c>
      <c r="I205" s="18">
        <v>2277</v>
      </c>
      <c r="J205" s="20" t="s">
        <v>528</v>
      </c>
      <c r="K205" s="20" t="s">
        <v>25</v>
      </c>
      <c r="L205" s="27" t="s">
        <v>26</v>
      </c>
      <c r="M205" s="27" t="s">
        <v>26</v>
      </c>
      <c r="N205" s="21">
        <v>41.769119209307902</v>
      </c>
      <c r="O205" s="10">
        <v>-76.423895925326605</v>
      </c>
      <c r="P205" s="22">
        <v>10737</v>
      </c>
      <c r="Q205" s="23">
        <v>44251</v>
      </c>
      <c r="R205" s="22" t="s">
        <v>27</v>
      </c>
      <c r="S205" s="22" t="s">
        <v>28</v>
      </c>
      <c r="T205" s="24">
        <f t="shared" si="4"/>
        <v>10822.896000000001</v>
      </c>
    </row>
    <row r="206" spans="1:20" x14ac:dyDescent="0.25">
      <c r="A206" s="8">
        <v>129</v>
      </c>
      <c r="B206" s="8" t="s">
        <v>19</v>
      </c>
      <c r="C206" s="8">
        <v>3</v>
      </c>
      <c r="D206" s="8" t="s">
        <v>513</v>
      </c>
      <c r="E206" s="8" t="s">
        <v>529</v>
      </c>
      <c r="F206" s="18" t="s">
        <v>515</v>
      </c>
      <c r="G206" s="18" t="s">
        <v>23</v>
      </c>
      <c r="H206" s="18">
        <v>890</v>
      </c>
      <c r="I206" s="18">
        <v>0</v>
      </c>
      <c r="J206" s="20" t="s">
        <v>530</v>
      </c>
      <c r="K206" s="20" t="s">
        <v>25</v>
      </c>
      <c r="L206" s="27" t="s">
        <v>26</v>
      </c>
      <c r="M206" s="27" t="s">
        <v>26</v>
      </c>
      <c r="N206" s="21">
        <v>41.708765936234997</v>
      </c>
      <c r="O206" s="10">
        <v>-76.278491166194598</v>
      </c>
      <c r="P206" s="22">
        <v>57</v>
      </c>
      <c r="Q206" s="23">
        <v>44278</v>
      </c>
      <c r="R206" s="22" t="s">
        <v>27</v>
      </c>
      <c r="S206" s="22" t="s">
        <v>517</v>
      </c>
      <c r="T206" s="24">
        <f t="shared" si="4"/>
        <v>57.456000000000003</v>
      </c>
    </row>
    <row r="207" spans="1:20" x14ac:dyDescent="0.25">
      <c r="A207" s="8">
        <v>130</v>
      </c>
      <c r="B207" s="8" t="s">
        <v>19</v>
      </c>
      <c r="C207" s="8">
        <v>3</v>
      </c>
      <c r="D207" s="8" t="s">
        <v>513</v>
      </c>
      <c r="E207" s="8" t="s">
        <v>531</v>
      </c>
      <c r="F207" s="18" t="s">
        <v>61</v>
      </c>
      <c r="G207" s="18" t="s">
        <v>23</v>
      </c>
      <c r="H207" s="18">
        <v>960</v>
      </c>
      <c r="I207" s="18">
        <v>1246</v>
      </c>
      <c r="J207" s="20" t="s">
        <v>509</v>
      </c>
      <c r="K207" s="20" t="s">
        <v>25</v>
      </c>
      <c r="L207" s="27" t="s">
        <v>26</v>
      </c>
      <c r="M207" s="27" t="s">
        <v>26</v>
      </c>
      <c r="N207" s="21">
        <v>41.666909851297198</v>
      </c>
      <c r="O207" s="10">
        <v>-76.265026304250796</v>
      </c>
      <c r="P207" s="22">
        <v>795</v>
      </c>
      <c r="Q207" s="23">
        <v>44251</v>
      </c>
      <c r="R207" s="22" t="s">
        <v>27</v>
      </c>
      <c r="S207" s="22" t="s">
        <v>38</v>
      </c>
      <c r="T207" s="24">
        <f t="shared" si="4"/>
        <v>801.36</v>
      </c>
    </row>
    <row r="208" spans="1:20" x14ac:dyDescent="0.25">
      <c r="A208" s="8">
        <v>131</v>
      </c>
      <c r="B208" s="8" t="s">
        <v>19</v>
      </c>
      <c r="C208" s="8">
        <v>3</v>
      </c>
      <c r="D208" s="8" t="s">
        <v>513</v>
      </c>
      <c r="E208" s="8" t="s">
        <v>532</v>
      </c>
      <c r="F208" s="18" t="s">
        <v>515</v>
      </c>
      <c r="G208" s="18" t="s">
        <v>23</v>
      </c>
      <c r="H208" s="18">
        <v>1090</v>
      </c>
      <c r="I208" s="18">
        <v>1657</v>
      </c>
      <c r="J208" s="20" t="s">
        <v>533</v>
      </c>
      <c r="K208" s="20" t="s">
        <v>25</v>
      </c>
      <c r="L208" s="27" t="s">
        <v>26</v>
      </c>
      <c r="M208" s="27" t="s">
        <v>26</v>
      </c>
      <c r="N208" s="21">
        <v>41.675912330911402</v>
      </c>
      <c r="O208" s="10">
        <v>-76.196524599549505</v>
      </c>
      <c r="P208" s="22">
        <v>154</v>
      </c>
      <c r="Q208" s="23">
        <v>44251</v>
      </c>
      <c r="R208" s="22" t="s">
        <v>27</v>
      </c>
      <c r="S208" s="22" t="s">
        <v>34</v>
      </c>
      <c r="T208" s="24">
        <f t="shared" si="4"/>
        <v>155.232</v>
      </c>
    </row>
    <row r="209" spans="1:20" x14ac:dyDescent="0.25">
      <c r="A209" s="8">
        <v>132</v>
      </c>
      <c r="B209" s="8" t="s">
        <v>19</v>
      </c>
      <c r="C209" s="8">
        <v>3</v>
      </c>
      <c r="D209" s="8" t="s">
        <v>513</v>
      </c>
      <c r="E209" s="8" t="s">
        <v>534</v>
      </c>
      <c r="F209" s="18" t="s">
        <v>535</v>
      </c>
      <c r="G209" s="18" t="s">
        <v>536</v>
      </c>
      <c r="H209" s="18">
        <v>90</v>
      </c>
      <c r="I209" s="18">
        <v>2488</v>
      </c>
      <c r="J209" s="20" t="s">
        <v>537</v>
      </c>
      <c r="K209" s="20" t="s">
        <v>25</v>
      </c>
      <c r="L209" s="27" t="s">
        <v>26</v>
      </c>
      <c r="M209" s="27" t="s">
        <v>26</v>
      </c>
      <c r="N209" s="21">
        <v>41.6483831926503</v>
      </c>
      <c r="O209" s="10">
        <v>-76.862454345842096</v>
      </c>
      <c r="P209" s="22">
        <v>317</v>
      </c>
      <c r="Q209" s="23">
        <v>44235</v>
      </c>
      <c r="R209" s="22" t="s">
        <v>27</v>
      </c>
      <c r="S209" s="22" t="s">
        <v>517</v>
      </c>
      <c r="T209" s="24">
        <f t="shared" si="4"/>
        <v>319.536</v>
      </c>
    </row>
    <row r="210" spans="1:20" x14ac:dyDescent="0.25">
      <c r="A210" s="8">
        <v>133</v>
      </c>
      <c r="B210" s="8" t="s">
        <v>19</v>
      </c>
      <c r="C210" s="8">
        <v>3</v>
      </c>
      <c r="D210" s="8" t="s">
        <v>513</v>
      </c>
      <c r="E210" s="8" t="s">
        <v>538</v>
      </c>
      <c r="F210" s="18" t="s">
        <v>539</v>
      </c>
      <c r="G210" s="18" t="s">
        <v>540</v>
      </c>
      <c r="H210" s="18">
        <v>630</v>
      </c>
      <c r="I210" s="18">
        <v>632</v>
      </c>
      <c r="J210" s="20" t="s">
        <v>541</v>
      </c>
      <c r="K210" s="20" t="s">
        <v>25</v>
      </c>
      <c r="L210" s="27" t="s">
        <v>26</v>
      </c>
      <c r="M210" s="27" t="s">
        <v>26</v>
      </c>
      <c r="N210" s="21">
        <v>41.844982484243801</v>
      </c>
      <c r="O210" s="10">
        <v>-76.348250640549693</v>
      </c>
      <c r="P210" s="22">
        <v>534</v>
      </c>
      <c r="Q210" s="23">
        <v>44251</v>
      </c>
      <c r="R210" s="22" t="s">
        <v>27</v>
      </c>
      <c r="S210" s="22" t="s">
        <v>517</v>
      </c>
      <c r="T210" s="24">
        <f t="shared" si="4"/>
        <v>538.27200000000005</v>
      </c>
    </row>
    <row r="211" spans="1:20" x14ac:dyDescent="0.25">
      <c r="A211" s="8">
        <v>134</v>
      </c>
      <c r="B211" s="8" t="s">
        <v>19</v>
      </c>
      <c r="C211" s="8">
        <v>3</v>
      </c>
      <c r="D211" s="8" t="s">
        <v>513</v>
      </c>
      <c r="E211" s="8" t="s">
        <v>542</v>
      </c>
      <c r="F211" s="18" t="s">
        <v>543</v>
      </c>
      <c r="G211" s="18" t="s">
        <v>544</v>
      </c>
      <c r="H211" s="18">
        <v>190</v>
      </c>
      <c r="I211" s="18">
        <v>1209</v>
      </c>
      <c r="J211" s="20" t="s">
        <v>545</v>
      </c>
      <c r="K211" s="20" t="s">
        <v>25</v>
      </c>
      <c r="L211" s="27" t="s">
        <v>26</v>
      </c>
      <c r="M211" s="27" t="s">
        <v>26</v>
      </c>
      <c r="N211" s="21">
        <v>41.659036459509601</v>
      </c>
      <c r="O211" s="10">
        <v>-76.447208115299404</v>
      </c>
      <c r="P211" s="22">
        <v>221</v>
      </c>
      <c r="Q211" s="23">
        <v>44251</v>
      </c>
      <c r="R211" s="22" t="s">
        <v>27</v>
      </c>
      <c r="S211" s="22" t="s">
        <v>517</v>
      </c>
      <c r="T211" s="24">
        <f t="shared" si="4"/>
        <v>222.768</v>
      </c>
    </row>
    <row r="212" spans="1:20" x14ac:dyDescent="0.25">
      <c r="A212" s="8">
        <v>135</v>
      </c>
      <c r="B212" s="8" t="s">
        <v>19</v>
      </c>
      <c r="C212" s="8">
        <v>3</v>
      </c>
      <c r="D212" s="8" t="s">
        <v>513</v>
      </c>
      <c r="E212" s="8" t="s">
        <v>527</v>
      </c>
      <c r="F212" s="18" t="s">
        <v>546</v>
      </c>
      <c r="G212" s="18" t="s">
        <v>547</v>
      </c>
      <c r="H212" s="18">
        <v>40</v>
      </c>
      <c r="I212" s="18">
        <v>0</v>
      </c>
      <c r="J212" s="20" t="s">
        <v>548</v>
      </c>
      <c r="K212" s="20" t="s">
        <v>25</v>
      </c>
      <c r="L212" s="27" t="s">
        <v>26</v>
      </c>
      <c r="M212" s="27" t="s">
        <v>26</v>
      </c>
      <c r="N212" s="21">
        <v>41.7970009024544</v>
      </c>
      <c r="O212" s="10">
        <v>-76.428165357850204</v>
      </c>
      <c r="P212" s="22">
        <v>277</v>
      </c>
      <c r="Q212" s="23">
        <v>44251</v>
      </c>
      <c r="R212" s="22" t="s">
        <v>27</v>
      </c>
      <c r="S212" s="22" t="s">
        <v>38</v>
      </c>
      <c r="T212" s="24">
        <f t="shared" si="4"/>
        <v>279.21600000000001</v>
      </c>
    </row>
    <row r="213" spans="1:20" x14ac:dyDescent="0.25">
      <c r="A213" s="8">
        <v>136</v>
      </c>
      <c r="B213" s="8" t="s">
        <v>19</v>
      </c>
      <c r="C213" s="8">
        <v>3</v>
      </c>
      <c r="D213" s="8" t="s">
        <v>513</v>
      </c>
      <c r="E213" s="8" t="s">
        <v>549</v>
      </c>
      <c r="F213" s="18" t="s">
        <v>550</v>
      </c>
      <c r="G213" s="18" t="s">
        <v>551</v>
      </c>
      <c r="H213" s="19">
        <v>40</v>
      </c>
      <c r="I213" s="19">
        <v>2017</v>
      </c>
      <c r="J213" s="20" t="s">
        <v>552</v>
      </c>
      <c r="K213" s="20" t="s">
        <v>25</v>
      </c>
      <c r="L213" s="20" t="s">
        <v>26</v>
      </c>
      <c r="M213" s="20" t="s">
        <v>26</v>
      </c>
      <c r="N213" s="21">
        <v>41.976168309816202</v>
      </c>
      <c r="O213" s="10">
        <v>-76.541215717043897</v>
      </c>
      <c r="P213" s="22">
        <v>4748</v>
      </c>
      <c r="Q213" s="23">
        <v>44243</v>
      </c>
      <c r="R213" s="22" t="s">
        <v>33</v>
      </c>
      <c r="S213" s="22" t="s">
        <v>517</v>
      </c>
      <c r="T213" s="24">
        <f t="shared" si="4"/>
        <v>4785.9840000000004</v>
      </c>
    </row>
    <row r="214" spans="1:20" x14ac:dyDescent="0.25">
      <c r="A214" s="8">
        <v>137</v>
      </c>
      <c r="B214" s="8" t="s">
        <v>19</v>
      </c>
      <c r="C214" s="8">
        <v>3</v>
      </c>
      <c r="D214" s="8" t="s">
        <v>513</v>
      </c>
      <c r="E214" s="8" t="s">
        <v>549</v>
      </c>
      <c r="F214" s="18" t="s">
        <v>550</v>
      </c>
      <c r="G214" s="18" t="s">
        <v>551</v>
      </c>
      <c r="H214" s="19">
        <v>50</v>
      </c>
      <c r="I214" s="19">
        <v>477</v>
      </c>
      <c r="J214" s="20" t="s">
        <v>553</v>
      </c>
      <c r="K214" s="20" t="s">
        <v>554</v>
      </c>
      <c r="L214" s="20" t="s">
        <v>26</v>
      </c>
      <c r="M214" s="20" t="s">
        <v>26</v>
      </c>
      <c r="N214" s="21">
        <v>41.978910013106997</v>
      </c>
      <c r="O214" s="10">
        <v>-76.542117182646606</v>
      </c>
      <c r="P214" s="22">
        <v>450</v>
      </c>
      <c r="Q214" s="23">
        <v>44243</v>
      </c>
      <c r="R214" s="22" t="s">
        <v>33</v>
      </c>
      <c r="S214" s="22" t="s">
        <v>38</v>
      </c>
      <c r="T214" s="24">
        <f t="shared" si="4"/>
        <v>453.6</v>
      </c>
    </row>
    <row r="215" spans="1:20" x14ac:dyDescent="0.25">
      <c r="A215" s="8">
        <v>138</v>
      </c>
      <c r="B215" s="8" t="s">
        <v>19</v>
      </c>
      <c r="C215" s="8">
        <v>3</v>
      </c>
      <c r="D215" s="8" t="s">
        <v>513</v>
      </c>
      <c r="E215" s="8" t="s">
        <v>549</v>
      </c>
      <c r="F215" s="18" t="s">
        <v>550</v>
      </c>
      <c r="G215" s="18" t="s">
        <v>551</v>
      </c>
      <c r="H215" s="19">
        <v>50</v>
      </c>
      <c r="I215" s="19">
        <v>759</v>
      </c>
      <c r="J215" s="20" t="s">
        <v>555</v>
      </c>
      <c r="K215" s="20" t="s">
        <v>25</v>
      </c>
      <c r="L215" s="20" t="s">
        <v>26</v>
      </c>
      <c r="M215" s="20" t="s">
        <v>26</v>
      </c>
      <c r="N215" s="21">
        <v>41.979660017163503</v>
      </c>
      <c r="O215" s="10">
        <v>-76.542366864894205</v>
      </c>
      <c r="P215" s="22">
        <v>1700</v>
      </c>
      <c r="Q215" s="23">
        <v>44243</v>
      </c>
      <c r="R215" s="22" t="s">
        <v>33</v>
      </c>
      <c r="S215" s="22" t="s">
        <v>517</v>
      </c>
      <c r="T215" s="24">
        <f t="shared" si="4"/>
        <v>1713.6</v>
      </c>
    </row>
    <row r="216" spans="1:20" x14ac:dyDescent="0.25">
      <c r="A216" s="8">
        <v>139</v>
      </c>
      <c r="B216" s="8" t="s">
        <v>19</v>
      </c>
      <c r="C216" s="8">
        <v>3</v>
      </c>
      <c r="D216" s="8" t="s">
        <v>513</v>
      </c>
      <c r="E216" s="8" t="s">
        <v>520</v>
      </c>
      <c r="F216" s="18" t="s">
        <v>556</v>
      </c>
      <c r="G216" s="18" t="s">
        <v>557</v>
      </c>
      <c r="H216" s="18">
        <v>20</v>
      </c>
      <c r="I216" s="18">
        <v>656</v>
      </c>
      <c r="J216" s="20" t="s">
        <v>558</v>
      </c>
      <c r="K216" s="20" t="s">
        <v>25</v>
      </c>
      <c r="L216" s="27" t="s">
        <v>26</v>
      </c>
      <c r="M216" s="27" t="s">
        <v>26</v>
      </c>
      <c r="N216" s="21">
        <v>41.783029393449297</v>
      </c>
      <c r="O216" s="10">
        <v>-76.454553628370604</v>
      </c>
      <c r="P216" s="22">
        <v>1220</v>
      </c>
      <c r="Q216" s="23">
        <v>44251</v>
      </c>
      <c r="R216" s="22" t="s">
        <v>27</v>
      </c>
      <c r="S216" s="22" t="s">
        <v>38</v>
      </c>
      <c r="T216" s="24">
        <f t="shared" si="4"/>
        <v>1229.76</v>
      </c>
    </row>
    <row r="217" spans="1:20" x14ac:dyDescent="0.25">
      <c r="A217" s="8">
        <v>140</v>
      </c>
      <c r="B217" s="8" t="s">
        <v>19</v>
      </c>
      <c r="C217" s="8">
        <v>3</v>
      </c>
      <c r="D217" s="8" t="s">
        <v>513</v>
      </c>
      <c r="E217" s="8" t="s">
        <v>559</v>
      </c>
      <c r="F217" s="18" t="s">
        <v>560</v>
      </c>
      <c r="G217" s="18" t="s">
        <v>308</v>
      </c>
      <c r="H217" s="18">
        <v>20</v>
      </c>
      <c r="I217" s="18">
        <v>0</v>
      </c>
      <c r="J217" s="20" t="s">
        <v>561</v>
      </c>
      <c r="K217" s="20" t="s">
        <v>25</v>
      </c>
      <c r="L217" s="27" t="s">
        <v>26</v>
      </c>
      <c r="M217" s="27" t="s">
        <v>26</v>
      </c>
      <c r="N217" s="21">
        <v>41.757743492677598</v>
      </c>
      <c r="O217" s="10">
        <v>-76.492787366527594</v>
      </c>
      <c r="P217" s="22">
        <v>296</v>
      </c>
      <c r="Q217" s="23">
        <v>44251</v>
      </c>
      <c r="R217" s="22" t="s">
        <v>27</v>
      </c>
      <c r="S217" s="22" t="s">
        <v>34</v>
      </c>
      <c r="T217" s="24">
        <f t="shared" si="4"/>
        <v>298.36799999999999</v>
      </c>
    </row>
    <row r="218" spans="1:20" x14ac:dyDescent="0.25">
      <c r="A218" s="8">
        <v>141</v>
      </c>
      <c r="B218" s="8" t="s">
        <v>19</v>
      </c>
      <c r="C218" s="8">
        <v>3</v>
      </c>
      <c r="D218" s="8" t="s">
        <v>513</v>
      </c>
      <c r="E218" s="8" t="s">
        <v>549</v>
      </c>
      <c r="F218" s="18" t="s">
        <v>562</v>
      </c>
      <c r="G218" s="18" t="s">
        <v>563</v>
      </c>
      <c r="H218" s="18">
        <v>70</v>
      </c>
      <c r="I218" s="18">
        <v>0</v>
      </c>
      <c r="J218" s="20" t="s">
        <v>564</v>
      </c>
      <c r="K218" s="20" t="s">
        <v>25</v>
      </c>
      <c r="L218" s="27" t="s">
        <v>26</v>
      </c>
      <c r="M218" s="27" t="s">
        <v>26</v>
      </c>
      <c r="N218" s="21">
        <v>41.9975505087383</v>
      </c>
      <c r="O218" s="10">
        <v>-76.587895753428697</v>
      </c>
      <c r="P218" s="22">
        <v>1009</v>
      </c>
      <c r="Q218" s="23">
        <v>44243</v>
      </c>
      <c r="R218" s="22" t="s">
        <v>33</v>
      </c>
      <c r="S218" s="22" t="s">
        <v>34</v>
      </c>
      <c r="T218" s="24">
        <f t="shared" si="4"/>
        <v>1017.072</v>
      </c>
    </row>
    <row r="219" spans="1:20" x14ac:dyDescent="0.25">
      <c r="A219" s="8">
        <v>703</v>
      </c>
      <c r="B219" s="8" t="s">
        <v>19</v>
      </c>
      <c r="C219" s="8">
        <v>3</v>
      </c>
      <c r="D219" s="8" t="s">
        <v>565</v>
      </c>
      <c r="E219" s="8" t="s">
        <v>566</v>
      </c>
      <c r="F219" s="18" t="s">
        <v>567</v>
      </c>
      <c r="G219" s="18" t="s">
        <v>568</v>
      </c>
      <c r="H219" s="18">
        <v>70</v>
      </c>
      <c r="I219" s="18">
        <v>0</v>
      </c>
      <c r="J219" s="20" t="s">
        <v>569</v>
      </c>
      <c r="K219" s="20" t="s">
        <v>25</v>
      </c>
      <c r="L219" s="27" t="s">
        <v>26</v>
      </c>
      <c r="M219" s="27" t="s">
        <v>26</v>
      </c>
      <c r="N219" s="21">
        <v>41.172108015612601</v>
      </c>
      <c r="O219" s="10">
        <v>-76.909552960489506</v>
      </c>
      <c r="P219" s="22">
        <v>283</v>
      </c>
      <c r="Q219" s="23">
        <v>44224</v>
      </c>
      <c r="R219" s="22" t="s">
        <v>27</v>
      </c>
      <c r="S219" s="22" t="s">
        <v>38</v>
      </c>
      <c r="T219" s="24">
        <f t="shared" si="4"/>
        <v>285.26400000000001</v>
      </c>
    </row>
    <row r="220" spans="1:20" x14ac:dyDescent="0.25">
      <c r="A220" s="8">
        <v>704</v>
      </c>
      <c r="B220" s="8" t="s">
        <v>19</v>
      </c>
      <c r="C220" s="8">
        <v>3</v>
      </c>
      <c r="D220" s="8" t="s">
        <v>565</v>
      </c>
      <c r="E220" s="8" t="s">
        <v>570</v>
      </c>
      <c r="F220" s="18" t="s">
        <v>571</v>
      </c>
      <c r="G220" s="18" t="s">
        <v>572</v>
      </c>
      <c r="H220" s="18">
        <v>400</v>
      </c>
      <c r="I220" s="18">
        <v>1646</v>
      </c>
      <c r="J220" s="20" t="s">
        <v>573</v>
      </c>
      <c r="K220" s="20" t="s">
        <v>25</v>
      </c>
      <c r="L220" s="27" t="s">
        <v>26</v>
      </c>
      <c r="M220" s="27" t="s">
        <v>26</v>
      </c>
      <c r="N220" s="21">
        <v>41.1991772025969</v>
      </c>
      <c r="O220" s="10">
        <v>-77.236360774576497</v>
      </c>
      <c r="P220" s="22">
        <v>550</v>
      </c>
      <c r="Q220" s="23">
        <v>44224</v>
      </c>
      <c r="R220" s="22" t="s">
        <v>27</v>
      </c>
      <c r="S220" s="22" t="s">
        <v>38</v>
      </c>
      <c r="T220" s="24">
        <f t="shared" si="4"/>
        <v>554.4</v>
      </c>
    </row>
    <row r="221" spans="1:20" x14ac:dyDescent="0.25">
      <c r="A221" s="8">
        <v>705</v>
      </c>
      <c r="B221" s="8" t="s">
        <v>19</v>
      </c>
      <c r="C221" s="8">
        <v>3</v>
      </c>
      <c r="D221" s="8" t="s">
        <v>565</v>
      </c>
      <c r="E221" s="8" t="s">
        <v>566</v>
      </c>
      <c r="F221" s="18" t="s">
        <v>574</v>
      </c>
      <c r="G221" s="18" t="s">
        <v>575</v>
      </c>
      <c r="H221" s="18">
        <v>50</v>
      </c>
      <c r="I221" s="18">
        <v>0</v>
      </c>
      <c r="J221" s="20" t="s">
        <v>576</v>
      </c>
      <c r="K221" s="20" t="s">
        <v>25</v>
      </c>
      <c r="L221" s="27" t="s">
        <v>26</v>
      </c>
      <c r="M221" s="27" t="s">
        <v>26</v>
      </c>
      <c r="N221" s="21">
        <v>41.1846663105717</v>
      </c>
      <c r="O221" s="10">
        <v>-76.882351419425802</v>
      </c>
      <c r="P221" s="22">
        <v>441</v>
      </c>
      <c r="Q221" s="23">
        <v>44224</v>
      </c>
      <c r="R221" s="22" t="s">
        <v>27</v>
      </c>
      <c r="S221" s="22" t="s">
        <v>28</v>
      </c>
      <c r="T221" s="24">
        <f t="shared" si="4"/>
        <v>444.52800000000002</v>
      </c>
    </row>
    <row r="222" spans="1:20" x14ac:dyDescent="0.25">
      <c r="A222" s="8">
        <v>706</v>
      </c>
      <c r="B222" s="8" t="s">
        <v>19</v>
      </c>
      <c r="C222" s="8">
        <v>3</v>
      </c>
      <c r="D222" s="8" t="s">
        <v>565</v>
      </c>
      <c r="E222" s="8" t="s">
        <v>577</v>
      </c>
      <c r="F222" s="18" t="s">
        <v>578</v>
      </c>
      <c r="G222" s="18" t="s">
        <v>579</v>
      </c>
      <c r="H222" s="18">
        <v>200</v>
      </c>
      <c r="I222" s="18">
        <v>2956</v>
      </c>
      <c r="J222" s="20" t="s">
        <v>580</v>
      </c>
      <c r="K222" s="20" t="s">
        <v>25</v>
      </c>
      <c r="L222" s="27" t="s">
        <v>26</v>
      </c>
      <c r="M222" s="27" t="s">
        <v>26</v>
      </c>
      <c r="N222" s="21">
        <v>41.3639708487162</v>
      </c>
      <c r="O222" s="10">
        <v>-76.868221448495405</v>
      </c>
      <c r="P222" s="22">
        <v>24</v>
      </c>
      <c r="Q222" s="23">
        <v>44224</v>
      </c>
      <c r="R222" s="22" t="s">
        <v>27</v>
      </c>
      <c r="S222" s="22" t="s">
        <v>38</v>
      </c>
      <c r="T222" s="24">
        <f t="shared" si="4"/>
        <v>24.192</v>
      </c>
    </row>
    <row r="223" spans="1:20" x14ac:dyDescent="0.25">
      <c r="A223" s="8">
        <v>707</v>
      </c>
      <c r="B223" s="8" t="s">
        <v>19</v>
      </c>
      <c r="C223" s="8">
        <v>3</v>
      </c>
      <c r="D223" s="8" t="s">
        <v>565</v>
      </c>
      <c r="E223" s="8" t="s">
        <v>581</v>
      </c>
      <c r="F223" s="18" t="s">
        <v>582</v>
      </c>
      <c r="G223" s="18" t="s">
        <v>583</v>
      </c>
      <c r="H223" s="18">
        <v>30</v>
      </c>
      <c r="I223" s="18">
        <v>1437</v>
      </c>
      <c r="J223" s="20" t="s">
        <v>584</v>
      </c>
      <c r="K223" s="20" t="s">
        <v>25</v>
      </c>
      <c r="L223" s="27" t="s">
        <v>26</v>
      </c>
      <c r="M223" s="27" t="s">
        <v>26</v>
      </c>
      <c r="N223" s="21">
        <v>41.231896587996097</v>
      </c>
      <c r="O223" s="10">
        <v>-76.705894598278306</v>
      </c>
      <c r="P223" s="22">
        <v>1262</v>
      </c>
      <c r="Q223" s="23">
        <v>44224</v>
      </c>
      <c r="R223" s="22" t="s">
        <v>27</v>
      </c>
      <c r="S223" s="22" t="s">
        <v>28</v>
      </c>
      <c r="T223" s="24">
        <f t="shared" si="4"/>
        <v>1272.096</v>
      </c>
    </row>
    <row r="224" spans="1:20" x14ac:dyDescent="0.25">
      <c r="A224" s="8">
        <v>708</v>
      </c>
      <c r="B224" s="8" t="s">
        <v>19</v>
      </c>
      <c r="C224" s="8">
        <v>3</v>
      </c>
      <c r="D224" s="8" t="s">
        <v>565</v>
      </c>
      <c r="E224" s="8" t="s">
        <v>585</v>
      </c>
      <c r="F224" s="18" t="s">
        <v>582</v>
      </c>
      <c r="G224" s="18" t="s">
        <v>583</v>
      </c>
      <c r="H224" s="18">
        <v>350</v>
      </c>
      <c r="I224" s="18">
        <v>381</v>
      </c>
      <c r="J224" s="20" t="s">
        <v>586</v>
      </c>
      <c r="K224" s="20" t="s">
        <v>25</v>
      </c>
      <c r="L224" s="27" t="s">
        <v>26</v>
      </c>
      <c r="M224" s="27" t="s">
        <v>26</v>
      </c>
      <c r="N224" s="21">
        <v>41.260645299311399</v>
      </c>
      <c r="O224" s="10">
        <v>-76.484194108349698</v>
      </c>
      <c r="P224" s="22">
        <v>87</v>
      </c>
      <c r="Q224" s="23">
        <v>44224</v>
      </c>
      <c r="R224" s="22" t="s">
        <v>27</v>
      </c>
      <c r="S224" s="22" t="s">
        <v>34</v>
      </c>
      <c r="T224" s="24">
        <f t="shared" si="4"/>
        <v>87.695999999999998</v>
      </c>
    </row>
    <row r="225" spans="1:20" x14ac:dyDescent="0.25">
      <c r="A225" s="8">
        <v>709</v>
      </c>
      <c r="B225" s="8" t="s">
        <v>19</v>
      </c>
      <c r="C225" s="8">
        <v>3</v>
      </c>
      <c r="D225" s="8" t="s">
        <v>565</v>
      </c>
      <c r="E225" s="8" t="s">
        <v>587</v>
      </c>
      <c r="F225" s="18" t="s">
        <v>543</v>
      </c>
      <c r="G225" s="18" t="s">
        <v>544</v>
      </c>
      <c r="H225" s="18">
        <v>190</v>
      </c>
      <c r="I225" s="18">
        <v>0</v>
      </c>
      <c r="J225" s="20" t="s">
        <v>588</v>
      </c>
      <c r="K225" s="20" t="s">
        <v>25</v>
      </c>
      <c r="L225" s="27" t="s">
        <v>26</v>
      </c>
      <c r="M225" s="27" t="s">
        <v>26</v>
      </c>
      <c r="N225" s="21">
        <v>41.230819780111702</v>
      </c>
      <c r="O225" s="10">
        <v>-77.144602532793002</v>
      </c>
      <c r="P225" s="22">
        <v>239</v>
      </c>
      <c r="Q225" s="23">
        <v>44224</v>
      </c>
      <c r="R225" s="22" t="s">
        <v>27</v>
      </c>
      <c r="S225" s="22" t="s">
        <v>38</v>
      </c>
      <c r="T225" s="24">
        <f t="shared" si="4"/>
        <v>240.91200000000001</v>
      </c>
    </row>
    <row r="226" spans="1:20" x14ac:dyDescent="0.25">
      <c r="A226" s="8">
        <v>710</v>
      </c>
      <c r="B226" s="8" t="s">
        <v>19</v>
      </c>
      <c r="C226" s="8">
        <v>3</v>
      </c>
      <c r="D226" s="8" t="s">
        <v>565</v>
      </c>
      <c r="E226" s="8" t="s">
        <v>589</v>
      </c>
      <c r="F226" s="18" t="s">
        <v>543</v>
      </c>
      <c r="G226" s="18" t="s">
        <v>544</v>
      </c>
      <c r="H226" s="18">
        <v>340</v>
      </c>
      <c r="I226" s="18">
        <v>0</v>
      </c>
      <c r="J226" s="20" t="s">
        <v>590</v>
      </c>
      <c r="K226" s="20" t="s">
        <v>25</v>
      </c>
      <c r="L226" s="27" t="s">
        <v>26</v>
      </c>
      <c r="M226" s="27" t="s">
        <v>26</v>
      </c>
      <c r="N226" s="21">
        <v>41.242025561831902</v>
      </c>
      <c r="O226" s="10">
        <v>-76.787517485810397</v>
      </c>
      <c r="P226" s="22">
        <v>77</v>
      </c>
      <c r="Q226" s="23">
        <v>44224</v>
      </c>
      <c r="R226" s="22" t="s">
        <v>27</v>
      </c>
      <c r="S226" s="22" t="s">
        <v>28</v>
      </c>
      <c r="T226" s="24">
        <f t="shared" si="4"/>
        <v>77.616</v>
      </c>
    </row>
    <row r="227" spans="1:20" x14ac:dyDescent="0.25">
      <c r="A227" s="8">
        <v>711</v>
      </c>
      <c r="B227" s="8" t="s">
        <v>19</v>
      </c>
      <c r="C227" s="8">
        <v>3</v>
      </c>
      <c r="D227" s="8" t="s">
        <v>565</v>
      </c>
      <c r="E227" s="8" t="s">
        <v>591</v>
      </c>
      <c r="F227" s="18" t="s">
        <v>77</v>
      </c>
      <c r="G227" s="18" t="s">
        <v>544</v>
      </c>
      <c r="H227" s="18">
        <v>490</v>
      </c>
      <c r="I227" s="18">
        <v>1847</v>
      </c>
      <c r="J227" s="20" t="s">
        <v>592</v>
      </c>
      <c r="K227" s="20" t="s">
        <v>25</v>
      </c>
      <c r="L227" s="27" t="s">
        <v>26</v>
      </c>
      <c r="M227" s="27" t="s">
        <v>26</v>
      </c>
      <c r="N227" s="21">
        <v>41.288095614244497</v>
      </c>
      <c r="O227" s="10">
        <v>-76.709566995580403</v>
      </c>
      <c r="P227" s="22">
        <v>54</v>
      </c>
      <c r="Q227" s="23">
        <v>44224</v>
      </c>
      <c r="R227" s="22" t="s">
        <v>27</v>
      </c>
      <c r="S227" s="22" t="s">
        <v>34</v>
      </c>
      <c r="T227" s="24">
        <f t="shared" si="4"/>
        <v>54.432000000000002</v>
      </c>
    </row>
    <row r="228" spans="1:20" x14ac:dyDescent="0.25">
      <c r="A228" s="8">
        <v>712</v>
      </c>
      <c r="B228" s="8" t="s">
        <v>19</v>
      </c>
      <c r="C228" s="8">
        <v>3</v>
      </c>
      <c r="D228" s="8" t="s">
        <v>565</v>
      </c>
      <c r="E228" s="8" t="s">
        <v>593</v>
      </c>
      <c r="F228" s="18" t="s">
        <v>594</v>
      </c>
      <c r="G228" s="18" t="s">
        <v>595</v>
      </c>
      <c r="H228" s="18">
        <v>110</v>
      </c>
      <c r="I228" s="18">
        <v>0</v>
      </c>
      <c r="J228" s="20" t="s">
        <v>596</v>
      </c>
      <c r="K228" s="20" t="s">
        <v>25</v>
      </c>
      <c r="L228" s="27" t="s">
        <v>26</v>
      </c>
      <c r="M228" s="27" t="s">
        <v>26</v>
      </c>
      <c r="N228" s="21">
        <v>41.278078498423703</v>
      </c>
      <c r="O228" s="10">
        <v>-77.227175293721899</v>
      </c>
      <c r="P228" s="22">
        <v>495</v>
      </c>
      <c r="Q228" s="23">
        <v>44224</v>
      </c>
      <c r="R228" s="22" t="s">
        <v>27</v>
      </c>
      <c r="S228" s="22" t="s">
        <v>38</v>
      </c>
      <c r="T228" s="24">
        <f t="shared" si="4"/>
        <v>498.96</v>
      </c>
    </row>
    <row r="229" spans="1:20" x14ac:dyDescent="0.25">
      <c r="A229" s="8">
        <v>713</v>
      </c>
      <c r="B229" s="8" t="s">
        <v>19</v>
      </c>
      <c r="C229" s="8">
        <v>3</v>
      </c>
      <c r="D229" s="8" t="s">
        <v>565</v>
      </c>
      <c r="E229" s="8" t="s">
        <v>597</v>
      </c>
      <c r="F229" s="18" t="s">
        <v>77</v>
      </c>
      <c r="G229" s="18" t="s">
        <v>598</v>
      </c>
      <c r="H229" s="19">
        <v>240</v>
      </c>
      <c r="I229" s="19">
        <v>0</v>
      </c>
      <c r="J229" s="20" t="s">
        <v>599</v>
      </c>
      <c r="K229" s="20" t="s">
        <v>25</v>
      </c>
      <c r="L229" s="20" t="s">
        <v>26</v>
      </c>
      <c r="M229" s="20" t="s">
        <v>26</v>
      </c>
      <c r="N229" s="21">
        <v>41.237987902092399</v>
      </c>
      <c r="O229" s="10">
        <v>-76.727473055564005</v>
      </c>
      <c r="P229" s="22">
        <v>2797</v>
      </c>
      <c r="Q229" s="23">
        <v>44224</v>
      </c>
      <c r="R229" s="22" t="s">
        <v>27</v>
      </c>
      <c r="S229" s="22" t="s">
        <v>517</v>
      </c>
      <c r="T229" s="24">
        <f t="shared" si="4"/>
        <v>2819.3760000000002</v>
      </c>
    </row>
    <row r="230" spans="1:20" x14ac:dyDescent="0.25">
      <c r="A230" s="8">
        <v>715</v>
      </c>
      <c r="B230" s="8" t="s">
        <v>19</v>
      </c>
      <c r="C230" s="8">
        <v>3</v>
      </c>
      <c r="D230" s="8" t="s">
        <v>565</v>
      </c>
      <c r="E230" s="8" t="s">
        <v>600</v>
      </c>
      <c r="F230" s="18" t="s">
        <v>601</v>
      </c>
      <c r="G230" s="18" t="s">
        <v>602</v>
      </c>
      <c r="H230" s="19">
        <v>10</v>
      </c>
      <c r="I230" s="19">
        <v>24</v>
      </c>
      <c r="J230" s="20" t="s">
        <v>603</v>
      </c>
      <c r="K230" s="20" t="s">
        <v>25</v>
      </c>
      <c r="L230" s="20" t="s">
        <v>26</v>
      </c>
      <c r="M230" s="20" t="s">
        <v>26</v>
      </c>
      <c r="N230" s="21">
        <v>41.251936656580803</v>
      </c>
      <c r="O230" s="10">
        <v>-77.044041855210395</v>
      </c>
      <c r="P230" s="22">
        <v>1821</v>
      </c>
      <c r="Q230" s="23">
        <v>44224</v>
      </c>
      <c r="R230" s="22" t="s">
        <v>27</v>
      </c>
      <c r="S230" s="22" t="s">
        <v>517</v>
      </c>
      <c r="T230" s="24">
        <f t="shared" si="4"/>
        <v>1835.568</v>
      </c>
    </row>
    <row r="231" spans="1:20" x14ac:dyDescent="0.25">
      <c r="A231" s="8">
        <v>716</v>
      </c>
      <c r="B231" s="8" t="s">
        <v>19</v>
      </c>
      <c r="C231" s="8">
        <v>3</v>
      </c>
      <c r="D231" s="8" t="s">
        <v>565</v>
      </c>
      <c r="E231" s="8" t="s">
        <v>600</v>
      </c>
      <c r="F231" s="18" t="s">
        <v>601</v>
      </c>
      <c r="G231" s="18" t="s">
        <v>602</v>
      </c>
      <c r="H231" s="19">
        <v>20</v>
      </c>
      <c r="I231" s="19">
        <v>811</v>
      </c>
      <c r="J231" s="20" t="s">
        <v>604</v>
      </c>
      <c r="K231" s="20" t="s">
        <v>25</v>
      </c>
      <c r="L231" s="20" t="s">
        <v>26</v>
      </c>
      <c r="M231" s="20" t="s">
        <v>26</v>
      </c>
      <c r="N231" s="21">
        <v>41.256555411087398</v>
      </c>
      <c r="O231" s="10">
        <v>-77.0436415743564</v>
      </c>
      <c r="P231" s="22">
        <v>1013</v>
      </c>
      <c r="Q231" s="23">
        <v>44224</v>
      </c>
      <c r="R231" s="22" t="s">
        <v>27</v>
      </c>
      <c r="S231" s="22" t="s">
        <v>38</v>
      </c>
      <c r="T231" s="24">
        <f t="shared" si="4"/>
        <v>1021.104</v>
      </c>
    </row>
    <row r="232" spans="1:20" x14ac:dyDescent="0.25">
      <c r="A232" s="8">
        <v>717</v>
      </c>
      <c r="B232" s="8" t="s">
        <v>19</v>
      </c>
      <c r="C232" s="8">
        <v>3</v>
      </c>
      <c r="D232" s="8" t="s">
        <v>565</v>
      </c>
      <c r="E232" s="8" t="s">
        <v>605</v>
      </c>
      <c r="F232" s="18" t="s">
        <v>347</v>
      </c>
      <c r="G232" s="18" t="s">
        <v>606</v>
      </c>
      <c r="H232" s="19">
        <v>190</v>
      </c>
      <c r="I232" s="19">
        <v>744</v>
      </c>
      <c r="J232" s="20" t="s">
        <v>607</v>
      </c>
      <c r="K232" s="20" t="s">
        <v>25</v>
      </c>
      <c r="L232" s="20" t="s">
        <v>26</v>
      </c>
      <c r="M232" s="20" t="s">
        <v>26</v>
      </c>
      <c r="N232" s="21">
        <v>41.250197730035502</v>
      </c>
      <c r="O232" s="10">
        <v>-76.970935627860101</v>
      </c>
      <c r="P232" s="22">
        <v>703</v>
      </c>
      <c r="Q232" s="23">
        <v>44224</v>
      </c>
      <c r="R232" s="22" t="s">
        <v>27</v>
      </c>
      <c r="S232" s="22" t="s">
        <v>34</v>
      </c>
      <c r="T232" s="24">
        <f t="shared" si="4"/>
        <v>708.62400000000002</v>
      </c>
    </row>
    <row r="233" spans="1:20" x14ac:dyDescent="0.25">
      <c r="A233" s="8">
        <v>718</v>
      </c>
      <c r="B233" s="8" t="s">
        <v>19</v>
      </c>
      <c r="C233" s="8">
        <v>3</v>
      </c>
      <c r="D233" s="8" t="s">
        <v>565</v>
      </c>
      <c r="E233" s="8" t="s">
        <v>589</v>
      </c>
      <c r="F233" s="18" t="s">
        <v>608</v>
      </c>
      <c r="G233" s="18" t="s">
        <v>606</v>
      </c>
      <c r="H233" s="18">
        <v>390</v>
      </c>
      <c r="I233" s="18">
        <v>1870</v>
      </c>
      <c r="J233" s="20" t="s">
        <v>609</v>
      </c>
      <c r="K233" s="20" t="s">
        <v>25</v>
      </c>
      <c r="L233" s="27" t="s">
        <v>26</v>
      </c>
      <c r="M233" s="27" t="s">
        <v>26</v>
      </c>
      <c r="N233" s="21">
        <v>41.2359946408505</v>
      </c>
      <c r="O233" s="10">
        <v>-76.825207622779999</v>
      </c>
      <c r="P233" s="22">
        <v>6055</v>
      </c>
      <c r="Q233" s="23">
        <v>44224</v>
      </c>
      <c r="R233" s="22" t="s">
        <v>27</v>
      </c>
      <c r="S233" s="22" t="s">
        <v>34</v>
      </c>
      <c r="T233" s="24">
        <f t="shared" si="4"/>
        <v>6103.44</v>
      </c>
    </row>
    <row r="234" spans="1:20" x14ac:dyDescent="0.25">
      <c r="A234" s="8">
        <v>719</v>
      </c>
      <c r="B234" s="8" t="s">
        <v>19</v>
      </c>
      <c r="C234" s="8">
        <v>3</v>
      </c>
      <c r="D234" s="8" t="s">
        <v>565</v>
      </c>
      <c r="E234" s="8" t="s">
        <v>610</v>
      </c>
      <c r="F234" s="18" t="s">
        <v>233</v>
      </c>
      <c r="G234" s="18" t="s">
        <v>367</v>
      </c>
      <c r="H234" s="19">
        <v>20</v>
      </c>
      <c r="I234" s="19">
        <v>977</v>
      </c>
      <c r="J234" s="20" t="s">
        <v>611</v>
      </c>
      <c r="K234" s="20" t="s">
        <v>612</v>
      </c>
      <c r="L234" s="20" t="s">
        <v>26</v>
      </c>
      <c r="M234" s="20" t="s">
        <v>26</v>
      </c>
      <c r="N234" s="21">
        <v>41.243421516190203</v>
      </c>
      <c r="O234" s="10">
        <v>-77.002921465193296</v>
      </c>
      <c r="P234" s="22">
        <v>732</v>
      </c>
      <c r="Q234" s="23">
        <v>44224</v>
      </c>
      <c r="R234" s="22" t="s">
        <v>27</v>
      </c>
      <c r="S234" s="22" t="s">
        <v>517</v>
      </c>
      <c r="T234" s="24">
        <f t="shared" si="4"/>
        <v>737.85599999999999</v>
      </c>
    </row>
    <row r="235" spans="1:20" x14ac:dyDescent="0.25">
      <c r="A235" s="8">
        <v>720</v>
      </c>
      <c r="B235" s="8" t="s">
        <v>19</v>
      </c>
      <c r="C235" s="8">
        <v>3</v>
      </c>
      <c r="D235" s="8" t="s">
        <v>565</v>
      </c>
      <c r="E235" s="8" t="s">
        <v>613</v>
      </c>
      <c r="F235" s="18" t="s">
        <v>614</v>
      </c>
      <c r="G235" s="18" t="s">
        <v>615</v>
      </c>
      <c r="H235" s="18">
        <v>40</v>
      </c>
      <c r="I235" s="18">
        <v>1843</v>
      </c>
      <c r="J235" s="20" t="s">
        <v>616</v>
      </c>
      <c r="K235" s="20" t="s">
        <v>25</v>
      </c>
      <c r="L235" s="27" t="s">
        <v>26</v>
      </c>
      <c r="M235" s="27" t="s">
        <v>26</v>
      </c>
      <c r="N235" s="21">
        <v>41.201397701799799</v>
      </c>
      <c r="O235" s="10">
        <v>-76.7563885468835</v>
      </c>
      <c r="P235" s="22">
        <v>1465</v>
      </c>
      <c r="Q235" s="23">
        <v>44224</v>
      </c>
      <c r="R235" s="22" t="s">
        <v>27</v>
      </c>
      <c r="S235" s="22" t="s">
        <v>34</v>
      </c>
      <c r="T235" s="24">
        <f t="shared" si="4"/>
        <v>1476.72</v>
      </c>
    </row>
    <row r="236" spans="1:20" x14ac:dyDescent="0.25">
      <c r="A236" s="8">
        <v>958</v>
      </c>
      <c r="B236" s="8" t="s">
        <v>19</v>
      </c>
      <c r="C236" s="8">
        <v>3</v>
      </c>
      <c r="D236" s="8" t="s">
        <v>617</v>
      </c>
      <c r="E236" s="8" t="s">
        <v>618</v>
      </c>
      <c r="F236" s="18" t="s">
        <v>619</v>
      </c>
      <c r="G236" s="18" t="s">
        <v>23</v>
      </c>
      <c r="H236" s="18">
        <v>470</v>
      </c>
      <c r="I236" s="18">
        <v>316</v>
      </c>
      <c r="J236" s="20" t="s">
        <v>620</v>
      </c>
      <c r="K236" s="20" t="s">
        <v>621</v>
      </c>
      <c r="L236" s="27" t="s">
        <v>26</v>
      </c>
      <c r="M236" s="27" t="s">
        <v>26</v>
      </c>
      <c r="N236" s="21">
        <v>41.761209961575197</v>
      </c>
      <c r="O236" s="10">
        <v>-77.301204257861102</v>
      </c>
      <c r="P236" s="22">
        <v>137</v>
      </c>
      <c r="Q236" s="23">
        <v>44235</v>
      </c>
      <c r="R236" s="22" t="s">
        <v>27</v>
      </c>
      <c r="S236" s="22" t="s">
        <v>517</v>
      </c>
      <c r="T236" s="24">
        <f t="shared" si="4"/>
        <v>138.096</v>
      </c>
    </row>
    <row r="237" spans="1:20" x14ac:dyDescent="0.25">
      <c r="A237" s="8">
        <v>959</v>
      </c>
      <c r="B237" s="8" t="s">
        <v>19</v>
      </c>
      <c r="C237" s="8">
        <v>3</v>
      </c>
      <c r="D237" s="8" t="s">
        <v>617</v>
      </c>
      <c r="E237" s="8" t="s">
        <v>618</v>
      </c>
      <c r="F237" s="18" t="s">
        <v>622</v>
      </c>
      <c r="G237" s="18" t="s">
        <v>23</v>
      </c>
      <c r="H237" s="18">
        <v>510</v>
      </c>
      <c r="I237" s="18">
        <v>0</v>
      </c>
      <c r="J237" s="20" t="s">
        <v>623</v>
      </c>
      <c r="K237" s="20" t="s">
        <v>57</v>
      </c>
      <c r="L237" s="27" t="s">
        <v>26</v>
      </c>
      <c r="M237" s="27" t="s">
        <v>26</v>
      </c>
      <c r="N237" s="21">
        <v>41.7486719922872</v>
      </c>
      <c r="O237" s="10">
        <v>-77.297338807266001</v>
      </c>
      <c r="P237" s="22">
        <v>1170</v>
      </c>
      <c r="Q237" s="23">
        <v>44235</v>
      </c>
      <c r="R237" s="22" t="s">
        <v>27</v>
      </c>
      <c r="S237" s="22" t="s">
        <v>38</v>
      </c>
      <c r="T237" s="24">
        <f t="shared" si="4"/>
        <v>1179.3599999999999</v>
      </c>
    </row>
    <row r="238" spans="1:20" x14ac:dyDescent="0.25">
      <c r="A238" s="8">
        <v>960</v>
      </c>
      <c r="B238" s="8" t="s">
        <v>19</v>
      </c>
      <c r="C238" s="8">
        <v>3</v>
      </c>
      <c r="D238" s="8" t="s">
        <v>617</v>
      </c>
      <c r="E238" s="8" t="s">
        <v>618</v>
      </c>
      <c r="F238" s="18" t="s">
        <v>622</v>
      </c>
      <c r="G238" s="18" t="s">
        <v>23</v>
      </c>
      <c r="H238" s="18">
        <v>510</v>
      </c>
      <c r="I238" s="18">
        <v>391</v>
      </c>
      <c r="J238" s="20" t="s">
        <v>624</v>
      </c>
      <c r="K238" s="20" t="s">
        <v>25</v>
      </c>
      <c r="L238" s="27" t="s">
        <v>26</v>
      </c>
      <c r="M238" s="27" t="s">
        <v>26</v>
      </c>
      <c r="N238" s="21">
        <v>41.748458793373999</v>
      </c>
      <c r="O238" s="10">
        <v>-77.295933738886205</v>
      </c>
      <c r="P238" s="22">
        <v>1095</v>
      </c>
      <c r="Q238" s="23">
        <v>44235</v>
      </c>
      <c r="R238" s="22" t="s">
        <v>27</v>
      </c>
      <c r="S238" s="22" t="s">
        <v>38</v>
      </c>
      <c r="T238" s="24">
        <f t="shared" si="4"/>
        <v>1103.76</v>
      </c>
    </row>
    <row r="239" spans="1:20" x14ac:dyDescent="0.25">
      <c r="A239" s="8">
        <v>961</v>
      </c>
      <c r="B239" s="8" t="s">
        <v>19</v>
      </c>
      <c r="C239" s="8">
        <v>3</v>
      </c>
      <c r="D239" s="8" t="s">
        <v>617</v>
      </c>
      <c r="E239" s="8" t="s">
        <v>625</v>
      </c>
      <c r="F239" s="18" t="s">
        <v>626</v>
      </c>
      <c r="G239" s="18" t="s">
        <v>23</v>
      </c>
      <c r="H239" s="18">
        <v>870</v>
      </c>
      <c r="I239" s="18">
        <v>1549</v>
      </c>
      <c r="J239" s="20" t="s">
        <v>627</v>
      </c>
      <c r="K239" s="20" t="s">
        <v>25</v>
      </c>
      <c r="L239" s="27" t="s">
        <v>26</v>
      </c>
      <c r="M239" s="27" t="s">
        <v>26</v>
      </c>
      <c r="N239" s="21">
        <v>41.797381822924798</v>
      </c>
      <c r="O239" s="10">
        <v>-77.044016825995996</v>
      </c>
      <c r="P239" s="22">
        <v>48</v>
      </c>
      <c r="Q239" s="23">
        <v>44235</v>
      </c>
      <c r="R239" s="22" t="s">
        <v>27</v>
      </c>
      <c r="S239" s="22" t="s">
        <v>28</v>
      </c>
      <c r="T239" s="24">
        <f t="shared" si="4"/>
        <v>48.384</v>
      </c>
    </row>
    <row r="240" spans="1:20" x14ac:dyDescent="0.25">
      <c r="A240" s="8">
        <v>962</v>
      </c>
      <c r="B240" s="8" t="s">
        <v>19</v>
      </c>
      <c r="C240" s="8">
        <v>3</v>
      </c>
      <c r="D240" s="8" t="s">
        <v>617</v>
      </c>
      <c r="E240" s="8" t="s">
        <v>472</v>
      </c>
      <c r="F240" s="18" t="s">
        <v>628</v>
      </c>
      <c r="G240" s="18" t="s">
        <v>536</v>
      </c>
      <c r="H240" s="18">
        <v>140</v>
      </c>
      <c r="I240" s="18">
        <v>820</v>
      </c>
      <c r="J240" s="20" t="s">
        <v>629</v>
      </c>
      <c r="K240" s="20" t="s">
        <v>25</v>
      </c>
      <c r="L240" s="27" t="s">
        <v>26</v>
      </c>
      <c r="M240" s="27" t="s">
        <v>26</v>
      </c>
      <c r="N240" s="21">
        <v>41.588608213717301</v>
      </c>
      <c r="O240" s="10">
        <v>-76.886616323896106</v>
      </c>
      <c r="P240" s="22">
        <v>73</v>
      </c>
      <c r="Q240" s="23">
        <v>44235</v>
      </c>
      <c r="R240" s="22" t="s">
        <v>27</v>
      </c>
      <c r="S240" s="22" t="s">
        <v>28</v>
      </c>
      <c r="T240" s="24">
        <f t="shared" si="4"/>
        <v>73.584000000000003</v>
      </c>
    </row>
    <row r="241" spans="1:20" x14ac:dyDescent="0.25">
      <c r="A241" s="8">
        <v>963</v>
      </c>
      <c r="B241" s="8" t="s">
        <v>19</v>
      </c>
      <c r="C241" s="8">
        <v>3</v>
      </c>
      <c r="D241" s="8" t="s">
        <v>617</v>
      </c>
      <c r="E241" s="8" t="s">
        <v>322</v>
      </c>
      <c r="F241" s="18" t="s">
        <v>630</v>
      </c>
      <c r="G241" s="18" t="s">
        <v>631</v>
      </c>
      <c r="H241" s="18">
        <v>120</v>
      </c>
      <c r="I241" s="18">
        <v>1858</v>
      </c>
      <c r="J241" s="20" t="s">
        <v>632</v>
      </c>
      <c r="K241" s="20" t="s">
        <v>25</v>
      </c>
      <c r="L241" s="27" t="s">
        <v>26</v>
      </c>
      <c r="M241" s="27" t="s">
        <v>26</v>
      </c>
      <c r="N241" s="21">
        <v>41.572875765541198</v>
      </c>
      <c r="O241" s="10">
        <v>-77.334478401426296</v>
      </c>
      <c r="P241" s="22">
        <v>2</v>
      </c>
      <c r="Q241" s="23">
        <v>44235</v>
      </c>
      <c r="R241" s="22" t="s">
        <v>33</v>
      </c>
      <c r="S241" s="22" t="s">
        <v>517</v>
      </c>
      <c r="T241" s="24">
        <f t="shared" si="4"/>
        <v>2.016</v>
      </c>
    </row>
    <row r="242" spans="1:20" x14ac:dyDescent="0.25">
      <c r="A242" s="8">
        <v>964</v>
      </c>
      <c r="B242" s="8" t="s">
        <v>19</v>
      </c>
      <c r="C242" s="8">
        <v>3</v>
      </c>
      <c r="D242" s="8" t="s">
        <v>617</v>
      </c>
      <c r="E242" s="8" t="s">
        <v>625</v>
      </c>
      <c r="F242" s="18" t="s">
        <v>633</v>
      </c>
      <c r="G242" s="18" t="s">
        <v>634</v>
      </c>
      <c r="H242" s="18">
        <v>430</v>
      </c>
      <c r="I242" s="18">
        <v>1830</v>
      </c>
      <c r="J242" s="20" t="s">
        <v>635</v>
      </c>
      <c r="K242" s="20" t="s">
        <v>57</v>
      </c>
      <c r="L242" s="27" t="s">
        <v>26</v>
      </c>
      <c r="M242" s="27" t="s">
        <v>26</v>
      </c>
      <c r="N242" s="21">
        <v>41.779300543840201</v>
      </c>
      <c r="O242" s="10">
        <v>-77.069904006516694</v>
      </c>
      <c r="P242" s="22">
        <v>141</v>
      </c>
      <c r="Q242" s="23">
        <v>44235</v>
      </c>
      <c r="R242" s="22" t="s">
        <v>27</v>
      </c>
      <c r="S242" s="22" t="s">
        <v>38</v>
      </c>
      <c r="T242" s="24">
        <f t="shared" si="4"/>
        <v>142.12800000000001</v>
      </c>
    </row>
    <row r="243" spans="1:20" x14ac:dyDescent="0.25">
      <c r="A243" s="8">
        <v>965</v>
      </c>
      <c r="B243" s="8" t="s">
        <v>19</v>
      </c>
      <c r="C243" s="8">
        <v>3</v>
      </c>
      <c r="D243" s="8" t="s">
        <v>617</v>
      </c>
      <c r="E243" s="8" t="s">
        <v>636</v>
      </c>
      <c r="F243" s="18" t="s">
        <v>633</v>
      </c>
      <c r="G243" s="18" t="s">
        <v>634</v>
      </c>
      <c r="H243" s="18">
        <v>480</v>
      </c>
      <c r="I243" s="18">
        <v>0</v>
      </c>
      <c r="J243" s="20" t="s">
        <v>637</v>
      </c>
      <c r="K243" s="20" t="s">
        <v>26</v>
      </c>
      <c r="L243" s="27" t="s">
        <v>26</v>
      </c>
      <c r="M243" s="27" t="s">
        <v>26</v>
      </c>
      <c r="N243" s="21">
        <v>41.7985632394821</v>
      </c>
      <c r="O243" s="10">
        <v>-77.076020628172401</v>
      </c>
      <c r="P243" s="22">
        <v>903</v>
      </c>
      <c r="Q243" s="23">
        <v>44235</v>
      </c>
      <c r="R243" s="22" t="s">
        <v>33</v>
      </c>
      <c r="S243" s="22" t="s">
        <v>38</v>
      </c>
      <c r="T243" s="24">
        <f t="shared" si="4"/>
        <v>910.22400000000005</v>
      </c>
    </row>
    <row r="244" spans="1:20" x14ac:dyDescent="0.25">
      <c r="A244" s="8">
        <v>972</v>
      </c>
      <c r="B244" s="8" t="s">
        <v>19</v>
      </c>
      <c r="C244" s="8">
        <v>3</v>
      </c>
      <c r="D244" s="8" t="s">
        <v>638</v>
      </c>
      <c r="E244" s="8" t="s">
        <v>639</v>
      </c>
      <c r="F244" s="18" t="s">
        <v>143</v>
      </c>
      <c r="G244" s="18" t="s">
        <v>268</v>
      </c>
      <c r="H244" s="18">
        <v>260</v>
      </c>
      <c r="I244" s="18">
        <v>2068</v>
      </c>
      <c r="J244" s="20" t="s">
        <v>640</v>
      </c>
      <c r="K244" s="20" t="s">
        <v>25</v>
      </c>
      <c r="L244" s="27" t="s">
        <v>26</v>
      </c>
      <c r="M244" s="27" t="s">
        <v>26</v>
      </c>
      <c r="N244" s="21">
        <v>40.913557837668499</v>
      </c>
      <c r="O244" s="10">
        <v>-77.059071357081194</v>
      </c>
      <c r="P244" s="22">
        <v>1783</v>
      </c>
      <c r="Q244" s="23">
        <v>44223</v>
      </c>
      <c r="R244" s="22" t="s">
        <v>27</v>
      </c>
      <c r="S244" s="22" t="s">
        <v>34</v>
      </c>
      <c r="T244" s="24">
        <f t="shared" si="4"/>
        <v>1797.2640000000001</v>
      </c>
    </row>
    <row r="245" spans="1:20" x14ac:dyDescent="0.25">
      <c r="A245" s="8">
        <v>973</v>
      </c>
      <c r="B245" s="8" t="s">
        <v>19</v>
      </c>
      <c r="C245" s="8">
        <v>3</v>
      </c>
      <c r="D245" s="8" t="s">
        <v>638</v>
      </c>
      <c r="E245" s="8" t="s">
        <v>639</v>
      </c>
      <c r="F245" s="18" t="s">
        <v>143</v>
      </c>
      <c r="G245" s="18" t="s">
        <v>268</v>
      </c>
      <c r="H245" s="18">
        <v>300</v>
      </c>
      <c r="I245" s="18">
        <v>0</v>
      </c>
      <c r="J245" s="20" t="s">
        <v>641</v>
      </c>
      <c r="K245" s="20" t="s">
        <v>25</v>
      </c>
      <c r="L245" s="27" t="s">
        <v>26</v>
      </c>
      <c r="M245" s="27" t="s">
        <v>26</v>
      </c>
      <c r="N245" s="21">
        <v>40.923515906299002</v>
      </c>
      <c r="O245" s="10">
        <v>-77.030705522398407</v>
      </c>
      <c r="P245" s="22">
        <v>3532</v>
      </c>
      <c r="Q245" s="23">
        <v>44223</v>
      </c>
      <c r="R245" s="22" t="s">
        <v>27</v>
      </c>
      <c r="S245" s="22" t="s">
        <v>34</v>
      </c>
      <c r="T245" s="24">
        <f t="shared" si="4"/>
        <v>3560.2559999999999</v>
      </c>
    </row>
    <row r="246" spans="1:20" x14ac:dyDescent="0.25">
      <c r="A246" s="8">
        <v>984</v>
      </c>
      <c r="B246" s="8" t="s">
        <v>19</v>
      </c>
      <c r="C246" s="8">
        <v>3</v>
      </c>
      <c r="D246" s="8" t="s">
        <v>638</v>
      </c>
      <c r="E246" s="8" t="s">
        <v>639</v>
      </c>
      <c r="F246" s="18" t="s">
        <v>642</v>
      </c>
      <c r="G246" s="18" t="s">
        <v>241</v>
      </c>
      <c r="H246" s="18">
        <v>10</v>
      </c>
      <c r="I246" s="18">
        <v>368</v>
      </c>
      <c r="J246" s="20" t="s">
        <v>93</v>
      </c>
      <c r="K246" s="20" t="s">
        <v>25</v>
      </c>
      <c r="L246" s="27" t="s">
        <v>26</v>
      </c>
      <c r="M246" s="27" t="s">
        <v>26</v>
      </c>
      <c r="N246" s="21">
        <v>40.9217602169023</v>
      </c>
      <c r="O246" s="10">
        <v>-77.039131882158699</v>
      </c>
      <c r="P246" s="22">
        <v>1358</v>
      </c>
      <c r="Q246" s="23">
        <v>44223</v>
      </c>
      <c r="R246" s="22" t="s">
        <v>27</v>
      </c>
      <c r="S246" s="22" t="s">
        <v>517</v>
      </c>
      <c r="T246" s="24">
        <f t="shared" si="4"/>
        <v>1368.864</v>
      </c>
    </row>
    <row r="247" spans="1:20" x14ac:dyDescent="0.25">
      <c r="A247" s="8">
        <v>589</v>
      </c>
      <c r="B247" s="8" t="s">
        <v>19</v>
      </c>
      <c r="C247" s="8">
        <v>4</v>
      </c>
      <c r="D247" s="8" t="s">
        <v>643</v>
      </c>
      <c r="E247" s="8" t="s">
        <v>644</v>
      </c>
      <c r="F247" s="18" t="s">
        <v>645</v>
      </c>
      <c r="G247" s="18" t="s">
        <v>646</v>
      </c>
      <c r="H247" s="19">
        <v>214</v>
      </c>
      <c r="I247" s="19">
        <v>0</v>
      </c>
      <c r="J247" s="20" t="s">
        <v>647</v>
      </c>
      <c r="K247" s="20" t="s">
        <v>25</v>
      </c>
      <c r="L247" s="20" t="s">
        <v>26</v>
      </c>
      <c r="M247" s="20" t="s">
        <v>26</v>
      </c>
      <c r="N247" s="21">
        <v>41.4134676929202</v>
      </c>
      <c r="O247" s="10">
        <v>-75.666052929959704</v>
      </c>
      <c r="P247" s="22">
        <v>5216</v>
      </c>
      <c r="Q247" s="23">
        <v>44237</v>
      </c>
      <c r="R247" s="22" t="s">
        <v>27</v>
      </c>
      <c r="S247" s="22" t="s">
        <v>517</v>
      </c>
      <c r="T247" s="24">
        <f t="shared" ref="T247:T310" si="5">P247*$X$6</f>
        <v>5758.4640000000009</v>
      </c>
    </row>
    <row r="248" spans="1:20" x14ac:dyDescent="0.25">
      <c r="A248" s="8">
        <v>590</v>
      </c>
      <c r="B248" s="8" t="s">
        <v>19</v>
      </c>
      <c r="C248" s="8">
        <v>4</v>
      </c>
      <c r="D248" s="8" t="s">
        <v>643</v>
      </c>
      <c r="E248" s="8" t="s">
        <v>648</v>
      </c>
      <c r="F248" s="18" t="s">
        <v>649</v>
      </c>
      <c r="G248" s="18" t="s">
        <v>650</v>
      </c>
      <c r="H248" s="18">
        <v>230</v>
      </c>
      <c r="I248" s="18">
        <v>2185</v>
      </c>
      <c r="J248" s="20" t="s">
        <v>651</v>
      </c>
      <c r="K248" s="20" t="s">
        <v>25</v>
      </c>
      <c r="L248" s="27" t="s">
        <v>26</v>
      </c>
      <c r="M248" s="27" t="s">
        <v>26</v>
      </c>
      <c r="N248" s="21">
        <v>41.555528649269</v>
      </c>
      <c r="O248" s="10">
        <v>-75.571168893989807</v>
      </c>
      <c r="P248" s="22">
        <v>111</v>
      </c>
      <c r="Q248" s="23">
        <v>44231</v>
      </c>
      <c r="R248" s="22" t="s">
        <v>27</v>
      </c>
      <c r="S248" s="22" t="s">
        <v>34</v>
      </c>
      <c r="T248" s="24">
        <f t="shared" si="5"/>
        <v>122.54400000000001</v>
      </c>
    </row>
    <row r="249" spans="1:20" x14ac:dyDescent="0.25">
      <c r="A249" s="8">
        <v>591</v>
      </c>
      <c r="B249" s="8" t="s">
        <v>19</v>
      </c>
      <c r="C249" s="8">
        <v>4</v>
      </c>
      <c r="D249" s="8" t="s">
        <v>643</v>
      </c>
      <c r="E249" s="8" t="s">
        <v>648</v>
      </c>
      <c r="F249" s="18" t="s">
        <v>652</v>
      </c>
      <c r="G249" s="18" t="s">
        <v>653</v>
      </c>
      <c r="H249" s="18">
        <v>270</v>
      </c>
      <c r="I249" s="18">
        <v>591</v>
      </c>
      <c r="J249" s="20" t="s">
        <v>654</v>
      </c>
      <c r="K249" s="20" t="s">
        <v>25</v>
      </c>
      <c r="L249" s="27" t="s">
        <v>26</v>
      </c>
      <c r="M249" s="27" t="s">
        <v>26</v>
      </c>
      <c r="N249" s="21">
        <v>41.535625848071099</v>
      </c>
      <c r="O249" s="10">
        <v>-75.609319901977202</v>
      </c>
      <c r="P249" s="22">
        <v>51</v>
      </c>
      <c r="Q249" s="23">
        <v>44231</v>
      </c>
      <c r="R249" s="22" t="s">
        <v>33</v>
      </c>
      <c r="S249" s="22" t="s">
        <v>517</v>
      </c>
      <c r="T249" s="24">
        <f t="shared" si="5"/>
        <v>56.304000000000002</v>
      </c>
    </row>
    <row r="250" spans="1:20" x14ac:dyDescent="0.25">
      <c r="A250" s="8">
        <v>592</v>
      </c>
      <c r="B250" s="8" t="s">
        <v>19</v>
      </c>
      <c r="C250" s="8">
        <v>4</v>
      </c>
      <c r="D250" s="8" t="s">
        <v>643</v>
      </c>
      <c r="E250" s="8" t="s">
        <v>648</v>
      </c>
      <c r="F250" s="18" t="s">
        <v>652</v>
      </c>
      <c r="G250" s="18" t="s">
        <v>653</v>
      </c>
      <c r="H250" s="18">
        <v>290</v>
      </c>
      <c r="I250" s="18">
        <v>2434</v>
      </c>
      <c r="J250" s="20" t="s">
        <v>655</v>
      </c>
      <c r="K250" s="20" t="s">
        <v>25</v>
      </c>
      <c r="L250" s="27" t="s">
        <v>26</v>
      </c>
      <c r="M250" s="27" t="s">
        <v>26</v>
      </c>
      <c r="N250" s="21">
        <v>41.557106056102498</v>
      </c>
      <c r="O250" s="10">
        <v>-75.604110728119394</v>
      </c>
      <c r="P250" s="22">
        <v>661</v>
      </c>
      <c r="Q250" s="23">
        <v>44231</v>
      </c>
      <c r="R250" s="22" t="s">
        <v>33</v>
      </c>
      <c r="S250" s="22" t="s">
        <v>517</v>
      </c>
      <c r="T250" s="24">
        <f t="shared" si="5"/>
        <v>729.74400000000003</v>
      </c>
    </row>
    <row r="251" spans="1:20" x14ac:dyDescent="0.25">
      <c r="A251" s="8">
        <v>593</v>
      </c>
      <c r="B251" s="8" t="s">
        <v>19</v>
      </c>
      <c r="C251" s="8">
        <v>4</v>
      </c>
      <c r="D251" s="8" t="s">
        <v>643</v>
      </c>
      <c r="E251" s="8" t="s">
        <v>656</v>
      </c>
      <c r="F251" s="18" t="s">
        <v>657</v>
      </c>
      <c r="G251" s="18" t="s">
        <v>658</v>
      </c>
      <c r="H251" s="18">
        <v>80</v>
      </c>
      <c r="I251" s="18">
        <v>0</v>
      </c>
      <c r="J251" s="20" t="s">
        <v>659</v>
      </c>
      <c r="K251" s="20" t="s">
        <v>25</v>
      </c>
      <c r="L251" s="27" t="s">
        <v>26</v>
      </c>
      <c r="M251" s="27" t="s">
        <v>26</v>
      </c>
      <c r="N251" s="21">
        <v>41.321167820467899</v>
      </c>
      <c r="O251" s="10">
        <v>-75.556310403175402</v>
      </c>
      <c r="P251" s="22">
        <v>573</v>
      </c>
      <c r="Q251" s="23">
        <v>44243</v>
      </c>
      <c r="R251" s="22" t="s">
        <v>27</v>
      </c>
      <c r="S251" s="22" t="s">
        <v>28</v>
      </c>
      <c r="T251" s="24">
        <f t="shared" si="5"/>
        <v>632.5920000000001</v>
      </c>
    </row>
    <row r="252" spans="1:20" x14ac:dyDescent="0.25">
      <c r="A252" s="8">
        <v>594</v>
      </c>
      <c r="B252" s="8" t="s">
        <v>19</v>
      </c>
      <c r="C252" s="8">
        <v>4</v>
      </c>
      <c r="D252" s="8" t="s">
        <v>643</v>
      </c>
      <c r="E252" s="8" t="s">
        <v>660</v>
      </c>
      <c r="F252" s="18" t="s">
        <v>657</v>
      </c>
      <c r="G252" s="18" t="s">
        <v>658</v>
      </c>
      <c r="H252" s="18">
        <v>130</v>
      </c>
      <c r="I252" s="18">
        <v>1287</v>
      </c>
      <c r="J252" s="20" t="s">
        <v>661</v>
      </c>
      <c r="K252" s="20" t="s">
        <v>25</v>
      </c>
      <c r="L252" s="27" t="s">
        <v>26</v>
      </c>
      <c r="M252" s="27" t="s">
        <v>26</v>
      </c>
      <c r="N252" s="21">
        <v>41.3585199233775</v>
      </c>
      <c r="O252" s="10">
        <v>-75.596382850943499</v>
      </c>
      <c r="P252" s="22">
        <v>183</v>
      </c>
      <c r="Q252" s="23">
        <v>44243</v>
      </c>
      <c r="R252" s="22" t="s">
        <v>27</v>
      </c>
      <c r="S252" s="22" t="s">
        <v>517</v>
      </c>
      <c r="T252" s="24">
        <f t="shared" si="5"/>
        <v>202.03200000000001</v>
      </c>
    </row>
    <row r="253" spans="1:20" x14ac:dyDescent="0.25">
      <c r="A253" s="8">
        <v>595</v>
      </c>
      <c r="B253" s="8" t="s">
        <v>19</v>
      </c>
      <c r="C253" s="8">
        <v>4</v>
      </c>
      <c r="D253" s="8" t="s">
        <v>643</v>
      </c>
      <c r="E253" s="8" t="s">
        <v>662</v>
      </c>
      <c r="F253" s="18" t="s">
        <v>663</v>
      </c>
      <c r="G253" s="18" t="s">
        <v>658</v>
      </c>
      <c r="H253" s="18">
        <v>360</v>
      </c>
      <c r="I253" s="18">
        <v>1248</v>
      </c>
      <c r="J253" s="20" t="s">
        <v>664</v>
      </c>
      <c r="K253" s="20" t="s">
        <v>25</v>
      </c>
      <c r="L253" s="27" t="s">
        <v>26</v>
      </c>
      <c r="M253" s="27" t="s">
        <v>26</v>
      </c>
      <c r="N253" s="21">
        <v>41.486987251836098</v>
      </c>
      <c r="O253" s="10">
        <v>-75.753910447647499</v>
      </c>
      <c r="P253" s="22">
        <v>191</v>
      </c>
      <c r="Q253" s="23">
        <v>44237</v>
      </c>
      <c r="R253" s="22" t="s">
        <v>27</v>
      </c>
      <c r="S253" s="22" t="s">
        <v>34</v>
      </c>
      <c r="T253" s="24">
        <f t="shared" si="5"/>
        <v>210.864</v>
      </c>
    </row>
    <row r="254" spans="1:20" x14ac:dyDescent="0.25">
      <c r="A254" s="8">
        <v>596</v>
      </c>
      <c r="B254" s="8" t="s">
        <v>19</v>
      </c>
      <c r="C254" s="8">
        <v>4</v>
      </c>
      <c r="D254" s="8" t="s">
        <v>643</v>
      </c>
      <c r="E254" s="8" t="s">
        <v>665</v>
      </c>
      <c r="F254" s="18" t="s">
        <v>666</v>
      </c>
      <c r="G254" s="18" t="s">
        <v>667</v>
      </c>
      <c r="H254" s="18">
        <v>70</v>
      </c>
      <c r="I254" s="18">
        <v>2354</v>
      </c>
      <c r="J254" s="20" t="s">
        <v>668</v>
      </c>
      <c r="K254" s="20" t="s">
        <v>25</v>
      </c>
      <c r="L254" s="27" t="s">
        <v>26</v>
      </c>
      <c r="M254" s="27" t="s">
        <v>26</v>
      </c>
      <c r="N254" s="21">
        <v>41.4129641415335</v>
      </c>
      <c r="O254" s="10">
        <v>-75.497324634241394</v>
      </c>
      <c r="P254" s="22">
        <v>235</v>
      </c>
      <c r="Q254" s="23">
        <v>44237</v>
      </c>
      <c r="R254" s="22" t="s">
        <v>27</v>
      </c>
      <c r="S254" s="22" t="s">
        <v>34</v>
      </c>
      <c r="T254" s="24">
        <f t="shared" si="5"/>
        <v>259.44</v>
      </c>
    </row>
    <row r="255" spans="1:20" x14ac:dyDescent="0.25">
      <c r="A255" s="8">
        <v>597</v>
      </c>
      <c r="B255" s="8" t="s">
        <v>19</v>
      </c>
      <c r="C255" s="8">
        <v>4</v>
      </c>
      <c r="D255" s="8" t="s">
        <v>643</v>
      </c>
      <c r="E255" s="8" t="s">
        <v>660</v>
      </c>
      <c r="F255" s="18" t="s">
        <v>77</v>
      </c>
      <c r="G255" s="18" t="s">
        <v>669</v>
      </c>
      <c r="H255" s="18">
        <v>40</v>
      </c>
      <c r="I255" s="18">
        <v>1976</v>
      </c>
      <c r="J255" s="20" t="s">
        <v>670</v>
      </c>
      <c r="K255" s="20" t="s">
        <v>25</v>
      </c>
      <c r="L255" s="27" t="s">
        <v>26</v>
      </c>
      <c r="M255" s="27" t="s">
        <v>26</v>
      </c>
      <c r="N255" s="21">
        <v>41.376222219488703</v>
      </c>
      <c r="O255" s="10">
        <v>-75.518981626029003</v>
      </c>
      <c r="P255" s="22">
        <v>123</v>
      </c>
      <c r="Q255" s="23">
        <v>44243</v>
      </c>
      <c r="R255" s="22" t="s">
        <v>27</v>
      </c>
      <c r="S255" s="22" t="s">
        <v>34</v>
      </c>
      <c r="T255" s="24">
        <f t="shared" si="5"/>
        <v>135.792</v>
      </c>
    </row>
    <row r="256" spans="1:20" x14ac:dyDescent="0.25">
      <c r="A256" s="8">
        <v>598</v>
      </c>
      <c r="B256" s="8" t="s">
        <v>19</v>
      </c>
      <c r="C256" s="8">
        <v>4</v>
      </c>
      <c r="D256" s="8" t="s">
        <v>643</v>
      </c>
      <c r="E256" s="8" t="s">
        <v>648</v>
      </c>
      <c r="F256" s="18" t="s">
        <v>671</v>
      </c>
      <c r="G256" s="18" t="s">
        <v>672</v>
      </c>
      <c r="H256" s="18">
        <v>110</v>
      </c>
      <c r="I256" s="18">
        <v>0</v>
      </c>
      <c r="J256" s="20" t="s">
        <v>673</v>
      </c>
      <c r="K256" s="20" t="s">
        <v>25</v>
      </c>
      <c r="L256" s="27" t="s">
        <v>26</v>
      </c>
      <c r="M256" s="27" t="s">
        <v>26</v>
      </c>
      <c r="N256" s="21">
        <v>41.517052531024497</v>
      </c>
      <c r="O256" s="10">
        <v>-75.623133216925197</v>
      </c>
      <c r="P256" s="22">
        <v>744</v>
      </c>
      <c r="Q256" s="23">
        <v>44231</v>
      </c>
      <c r="R256" s="22" t="s">
        <v>27</v>
      </c>
      <c r="S256" s="22" t="s">
        <v>38</v>
      </c>
      <c r="T256" s="24">
        <f t="shared" si="5"/>
        <v>821.37600000000009</v>
      </c>
    </row>
    <row r="257" spans="1:20" x14ac:dyDescent="0.25">
      <c r="A257" s="8">
        <v>599</v>
      </c>
      <c r="B257" s="8" t="s">
        <v>19</v>
      </c>
      <c r="C257" s="8">
        <v>4</v>
      </c>
      <c r="D257" s="8" t="s">
        <v>643</v>
      </c>
      <c r="E257" s="8" t="s">
        <v>665</v>
      </c>
      <c r="F257" s="18" t="s">
        <v>674</v>
      </c>
      <c r="G257" s="18" t="s">
        <v>675</v>
      </c>
      <c r="H257" s="18">
        <v>20</v>
      </c>
      <c r="I257" s="18">
        <v>1389</v>
      </c>
      <c r="J257" s="20" t="s">
        <v>676</v>
      </c>
      <c r="K257" s="20" t="s">
        <v>25</v>
      </c>
      <c r="L257" s="27" t="s">
        <v>26</v>
      </c>
      <c r="M257" s="27" t="s">
        <v>26</v>
      </c>
      <c r="N257" s="21">
        <v>41.405450018989001</v>
      </c>
      <c r="O257" s="10">
        <v>-75.490248356297698</v>
      </c>
      <c r="P257" s="22">
        <v>15</v>
      </c>
      <c r="Q257" s="23">
        <v>44231</v>
      </c>
      <c r="R257" s="22" t="s">
        <v>27</v>
      </c>
      <c r="S257" s="22" t="s">
        <v>34</v>
      </c>
      <c r="T257" s="24">
        <f t="shared" si="5"/>
        <v>16.560000000000002</v>
      </c>
    </row>
    <row r="258" spans="1:20" x14ac:dyDescent="0.25">
      <c r="A258" s="8">
        <v>600</v>
      </c>
      <c r="B258" s="8" t="s">
        <v>19</v>
      </c>
      <c r="C258" s="8">
        <v>4</v>
      </c>
      <c r="D258" s="8" t="s">
        <v>643</v>
      </c>
      <c r="E258" s="8" t="s">
        <v>662</v>
      </c>
      <c r="F258" s="18" t="s">
        <v>677</v>
      </c>
      <c r="G258" s="18" t="s">
        <v>678</v>
      </c>
      <c r="H258" s="18">
        <v>80</v>
      </c>
      <c r="I258" s="18">
        <v>1959</v>
      </c>
      <c r="J258" s="20" t="s">
        <v>679</v>
      </c>
      <c r="K258" s="20" t="s">
        <v>25</v>
      </c>
      <c r="L258" s="27" t="s">
        <v>26</v>
      </c>
      <c r="M258" s="27" t="s">
        <v>26</v>
      </c>
      <c r="N258" s="21">
        <v>41.449127532166997</v>
      </c>
      <c r="O258" s="10">
        <v>-75.719044951065698</v>
      </c>
      <c r="P258" s="22">
        <v>6</v>
      </c>
      <c r="Q258" s="23">
        <v>44237</v>
      </c>
      <c r="R258" s="22" t="s">
        <v>33</v>
      </c>
      <c r="S258" s="22" t="s">
        <v>517</v>
      </c>
      <c r="T258" s="24">
        <f t="shared" si="5"/>
        <v>6.6240000000000006</v>
      </c>
    </row>
    <row r="259" spans="1:20" x14ac:dyDescent="0.25">
      <c r="A259" s="8">
        <v>601</v>
      </c>
      <c r="B259" s="8" t="s">
        <v>19</v>
      </c>
      <c r="C259" s="8">
        <v>4</v>
      </c>
      <c r="D259" s="8" t="s">
        <v>643</v>
      </c>
      <c r="E259" s="8" t="s">
        <v>644</v>
      </c>
      <c r="F259" s="18" t="s">
        <v>680</v>
      </c>
      <c r="G259" s="18" t="s">
        <v>681</v>
      </c>
      <c r="H259" s="19">
        <v>130</v>
      </c>
      <c r="I259" s="19">
        <v>1264</v>
      </c>
      <c r="J259" s="20" t="s">
        <v>682</v>
      </c>
      <c r="K259" s="20" t="s">
        <v>25</v>
      </c>
      <c r="L259" s="20" t="s">
        <v>26</v>
      </c>
      <c r="M259" s="20" t="s">
        <v>26</v>
      </c>
      <c r="N259" s="21">
        <v>41.425068672742697</v>
      </c>
      <c r="O259" s="10">
        <v>-75.671492057014902</v>
      </c>
      <c r="P259" s="22">
        <v>3078</v>
      </c>
      <c r="Q259" s="23">
        <v>44237</v>
      </c>
      <c r="R259" s="22" t="s">
        <v>27</v>
      </c>
      <c r="S259" s="22" t="s">
        <v>34</v>
      </c>
      <c r="T259" s="24">
        <f t="shared" si="5"/>
        <v>3398.1120000000001</v>
      </c>
    </row>
    <row r="260" spans="1:20" x14ac:dyDescent="0.25">
      <c r="A260" s="8">
        <v>602</v>
      </c>
      <c r="B260" s="8" t="s">
        <v>19</v>
      </c>
      <c r="C260" s="8">
        <v>4</v>
      </c>
      <c r="D260" s="8" t="s">
        <v>643</v>
      </c>
      <c r="E260" s="8" t="s">
        <v>644</v>
      </c>
      <c r="F260" s="18" t="s">
        <v>680</v>
      </c>
      <c r="G260" s="18" t="s">
        <v>681</v>
      </c>
      <c r="H260" s="19">
        <v>150</v>
      </c>
      <c r="I260" s="19">
        <v>729</v>
      </c>
      <c r="J260" s="20" t="s">
        <v>683</v>
      </c>
      <c r="K260" s="20" t="s">
        <v>25</v>
      </c>
      <c r="L260" s="20" t="s">
        <v>26</v>
      </c>
      <c r="M260" s="20" t="s">
        <v>26</v>
      </c>
      <c r="N260" s="21">
        <v>41.431620435425501</v>
      </c>
      <c r="O260" s="10">
        <v>-75.663844110238998</v>
      </c>
      <c r="P260" s="22">
        <v>655</v>
      </c>
      <c r="Q260" s="23">
        <v>44237</v>
      </c>
      <c r="R260" s="22" t="s">
        <v>27</v>
      </c>
      <c r="S260" s="22" t="s">
        <v>38</v>
      </c>
      <c r="T260" s="24">
        <f t="shared" si="5"/>
        <v>723.12</v>
      </c>
    </row>
    <row r="261" spans="1:20" x14ac:dyDescent="0.25">
      <c r="A261" s="8">
        <v>603</v>
      </c>
      <c r="B261" s="8" t="s">
        <v>19</v>
      </c>
      <c r="C261" s="8">
        <v>4</v>
      </c>
      <c r="D261" s="8" t="s">
        <v>643</v>
      </c>
      <c r="E261" s="8" t="s">
        <v>684</v>
      </c>
      <c r="F261" s="18" t="s">
        <v>685</v>
      </c>
      <c r="G261" s="18" t="s">
        <v>244</v>
      </c>
      <c r="H261" s="19">
        <v>260</v>
      </c>
      <c r="I261" s="19">
        <v>58</v>
      </c>
      <c r="J261" s="20" t="s">
        <v>686</v>
      </c>
      <c r="K261" s="20" t="s">
        <v>25</v>
      </c>
      <c r="L261" s="20" t="s">
        <v>26</v>
      </c>
      <c r="M261" s="20" t="s">
        <v>26</v>
      </c>
      <c r="N261" s="21">
        <v>41.461054921439597</v>
      </c>
      <c r="O261" s="10">
        <v>-75.656910888911298</v>
      </c>
      <c r="P261" s="22">
        <v>8511</v>
      </c>
      <c r="Q261" s="23">
        <v>44231</v>
      </c>
      <c r="R261" s="22" t="s">
        <v>33</v>
      </c>
      <c r="S261" s="22" t="s">
        <v>28</v>
      </c>
      <c r="T261" s="24">
        <f t="shared" si="5"/>
        <v>9396.1440000000002</v>
      </c>
    </row>
    <row r="262" spans="1:20" x14ac:dyDescent="0.25">
      <c r="A262" s="8">
        <v>604</v>
      </c>
      <c r="B262" s="8" t="s">
        <v>19</v>
      </c>
      <c r="C262" s="8">
        <v>4</v>
      </c>
      <c r="D262" s="8" t="s">
        <v>643</v>
      </c>
      <c r="E262" s="8" t="s">
        <v>684</v>
      </c>
      <c r="F262" s="18" t="s">
        <v>685</v>
      </c>
      <c r="G262" s="18" t="s">
        <v>244</v>
      </c>
      <c r="H262" s="19">
        <v>270</v>
      </c>
      <c r="I262" s="19">
        <v>274</v>
      </c>
      <c r="J262" s="20" t="s">
        <v>687</v>
      </c>
      <c r="K262" s="20" t="s">
        <v>25</v>
      </c>
      <c r="L262" s="20" t="s">
        <v>26</v>
      </c>
      <c r="M262" s="20" t="s">
        <v>26</v>
      </c>
      <c r="N262" s="21">
        <v>41.463403529662799</v>
      </c>
      <c r="O262" s="10">
        <v>-75.6524376075118</v>
      </c>
      <c r="P262" s="22">
        <v>4169</v>
      </c>
      <c r="Q262" s="23">
        <v>44231</v>
      </c>
      <c r="R262" s="22" t="s">
        <v>27</v>
      </c>
      <c r="S262" s="22" t="s">
        <v>34</v>
      </c>
      <c r="T262" s="24">
        <f t="shared" si="5"/>
        <v>4602.576</v>
      </c>
    </row>
    <row r="263" spans="1:20" x14ac:dyDescent="0.25">
      <c r="A263" s="8">
        <v>605</v>
      </c>
      <c r="B263" s="8" t="s">
        <v>19</v>
      </c>
      <c r="C263" s="8">
        <v>4</v>
      </c>
      <c r="D263" s="8" t="s">
        <v>643</v>
      </c>
      <c r="E263" s="8" t="s">
        <v>644</v>
      </c>
      <c r="F263" s="18" t="s">
        <v>688</v>
      </c>
      <c r="G263" s="18" t="s">
        <v>689</v>
      </c>
      <c r="H263" s="19">
        <v>200</v>
      </c>
      <c r="I263" s="19">
        <v>0</v>
      </c>
      <c r="J263" s="20" t="s">
        <v>690</v>
      </c>
      <c r="K263" s="20" t="s">
        <v>25</v>
      </c>
      <c r="L263" s="20" t="s">
        <v>26</v>
      </c>
      <c r="M263" s="20" t="s">
        <v>26</v>
      </c>
      <c r="N263" s="21">
        <v>41.403640640436599</v>
      </c>
      <c r="O263" s="10">
        <v>-75.647331826537894</v>
      </c>
      <c r="P263" s="22">
        <v>1169</v>
      </c>
      <c r="Q263" s="23">
        <v>44237</v>
      </c>
      <c r="R263" s="22" t="s">
        <v>27</v>
      </c>
      <c r="S263" s="22" t="s">
        <v>517</v>
      </c>
      <c r="T263" s="24">
        <f t="shared" si="5"/>
        <v>1290.576</v>
      </c>
    </row>
    <row r="264" spans="1:20" x14ac:dyDescent="0.25">
      <c r="A264" s="8">
        <v>606</v>
      </c>
      <c r="B264" s="8" t="s">
        <v>19</v>
      </c>
      <c r="C264" s="8">
        <v>4</v>
      </c>
      <c r="D264" s="8" t="s">
        <v>643</v>
      </c>
      <c r="E264" s="8" t="s">
        <v>644</v>
      </c>
      <c r="F264" s="18" t="s">
        <v>688</v>
      </c>
      <c r="G264" s="18" t="s">
        <v>689</v>
      </c>
      <c r="H264" s="19">
        <v>200</v>
      </c>
      <c r="I264" s="19">
        <v>1142</v>
      </c>
      <c r="J264" s="20" t="s">
        <v>335</v>
      </c>
      <c r="K264" s="20" t="s">
        <v>25</v>
      </c>
      <c r="L264" s="20" t="s">
        <v>26</v>
      </c>
      <c r="M264" s="20" t="s">
        <v>26</v>
      </c>
      <c r="N264" s="21">
        <v>41.406056212265</v>
      </c>
      <c r="O264" s="10">
        <v>-75.644646880505306</v>
      </c>
      <c r="P264" s="22">
        <v>1163</v>
      </c>
      <c r="Q264" s="23">
        <v>44237</v>
      </c>
      <c r="R264" s="22" t="s">
        <v>27</v>
      </c>
      <c r="S264" s="22" t="s">
        <v>517</v>
      </c>
      <c r="T264" s="24">
        <f t="shared" si="5"/>
        <v>1283.952</v>
      </c>
    </row>
    <row r="265" spans="1:20" x14ac:dyDescent="0.25">
      <c r="A265" s="8">
        <v>687</v>
      </c>
      <c r="B265" s="8" t="s">
        <v>19</v>
      </c>
      <c r="C265" s="8">
        <v>4</v>
      </c>
      <c r="D265" s="8" t="s">
        <v>691</v>
      </c>
      <c r="E265" s="8" t="s">
        <v>692</v>
      </c>
      <c r="F265" s="18" t="s">
        <v>693</v>
      </c>
      <c r="G265" s="18" t="s">
        <v>646</v>
      </c>
      <c r="H265" s="18">
        <v>110</v>
      </c>
      <c r="I265" s="18">
        <v>1871</v>
      </c>
      <c r="J265" s="20" t="s">
        <v>694</v>
      </c>
      <c r="K265" s="20" t="s">
        <v>695</v>
      </c>
      <c r="L265" s="27" t="s">
        <v>26</v>
      </c>
      <c r="M265" s="27" t="s">
        <v>26</v>
      </c>
      <c r="N265" s="21">
        <v>41.079684241772803</v>
      </c>
      <c r="O265" s="10">
        <v>-76.139449379787493</v>
      </c>
      <c r="P265" s="22">
        <v>40</v>
      </c>
      <c r="Q265" s="23">
        <v>44257</v>
      </c>
      <c r="R265" s="22" t="s">
        <v>27</v>
      </c>
      <c r="S265" s="22" t="s">
        <v>517</v>
      </c>
      <c r="T265" s="24">
        <f t="shared" si="5"/>
        <v>44.160000000000004</v>
      </c>
    </row>
    <row r="266" spans="1:20" x14ac:dyDescent="0.25">
      <c r="A266" s="8">
        <v>688</v>
      </c>
      <c r="B266" s="8" t="s">
        <v>19</v>
      </c>
      <c r="C266" s="8">
        <v>4</v>
      </c>
      <c r="D266" s="8" t="s">
        <v>691</v>
      </c>
      <c r="E266" s="8" t="s">
        <v>696</v>
      </c>
      <c r="F266" s="18" t="s">
        <v>697</v>
      </c>
      <c r="G266" s="18" t="s">
        <v>646</v>
      </c>
      <c r="H266" s="18">
        <v>200</v>
      </c>
      <c r="I266" s="18">
        <v>1997</v>
      </c>
      <c r="J266" s="20" t="s">
        <v>698</v>
      </c>
      <c r="K266" s="20" t="s">
        <v>695</v>
      </c>
      <c r="L266" s="27" t="s">
        <v>26</v>
      </c>
      <c r="M266" s="27" t="s">
        <v>26</v>
      </c>
      <c r="N266" s="21">
        <v>41.151245978772501</v>
      </c>
      <c r="O266" s="10">
        <v>-76.151204320793994</v>
      </c>
      <c r="P266" s="22">
        <v>136</v>
      </c>
      <c r="Q266" s="23">
        <v>44257</v>
      </c>
      <c r="R266" s="22" t="s">
        <v>27</v>
      </c>
      <c r="S266" s="22" t="s">
        <v>517</v>
      </c>
      <c r="T266" s="24">
        <f t="shared" si="5"/>
        <v>150.14400000000001</v>
      </c>
    </row>
    <row r="267" spans="1:20" x14ac:dyDescent="0.25">
      <c r="A267" s="8">
        <v>689</v>
      </c>
      <c r="B267" s="8" t="s">
        <v>19</v>
      </c>
      <c r="C267" s="8">
        <v>4</v>
      </c>
      <c r="D267" s="8" t="s">
        <v>691</v>
      </c>
      <c r="E267" s="8" t="s">
        <v>699</v>
      </c>
      <c r="F267" s="18" t="s">
        <v>700</v>
      </c>
      <c r="G267" s="18" t="s">
        <v>646</v>
      </c>
      <c r="H267" s="19">
        <v>620</v>
      </c>
      <c r="I267" s="19">
        <v>0</v>
      </c>
      <c r="J267" s="20" t="s">
        <v>701</v>
      </c>
      <c r="K267" s="20" t="s">
        <v>25</v>
      </c>
      <c r="L267" s="20" t="s">
        <v>26</v>
      </c>
      <c r="M267" s="20" t="s">
        <v>26</v>
      </c>
      <c r="N267" s="21">
        <v>41.285405919125203</v>
      </c>
      <c r="O267" s="10">
        <v>-75.873046795416698</v>
      </c>
      <c r="P267" s="22">
        <v>8309</v>
      </c>
      <c r="Q267" s="23">
        <v>44257</v>
      </c>
      <c r="R267" s="22" t="s">
        <v>27</v>
      </c>
      <c r="S267" s="22" t="s">
        <v>28</v>
      </c>
      <c r="T267" s="24">
        <f t="shared" si="5"/>
        <v>9173.1360000000004</v>
      </c>
    </row>
    <row r="268" spans="1:20" x14ac:dyDescent="0.25">
      <c r="A268" s="8">
        <v>690</v>
      </c>
      <c r="B268" s="8" t="s">
        <v>19</v>
      </c>
      <c r="C268" s="8">
        <v>4</v>
      </c>
      <c r="D268" s="8" t="s">
        <v>691</v>
      </c>
      <c r="E268" s="8" t="s">
        <v>702</v>
      </c>
      <c r="F268" s="18" t="s">
        <v>700</v>
      </c>
      <c r="G268" s="18" t="s">
        <v>646</v>
      </c>
      <c r="H268" s="19">
        <v>670</v>
      </c>
      <c r="I268" s="19">
        <v>1096</v>
      </c>
      <c r="J268" s="20" t="s">
        <v>703</v>
      </c>
      <c r="K268" s="20" t="s">
        <v>25</v>
      </c>
      <c r="L268" s="20" t="s">
        <v>26</v>
      </c>
      <c r="M268" s="20" t="s">
        <v>26</v>
      </c>
      <c r="N268" s="21">
        <v>41.313587578049898</v>
      </c>
      <c r="O268" s="10">
        <v>-75.834667428500893</v>
      </c>
      <c r="P268" s="22">
        <v>1793</v>
      </c>
      <c r="Q268" s="23">
        <v>44257</v>
      </c>
      <c r="R268" s="22" t="s">
        <v>27</v>
      </c>
      <c r="S268" s="22" t="s">
        <v>517</v>
      </c>
      <c r="T268" s="24">
        <f t="shared" si="5"/>
        <v>1979.4720000000002</v>
      </c>
    </row>
    <row r="269" spans="1:20" x14ac:dyDescent="0.25">
      <c r="A269" s="8">
        <v>691</v>
      </c>
      <c r="B269" s="8" t="s">
        <v>19</v>
      </c>
      <c r="C269" s="8">
        <v>4</v>
      </c>
      <c r="D269" s="8" t="s">
        <v>691</v>
      </c>
      <c r="E269" s="8" t="s">
        <v>704</v>
      </c>
      <c r="F269" s="18" t="s">
        <v>705</v>
      </c>
      <c r="G269" s="18" t="s">
        <v>706</v>
      </c>
      <c r="H269" s="18">
        <v>260</v>
      </c>
      <c r="I269" s="18">
        <v>1871</v>
      </c>
      <c r="J269" s="20" t="s">
        <v>707</v>
      </c>
      <c r="K269" s="20" t="s">
        <v>695</v>
      </c>
      <c r="L269" s="27" t="s">
        <v>26</v>
      </c>
      <c r="M269" s="27" t="s">
        <v>26</v>
      </c>
      <c r="N269" s="21">
        <v>41.268711425799601</v>
      </c>
      <c r="O269" s="10">
        <v>-76.081225331460402</v>
      </c>
      <c r="P269" s="22">
        <v>187</v>
      </c>
      <c r="Q269" s="23">
        <v>44257</v>
      </c>
      <c r="R269" s="22" t="s">
        <v>27</v>
      </c>
      <c r="S269" s="22" t="s">
        <v>38</v>
      </c>
      <c r="T269" s="24">
        <f t="shared" si="5"/>
        <v>206.44800000000001</v>
      </c>
    </row>
    <row r="270" spans="1:20" x14ac:dyDescent="0.25">
      <c r="A270" s="8">
        <v>692</v>
      </c>
      <c r="B270" s="8" t="s">
        <v>19</v>
      </c>
      <c r="C270" s="8">
        <v>4</v>
      </c>
      <c r="D270" s="8" t="s">
        <v>691</v>
      </c>
      <c r="E270" s="8" t="s">
        <v>708</v>
      </c>
      <c r="F270" s="18" t="s">
        <v>709</v>
      </c>
      <c r="G270" s="18" t="s">
        <v>710</v>
      </c>
      <c r="H270" s="18">
        <v>180</v>
      </c>
      <c r="I270" s="18">
        <v>0</v>
      </c>
      <c r="J270" s="20" t="s">
        <v>711</v>
      </c>
      <c r="K270" s="20" t="s">
        <v>695</v>
      </c>
      <c r="L270" s="27" t="s">
        <v>26</v>
      </c>
      <c r="M270" s="27" t="s">
        <v>26</v>
      </c>
      <c r="N270" s="21">
        <v>40.982374895210299</v>
      </c>
      <c r="O270" s="10">
        <v>-76.054826486967499</v>
      </c>
      <c r="P270" s="22">
        <v>1788</v>
      </c>
      <c r="Q270" s="23">
        <v>44257</v>
      </c>
      <c r="R270" s="22" t="s">
        <v>27</v>
      </c>
      <c r="S270" s="22" t="s">
        <v>38</v>
      </c>
      <c r="T270" s="24">
        <f t="shared" si="5"/>
        <v>1973.9520000000002</v>
      </c>
    </row>
    <row r="271" spans="1:20" x14ac:dyDescent="0.25">
      <c r="A271" s="8">
        <v>694</v>
      </c>
      <c r="B271" s="8" t="s">
        <v>19</v>
      </c>
      <c r="C271" s="8">
        <v>4</v>
      </c>
      <c r="D271" s="8" t="s">
        <v>691</v>
      </c>
      <c r="E271" s="8" t="s">
        <v>704</v>
      </c>
      <c r="F271" s="18" t="s">
        <v>712</v>
      </c>
      <c r="G271" s="18" t="s">
        <v>583</v>
      </c>
      <c r="H271" s="18">
        <v>260</v>
      </c>
      <c r="I271" s="18">
        <v>1271</v>
      </c>
      <c r="J271" s="20" t="s">
        <v>713</v>
      </c>
      <c r="K271" s="20" t="s">
        <v>25</v>
      </c>
      <c r="L271" s="27" t="s">
        <v>26</v>
      </c>
      <c r="M271" s="27" t="s">
        <v>26</v>
      </c>
      <c r="N271" s="21">
        <v>41.306303081246803</v>
      </c>
      <c r="O271" s="10">
        <v>-76.080893704909698</v>
      </c>
      <c r="P271" s="22">
        <v>257</v>
      </c>
      <c r="Q271" s="23">
        <v>44258</v>
      </c>
      <c r="R271" s="22" t="s">
        <v>27</v>
      </c>
      <c r="S271" s="22" t="s">
        <v>28</v>
      </c>
      <c r="T271" s="24">
        <f t="shared" si="5"/>
        <v>283.72800000000001</v>
      </c>
    </row>
    <row r="272" spans="1:20" x14ac:dyDescent="0.25">
      <c r="A272" s="8">
        <v>695</v>
      </c>
      <c r="B272" s="8" t="s">
        <v>19</v>
      </c>
      <c r="C272" s="8">
        <v>4</v>
      </c>
      <c r="D272" s="8" t="s">
        <v>691</v>
      </c>
      <c r="E272" s="8" t="s">
        <v>704</v>
      </c>
      <c r="F272" s="18" t="s">
        <v>712</v>
      </c>
      <c r="G272" s="18" t="s">
        <v>583</v>
      </c>
      <c r="H272" s="18">
        <v>280</v>
      </c>
      <c r="I272" s="18">
        <v>0</v>
      </c>
      <c r="J272" s="20" t="s">
        <v>714</v>
      </c>
      <c r="K272" s="20" t="s">
        <v>25</v>
      </c>
      <c r="L272" s="27" t="s">
        <v>26</v>
      </c>
      <c r="M272" s="27" t="s">
        <v>26</v>
      </c>
      <c r="N272" s="21">
        <v>41.308801138920799</v>
      </c>
      <c r="O272" s="10">
        <v>-76.066534330676802</v>
      </c>
      <c r="P272" s="22">
        <v>749</v>
      </c>
      <c r="Q272" s="23">
        <v>44258</v>
      </c>
      <c r="R272" s="22" t="s">
        <v>27</v>
      </c>
      <c r="S272" s="22" t="s">
        <v>34</v>
      </c>
      <c r="T272" s="24">
        <f t="shared" si="5"/>
        <v>826.89600000000007</v>
      </c>
    </row>
    <row r="273" spans="1:20" x14ac:dyDescent="0.25">
      <c r="A273" s="8">
        <v>696</v>
      </c>
      <c r="B273" s="8" t="s">
        <v>19</v>
      </c>
      <c r="C273" s="8">
        <v>4</v>
      </c>
      <c r="D273" s="8" t="s">
        <v>691</v>
      </c>
      <c r="E273" s="8" t="s">
        <v>715</v>
      </c>
      <c r="F273" s="18" t="s">
        <v>716</v>
      </c>
      <c r="G273" s="18" t="s">
        <v>717</v>
      </c>
      <c r="H273" s="18">
        <v>820</v>
      </c>
      <c r="I273" s="18">
        <v>572</v>
      </c>
      <c r="J273" s="20" t="s">
        <v>718</v>
      </c>
      <c r="K273" s="20" t="s">
        <v>25</v>
      </c>
      <c r="L273" s="27" t="s">
        <v>26</v>
      </c>
      <c r="M273" s="27" t="s">
        <v>26</v>
      </c>
      <c r="N273" s="21">
        <v>41.371443217772203</v>
      </c>
      <c r="O273" s="10">
        <v>-75.9730816763322</v>
      </c>
      <c r="P273" s="22">
        <v>2</v>
      </c>
      <c r="Q273" s="23">
        <v>44258</v>
      </c>
      <c r="R273" s="22" t="s">
        <v>27</v>
      </c>
      <c r="S273" s="22" t="s">
        <v>517</v>
      </c>
      <c r="T273" s="24">
        <f t="shared" si="5"/>
        <v>2.2080000000000002</v>
      </c>
    </row>
    <row r="274" spans="1:20" x14ac:dyDescent="0.25">
      <c r="A274" s="8">
        <v>697</v>
      </c>
      <c r="B274" s="8" t="s">
        <v>19</v>
      </c>
      <c r="C274" s="8">
        <v>4</v>
      </c>
      <c r="D274" s="8" t="s">
        <v>691</v>
      </c>
      <c r="E274" s="8" t="s">
        <v>715</v>
      </c>
      <c r="F274" s="18" t="s">
        <v>716</v>
      </c>
      <c r="G274" s="18" t="s">
        <v>717</v>
      </c>
      <c r="H274" s="18">
        <v>820</v>
      </c>
      <c r="I274" s="18">
        <v>1475</v>
      </c>
      <c r="J274" s="20" t="s">
        <v>719</v>
      </c>
      <c r="K274" s="20" t="s">
        <v>25</v>
      </c>
      <c r="L274" s="27" t="s">
        <v>26</v>
      </c>
      <c r="M274" s="27" t="s">
        <v>26</v>
      </c>
      <c r="N274" s="21">
        <v>41.373048300850002</v>
      </c>
      <c r="O274" s="10">
        <v>-75.975643112614094</v>
      </c>
      <c r="P274" s="22">
        <v>294</v>
      </c>
      <c r="Q274" s="23">
        <v>44258</v>
      </c>
      <c r="R274" s="22" t="s">
        <v>27</v>
      </c>
      <c r="S274" s="22" t="s">
        <v>517</v>
      </c>
      <c r="T274" s="24">
        <f t="shared" si="5"/>
        <v>324.57600000000002</v>
      </c>
    </row>
    <row r="275" spans="1:20" x14ac:dyDescent="0.25">
      <c r="A275" s="8">
        <v>698</v>
      </c>
      <c r="B275" s="8" t="s">
        <v>19</v>
      </c>
      <c r="C275" s="8">
        <v>4</v>
      </c>
      <c r="D275" s="8" t="s">
        <v>691</v>
      </c>
      <c r="E275" s="8" t="s">
        <v>720</v>
      </c>
      <c r="F275" s="18" t="s">
        <v>348</v>
      </c>
      <c r="G275" s="18" t="s">
        <v>721</v>
      </c>
      <c r="H275" s="18">
        <v>140</v>
      </c>
      <c r="I275" s="18">
        <v>0</v>
      </c>
      <c r="J275" s="20" t="s">
        <v>722</v>
      </c>
      <c r="K275" s="20" t="s">
        <v>25</v>
      </c>
      <c r="L275" s="27" t="s">
        <v>26</v>
      </c>
      <c r="M275" s="27" t="s">
        <v>26</v>
      </c>
      <c r="N275" s="21">
        <v>41.118577699312702</v>
      </c>
      <c r="O275" s="10">
        <v>-75.856895451324206</v>
      </c>
      <c r="P275" s="22">
        <v>475</v>
      </c>
      <c r="Q275" s="23">
        <v>44258</v>
      </c>
      <c r="R275" s="22" t="s">
        <v>27</v>
      </c>
      <c r="S275" s="22" t="s">
        <v>517</v>
      </c>
      <c r="T275" s="24">
        <f t="shared" si="5"/>
        <v>524.40000000000009</v>
      </c>
    </row>
    <row r="276" spans="1:20" x14ac:dyDescent="0.25">
      <c r="A276" s="8">
        <v>699</v>
      </c>
      <c r="B276" s="8" t="s">
        <v>19</v>
      </c>
      <c r="C276" s="8">
        <v>4</v>
      </c>
      <c r="D276" s="8" t="s">
        <v>691</v>
      </c>
      <c r="E276" s="8" t="s">
        <v>723</v>
      </c>
      <c r="F276" s="18" t="s">
        <v>724</v>
      </c>
      <c r="G276" s="18" t="s">
        <v>675</v>
      </c>
      <c r="H276" s="19">
        <v>60</v>
      </c>
      <c r="I276" s="19">
        <v>2185</v>
      </c>
      <c r="J276" s="20" t="s">
        <v>725</v>
      </c>
      <c r="K276" s="20" t="s">
        <v>25</v>
      </c>
      <c r="L276" s="20" t="s">
        <v>26</v>
      </c>
      <c r="M276" s="20" t="s">
        <v>26</v>
      </c>
      <c r="N276" s="21">
        <v>41.215583580713897</v>
      </c>
      <c r="O276" s="10">
        <v>-75.950607791160394</v>
      </c>
      <c r="P276" s="22">
        <v>6200</v>
      </c>
      <c r="Q276" s="23">
        <v>44258</v>
      </c>
      <c r="R276" s="22" t="s">
        <v>27</v>
      </c>
      <c r="S276" s="22" t="s">
        <v>38</v>
      </c>
      <c r="T276" s="24">
        <f t="shared" si="5"/>
        <v>6844.8</v>
      </c>
    </row>
    <row r="277" spans="1:20" x14ac:dyDescent="0.25">
      <c r="A277" s="8">
        <v>700</v>
      </c>
      <c r="B277" s="8" t="s">
        <v>19</v>
      </c>
      <c r="C277" s="8">
        <v>4</v>
      </c>
      <c r="D277" s="8" t="s">
        <v>691</v>
      </c>
      <c r="E277" s="8" t="s">
        <v>726</v>
      </c>
      <c r="F277" s="18" t="s">
        <v>77</v>
      </c>
      <c r="G277" s="18" t="s">
        <v>727</v>
      </c>
      <c r="H277" s="19">
        <v>50</v>
      </c>
      <c r="I277" s="19">
        <v>2437</v>
      </c>
      <c r="J277" s="20" t="s">
        <v>26</v>
      </c>
      <c r="K277" s="20" t="s">
        <v>25</v>
      </c>
      <c r="L277" s="20" t="s">
        <v>26</v>
      </c>
      <c r="M277" s="20" t="s">
        <v>26</v>
      </c>
      <c r="N277" s="21">
        <v>41.265876235317798</v>
      </c>
      <c r="O277" s="10">
        <v>-75.822156827120097</v>
      </c>
      <c r="P277" s="22">
        <v>3383</v>
      </c>
      <c r="Q277" s="23">
        <v>44259</v>
      </c>
      <c r="R277" s="22" t="s">
        <v>33</v>
      </c>
      <c r="S277" s="22" t="s">
        <v>34</v>
      </c>
      <c r="T277" s="24">
        <f t="shared" si="5"/>
        <v>3734.8320000000003</v>
      </c>
    </row>
    <row r="278" spans="1:20" x14ac:dyDescent="0.25">
      <c r="A278" s="8">
        <v>701</v>
      </c>
      <c r="B278" s="8" t="s">
        <v>19</v>
      </c>
      <c r="C278" s="8">
        <v>4</v>
      </c>
      <c r="D278" s="8" t="s">
        <v>691</v>
      </c>
      <c r="E278" s="8" t="s">
        <v>728</v>
      </c>
      <c r="F278" s="18" t="s">
        <v>729</v>
      </c>
      <c r="G278" s="18" t="s">
        <v>730</v>
      </c>
      <c r="H278" s="19">
        <v>10</v>
      </c>
      <c r="I278" s="19">
        <v>1377</v>
      </c>
      <c r="J278" s="20" t="s">
        <v>731</v>
      </c>
      <c r="K278" s="20" t="s">
        <v>26</v>
      </c>
      <c r="L278" s="20" t="s">
        <v>26</v>
      </c>
      <c r="M278" s="20" t="s">
        <v>26</v>
      </c>
      <c r="N278" s="21">
        <v>41.234835504552898</v>
      </c>
      <c r="O278" s="10">
        <v>-75.859675804987006</v>
      </c>
      <c r="P278" s="22">
        <v>5182</v>
      </c>
      <c r="Q278" s="23">
        <v>44237</v>
      </c>
      <c r="R278" s="22" t="s">
        <v>33</v>
      </c>
      <c r="S278" s="22" t="s">
        <v>34</v>
      </c>
      <c r="T278" s="24">
        <f t="shared" si="5"/>
        <v>5720.9280000000008</v>
      </c>
    </row>
    <row r="279" spans="1:20" x14ac:dyDescent="0.25">
      <c r="A279" s="8">
        <v>702</v>
      </c>
      <c r="B279" s="8" t="s">
        <v>19</v>
      </c>
      <c r="C279" s="8">
        <v>4</v>
      </c>
      <c r="D279" s="8" t="s">
        <v>691</v>
      </c>
      <c r="E279" s="8" t="s">
        <v>728</v>
      </c>
      <c r="F279" s="18" t="s">
        <v>729</v>
      </c>
      <c r="G279" s="18" t="s">
        <v>730</v>
      </c>
      <c r="H279" s="19">
        <v>10</v>
      </c>
      <c r="I279" s="19">
        <v>2365</v>
      </c>
      <c r="J279" s="20" t="s">
        <v>732</v>
      </c>
      <c r="K279" s="20" t="s">
        <v>25</v>
      </c>
      <c r="L279" s="20" t="s">
        <v>26</v>
      </c>
      <c r="M279" s="20" t="s">
        <v>26</v>
      </c>
      <c r="N279" s="21">
        <v>41.236429360949799</v>
      </c>
      <c r="O279" s="10">
        <v>-75.856680009336202</v>
      </c>
      <c r="P279" s="22">
        <v>6374</v>
      </c>
      <c r="Q279" s="23">
        <v>44237</v>
      </c>
      <c r="R279" s="22" t="s">
        <v>33</v>
      </c>
      <c r="S279" s="22" t="s">
        <v>28</v>
      </c>
      <c r="T279" s="24">
        <f t="shared" si="5"/>
        <v>7036.8960000000006</v>
      </c>
    </row>
    <row r="280" spans="1:20" x14ac:dyDescent="0.25">
      <c r="A280" s="8">
        <v>869</v>
      </c>
      <c r="B280" s="8" t="s">
        <v>19</v>
      </c>
      <c r="C280" s="8">
        <v>4</v>
      </c>
      <c r="D280" s="8" t="s">
        <v>733</v>
      </c>
      <c r="E280" s="8" t="s">
        <v>734</v>
      </c>
      <c r="F280" s="18" t="s">
        <v>735</v>
      </c>
      <c r="G280" s="18" t="s">
        <v>23</v>
      </c>
      <c r="H280" s="18">
        <v>250</v>
      </c>
      <c r="I280" s="18">
        <v>1096</v>
      </c>
      <c r="J280" s="20" t="s">
        <v>736</v>
      </c>
      <c r="K280" s="20" t="s">
        <v>25</v>
      </c>
      <c r="L280" s="27" t="s">
        <v>26</v>
      </c>
      <c r="M280" s="27" t="s">
        <v>26</v>
      </c>
      <c r="N280" s="21">
        <v>41.389390866171297</v>
      </c>
      <c r="O280" s="10">
        <v>-74.981319498734393</v>
      </c>
      <c r="P280" s="22">
        <v>50</v>
      </c>
      <c r="Q280" s="23">
        <v>44265</v>
      </c>
      <c r="R280" s="22" t="s">
        <v>27</v>
      </c>
      <c r="S280" s="22" t="s">
        <v>28</v>
      </c>
      <c r="T280" s="24">
        <f t="shared" si="5"/>
        <v>55.2</v>
      </c>
    </row>
    <row r="281" spans="1:20" x14ac:dyDescent="0.25">
      <c r="A281" s="8">
        <v>870</v>
      </c>
      <c r="B281" s="8" t="s">
        <v>19</v>
      </c>
      <c r="C281" s="8">
        <v>4</v>
      </c>
      <c r="D281" s="8" t="s">
        <v>733</v>
      </c>
      <c r="E281" s="8" t="s">
        <v>435</v>
      </c>
      <c r="F281" s="18" t="s">
        <v>735</v>
      </c>
      <c r="G281" s="18" t="s">
        <v>23</v>
      </c>
      <c r="H281" s="18">
        <v>380</v>
      </c>
      <c r="I281" s="18">
        <v>0</v>
      </c>
      <c r="J281" s="20" t="s">
        <v>737</v>
      </c>
      <c r="K281" s="20" t="s">
        <v>25</v>
      </c>
      <c r="L281" s="27" t="s">
        <v>26</v>
      </c>
      <c r="M281" s="27" t="s">
        <v>26</v>
      </c>
      <c r="N281" s="21">
        <v>41.351954994821</v>
      </c>
      <c r="O281" s="10">
        <v>-74.882411282137198</v>
      </c>
      <c r="P281" s="22">
        <v>719</v>
      </c>
      <c r="Q281" s="23">
        <v>44265</v>
      </c>
      <c r="R281" s="22" t="s">
        <v>27</v>
      </c>
      <c r="S281" s="22" t="s">
        <v>28</v>
      </c>
      <c r="T281" s="24">
        <f t="shared" si="5"/>
        <v>793.77600000000007</v>
      </c>
    </row>
    <row r="282" spans="1:20" x14ac:dyDescent="0.25">
      <c r="A282" s="8">
        <v>871</v>
      </c>
      <c r="B282" s="8" t="s">
        <v>19</v>
      </c>
      <c r="C282" s="8">
        <v>4</v>
      </c>
      <c r="D282" s="8" t="s">
        <v>733</v>
      </c>
      <c r="E282" s="8" t="s">
        <v>435</v>
      </c>
      <c r="F282" s="18" t="s">
        <v>735</v>
      </c>
      <c r="G282" s="18" t="s">
        <v>23</v>
      </c>
      <c r="H282" s="18">
        <v>450</v>
      </c>
      <c r="I282" s="18">
        <v>918</v>
      </c>
      <c r="J282" s="20" t="s">
        <v>738</v>
      </c>
      <c r="K282" s="20" t="s">
        <v>25</v>
      </c>
      <c r="L282" s="27" t="s">
        <v>26</v>
      </c>
      <c r="M282" s="27" t="s">
        <v>26</v>
      </c>
      <c r="N282" s="21">
        <v>41.333091566241997</v>
      </c>
      <c r="O282" s="10">
        <v>-74.822234314748798</v>
      </c>
      <c r="P282" s="22">
        <v>1046</v>
      </c>
      <c r="Q282" s="23">
        <v>44265</v>
      </c>
      <c r="R282" s="22" t="s">
        <v>27</v>
      </c>
      <c r="S282" s="22" t="s">
        <v>34</v>
      </c>
      <c r="T282" s="24">
        <f t="shared" si="5"/>
        <v>1154.7840000000001</v>
      </c>
    </row>
    <row r="283" spans="1:20" x14ac:dyDescent="0.25">
      <c r="A283" s="8">
        <v>872</v>
      </c>
      <c r="B283" s="8" t="s">
        <v>19</v>
      </c>
      <c r="C283" s="8">
        <v>4</v>
      </c>
      <c r="D283" s="8" t="s">
        <v>733</v>
      </c>
      <c r="E283" s="8" t="s">
        <v>435</v>
      </c>
      <c r="F283" s="18" t="s">
        <v>739</v>
      </c>
      <c r="G283" s="18" t="s">
        <v>23</v>
      </c>
      <c r="H283" s="19">
        <v>470</v>
      </c>
      <c r="I283" s="19">
        <v>0</v>
      </c>
      <c r="J283" s="20" t="s">
        <v>740</v>
      </c>
      <c r="K283" s="20" t="s">
        <v>25</v>
      </c>
      <c r="L283" s="20" t="s">
        <v>26</v>
      </c>
      <c r="M283" s="20" t="s">
        <v>26</v>
      </c>
      <c r="N283" s="21">
        <v>41.326824888825001</v>
      </c>
      <c r="O283" s="10">
        <v>-74.810147059199494</v>
      </c>
      <c r="P283" s="22">
        <v>239</v>
      </c>
      <c r="Q283" s="23">
        <v>44265</v>
      </c>
      <c r="R283" s="22" t="s">
        <v>27</v>
      </c>
      <c r="S283" s="22" t="s">
        <v>28</v>
      </c>
      <c r="T283" s="24">
        <f t="shared" si="5"/>
        <v>263.85599999999999</v>
      </c>
    </row>
    <row r="284" spans="1:20" x14ac:dyDescent="0.25">
      <c r="A284" s="8">
        <v>873</v>
      </c>
      <c r="B284" s="8" t="s">
        <v>19</v>
      </c>
      <c r="C284" s="8">
        <v>4</v>
      </c>
      <c r="D284" s="8" t="s">
        <v>733</v>
      </c>
      <c r="E284" s="8" t="s">
        <v>741</v>
      </c>
      <c r="F284" s="18" t="s">
        <v>742</v>
      </c>
      <c r="G284" s="18" t="s">
        <v>23</v>
      </c>
      <c r="H284" s="19">
        <v>490</v>
      </c>
      <c r="I284" s="19">
        <v>392</v>
      </c>
      <c r="J284" s="20" t="s">
        <v>743</v>
      </c>
      <c r="K284" s="20" t="s">
        <v>25</v>
      </c>
      <c r="L284" s="20" t="s">
        <v>26</v>
      </c>
      <c r="M284" s="20" t="s">
        <v>26</v>
      </c>
      <c r="N284" s="21">
        <v>41.323716736065201</v>
      </c>
      <c r="O284" s="10">
        <v>-74.801564846346295</v>
      </c>
      <c r="P284" s="22">
        <v>1135</v>
      </c>
      <c r="Q284" s="23">
        <v>44265</v>
      </c>
      <c r="R284" s="22" t="s">
        <v>27</v>
      </c>
      <c r="S284" s="22" t="s">
        <v>38</v>
      </c>
      <c r="T284" s="24">
        <f t="shared" si="5"/>
        <v>1253.0400000000002</v>
      </c>
    </row>
    <row r="285" spans="1:20" x14ac:dyDescent="0.25">
      <c r="A285" s="8">
        <v>874</v>
      </c>
      <c r="B285" s="8" t="s">
        <v>19</v>
      </c>
      <c r="C285" s="8">
        <v>4</v>
      </c>
      <c r="D285" s="8" t="s">
        <v>733</v>
      </c>
      <c r="E285" s="8" t="s">
        <v>744</v>
      </c>
      <c r="F285" s="18" t="s">
        <v>745</v>
      </c>
      <c r="G285" s="18" t="s">
        <v>23</v>
      </c>
      <c r="H285" s="19">
        <v>540</v>
      </c>
      <c r="I285" s="19">
        <v>0</v>
      </c>
      <c r="J285" s="20" t="s">
        <v>746</v>
      </c>
      <c r="K285" s="20" t="s">
        <v>25</v>
      </c>
      <c r="L285" s="20" t="s">
        <v>26</v>
      </c>
      <c r="M285" s="20" t="s">
        <v>26</v>
      </c>
      <c r="N285" s="21">
        <v>41.339723231612403</v>
      </c>
      <c r="O285" s="10">
        <v>-74.767816555651393</v>
      </c>
      <c r="P285" s="22">
        <v>360</v>
      </c>
      <c r="Q285" s="23">
        <v>44264</v>
      </c>
      <c r="R285" s="22" t="s">
        <v>27</v>
      </c>
      <c r="S285" s="22" t="s">
        <v>28</v>
      </c>
      <c r="T285" s="24">
        <f t="shared" si="5"/>
        <v>397.44000000000005</v>
      </c>
    </row>
    <row r="286" spans="1:20" x14ac:dyDescent="0.25">
      <c r="A286" s="8">
        <v>875</v>
      </c>
      <c r="B286" s="8" t="s">
        <v>19</v>
      </c>
      <c r="C286" s="8">
        <v>4</v>
      </c>
      <c r="D286" s="8" t="s">
        <v>733</v>
      </c>
      <c r="E286" s="8" t="s">
        <v>744</v>
      </c>
      <c r="F286" s="18" t="s">
        <v>745</v>
      </c>
      <c r="G286" s="18" t="s">
        <v>23</v>
      </c>
      <c r="H286" s="19">
        <v>570</v>
      </c>
      <c r="I286" s="19">
        <v>2259</v>
      </c>
      <c r="J286" s="20" t="s">
        <v>747</v>
      </c>
      <c r="K286" s="20" t="s">
        <v>25</v>
      </c>
      <c r="L286" s="20" t="s">
        <v>26</v>
      </c>
      <c r="M286" s="20" t="s">
        <v>26</v>
      </c>
      <c r="N286" s="21">
        <v>41.3519709890884</v>
      </c>
      <c r="O286" s="10">
        <v>-74.734358917380206</v>
      </c>
      <c r="P286" s="22">
        <v>6637</v>
      </c>
      <c r="Q286" s="23">
        <v>44264</v>
      </c>
      <c r="R286" s="22" t="s">
        <v>33</v>
      </c>
      <c r="S286" s="22" t="s">
        <v>28</v>
      </c>
      <c r="T286" s="24">
        <f t="shared" si="5"/>
        <v>7327.2480000000005</v>
      </c>
    </row>
    <row r="287" spans="1:20" x14ac:dyDescent="0.25">
      <c r="A287" s="8">
        <v>876</v>
      </c>
      <c r="B287" s="8" t="s">
        <v>19</v>
      </c>
      <c r="C287" s="8">
        <v>4</v>
      </c>
      <c r="D287" s="8" t="s">
        <v>733</v>
      </c>
      <c r="E287" s="8" t="s">
        <v>744</v>
      </c>
      <c r="F287" s="18" t="s">
        <v>745</v>
      </c>
      <c r="G287" s="18" t="s">
        <v>23</v>
      </c>
      <c r="H287" s="19">
        <v>574</v>
      </c>
      <c r="I287" s="19">
        <v>90</v>
      </c>
      <c r="J287" s="20" t="s">
        <v>748</v>
      </c>
      <c r="K287" s="20" t="s">
        <v>25</v>
      </c>
      <c r="L287" s="20" t="s">
        <v>26</v>
      </c>
      <c r="M287" s="20" t="s">
        <v>26</v>
      </c>
      <c r="N287" s="21">
        <v>41.352704224561101</v>
      </c>
      <c r="O287" s="10">
        <v>-74.731365925099894</v>
      </c>
      <c r="P287" s="22">
        <v>5255</v>
      </c>
      <c r="Q287" s="23">
        <v>44264</v>
      </c>
      <c r="R287" s="22" t="s">
        <v>27</v>
      </c>
      <c r="S287" s="22" t="s">
        <v>28</v>
      </c>
      <c r="T287" s="24">
        <f t="shared" si="5"/>
        <v>5801.52</v>
      </c>
    </row>
    <row r="288" spans="1:20" x14ac:dyDescent="0.25">
      <c r="A288" s="8">
        <v>877</v>
      </c>
      <c r="B288" s="8" t="s">
        <v>19</v>
      </c>
      <c r="C288" s="8">
        <v>4</v>
      </c>
      <c r="D288" s="8" t="s">
        <v>733</v>
      </c>
      <c r="E288" s="8" t="s">
        <v>744</v>
      </c>
      <c r="F288" s="18" t="s">
        <v>745</v>
      </c>
      <c r="G288" s="18" t="s">
        <v>23</v>
      </c>
      <c r="H288" s="19">
        <v>574</v>
      </c>
      <c r="I288" s="19">
        <v>1801</v>
      </c>
      <c r="J288" s="20" t="s">
        <v>749</v>
      </c>
      <c r="K288" s="20" t="s">
        <v>25</v>
      </c>
      <c r="L288" s="20" t="s">
        <v>26</v>
      </c>
      <c r="M288" s="20" t="s">
        <v>26</v>
      </c>
      <c r="N288" s="21">
        <v>41.354099466678001</v>
      </c>
      <c r="O288" s="10">
        <v>-74.725409068158498</v>
      </c>
      <c r="P288" s="22">
        <v>4745</v>
      </c>
      <c r="Q288" s="23">
        <v>44264</v>
      </c>
      <c r="R288" s="22" t="s">
        <v>27</v>
      </c>
      <c r="S288" s="22" t="s">
        <v>28</v>
      </c>
      <c r="T288" s="24">
        <f t="shared" si="5"/>
        <v>5238.4800000000005</v>
      </c>
    </row>
    <row r="289" spans="1:20" x14ac:dyDescent="0.25">
      <c r="A289" s="8">
        <v>878</v>
      </c>
      <c r="B289" s="8" t="s">
        <v>19</v>
      </c>
      <c r="C289" s="8">
        <v>4</v>
      </c>
      <c r="D289" s="8" t="s">
        <v>733</v>
      </c>
      <c r="E289" s="8" t="s">
        <v>750</v>
      </c>
      <c r="F289" s="18" t="s">
        <v>231</v>
      </c>
      <c r="G289" s="18" t="s">
        <v>23</v>
      </c>
      <c r="H289" s="19">
        <v>610</v>
      </c>
      <c r="I289" s="19">
        <v>348</v>
      </c>
      <c r="J289" s="20" t="s">
        <v>216</v>
      </c>
      <c r="K289" s="20" t="s">
        <v>25</v>
      </c>
      <c r="L289" s="20" t="s">
        <v>26</v>
      </c>
      <c r="M289" s="20" t="s">
        <v>26</v>
      </c>
      <c r="N289" s="21">
        <v>41.367319235602103</v>
      </c>
      <c r="O289" s="10">
        <v>-74.701827187343198</v>
      </c>
      <c r="P289" s="22">
        <v>668</v>
      </c>
      <c r="Q289" s="23">
        <v>44264</v>
      </c>
      <c r="R289" s="22" t="s">
        <v>27</v>
      </c>
      <c r="S289" s="22" t="s">
        <v>517</v>
      </c>
      <c r="T289" s="24">
        <f t="shared" si="5"/>
        <v>737.47200000000009</v>
      </c>
    </row>
    <row r="290" spans="1:20" x14ac:dyDescent="0.25">
      <c r="A290" s="8">
        <v>879</v>
      </c>
      <c r="B290" s="8" t="s">
        <v>19</v>
      </c>
      <c r="C290" s="8">
        <v>4</v>
      </c>
      <c r="D290" s="8" t="s">
        <v>733</v>
      </c>
      <c r="E290" s="8" t="s">
        <v>741</v>
      </c>
      <c r="F290" s="18" t="s">
        <v>739</v>
      </c>
      <c r="G290" s="18" t="s">
        <v>751</v>
      </c>
      <c r="H290" s="19">
        <v>10</v>
      </c>
      <c r="I290" s="19">
        <v>2077</v>
      </c>
      <c r="J290" s="20" t="s">
        <v>752</v>
      </c>
      <c r="K290" s="20" t="s">
        <v>25</v>
      </c>
      <c r="L290" s="20" t="s">
        <v>26</v>
      </c>
      <c r="M290" s="20" t="s">
        <v>26</v>
      </c>
      <c r="N290" s="21">
        <v>41.3216886475956</v>
      </c>
      <c r="O290" s="10">
        <v>-74.802894182243605</v>
      </c>
      <c r="P290" s="22">
        <v>98</v>
      </c>
      <c r="Q290" s="23">
        <v>44265</v>
      </c>
      <c r="R290" s="22" t="s">
        <v>27</v>
      </c>
      <c r="S290" s="22" t="s">
        <v>38</v>
      </c>
      <c r="T290" s="24">
        <f t="shared" si="5"/>
        <v>108.19200000000001</v>
      </c>
    </row>
    <row r="291" spans="1:20" x14ac:dyDescent="0.25">
      <c r="A291" s="8">
        <v>880</v>
      </c>
      <c r="B291" s="8" t="s">
        <v>19</v>
      </c>
      <c r="C291" s="8">
        <v>4</v>
      </c>
      <c r="D291" s="8" t="s">
        <v>733</v>
      </c>
      <c r="E291" s="8" t="s">
        <v>753</v>
      </c>
      <c r="F291" s="18" t="s">
        <v>754</v>
      </c>
      <c r="G291" s="18" t="s">
        <v>755</v>
      </c>
      <c r="H291" s="18">
        <v>250</v>
      </c>
      <c r="I291" s="18">
        <v>0</v>
      </c>
      <c r="J291" s="20" t="s">
        <v>756</v>
      </c>
      <c r="K291" s="20" t="s">
        <v>25</v>
      </c>
      <c r="L291" s="27" t="s">
        <v>26</v>
      </c>
      <c r="M291" s="27" t="s">
        <v>26</v>
      </c>
      <c r="N291" s="21">
        <v>41.395836654183597</v>
      </c>
      <c r="O291" s="10">
        <v>-75.180127488560998</v>
      </c>
      <c r="P291" s="22">
        <v>28</v>
      </c>
      <c r="Q291" s="23">
        <v>44259</v>
      </c>
      <c r="R291" s="22" t="s">
        <v>27</v>
      </c>
      <c r="S291" s="22" t="s">
        <v>517</v>
      </c>
      <c r="T291" s="24">
        <f t="shared" si="5"/>
        <v>30.912000000000003</v>
      </c>
    </row>
    <row r="292" spans="1:20" x14ac:dyDescent="0.25">
      <c r="A292" s="8">
        <v>881</v>
      </c>
      <c r="B292" s="8" t="s">
        <v>19</v>
      </c>
      <c r="C292" s="8">
        <v>4</v>
      </c>
      <c r="D292" s="8" t="s">
        <v>733</v>
      </c>
      <c r="E292" s="8" t="s">
        <v>753</v>
      </c>
      <c r="F292" s="18" t="s">
        <v>757</v>
      </c>
      <c r="G292" s="18" t="s">
        <v>758</v>
      </c>
      <c r="H292" s="18">
        <v>150</v>
      </c>
      <c r="I292" s="18">
        <v>1769</v>
      </c>
      <c r="J292" s="20" t="s">
        <v>759</v>
      </c>
      <c r="K292" s="20" t="s">
        <v>25</v>
      </c>
      <c r="L292" s="27" t="s">
        <v>26</v>
      </c>
      <c r="M292" s="27" t="s">
        <v>26</v>
      </c>
      <c r="N292" s="21">
        <v>41.380031882256702</v>
      </c>
      <c r="O292" s="10">
        <v>-75.247841397851602</v>
      </c>
      <c r="P292" s="22">
        <v>428</v>
      </c>
      <c r="Q292" s="23">
        <v>44259</v>
      </c>
      <c r="R292" s="22" t="s">
        <v>27</v>
      </c>
      <c r="S292" s="22" t="s">
        <v>28</v>
      </c>
      <c r="T292" s="24">
        <f t="shared" si="5"/>
        <v>472.51200000000006</v>
      </c>
    </row>
    <row r="293" spans="1:20" x14ac:dyDescent="0.25">
      <c r="A293" s="8">
        <v>882</v>
      </c>
      <c r="B293" s="8" t="s">
        <v>19</v>
      </c>
      <c r="C293" s="8">
        <v>4</v>
      </c>
      <c r="D293" s="8" t="s">
        <v>733</v>
      </c>
      <c r="E293" s="8" t="s">
        <v>760</v>
      </c>
      <c r="F293" s="18" t="s">
        <v>761</v>
      </c>
      <c r="G293" s="18" t="s">
        <v>762</v>
      </c>
      <c r="H293" s="18">
        <v>270</v>
      </c>
      <c r="I293" s="18">
        <v>0</v>
      </c>
      <c r="J293" s="20" t="s">
        <v>763</v>
      </c>
      <c r="K293" s="20" t="s">
        <v>25</v>
      </c>
      <c r="L293" s="27" t="s">
        <v>26</v>
      </c>
      <c r="M293" s="27" t="s">
        <v>26</v>
      </c>
      <c r="N293" s="21">
        <v>41.346792523492397</v>
      </c>
      <c r="O293" s="10">
        <v>-75.044658833498602</v>
      </c>
      <c r="P293" s="22">
        <v>4803</v>
      </c>
      <c r="Q293" s="23">
        <v>44265</v>
      </c>
      <c r="R293" s="22" t="s">
        <v>27</v>
      </c>
      <c r="S293" s="22" t="s">
        <v>517</v>
      </c>
      <c r="T293" s="24">
        <f t="shared" si="5"/>
        <v>5302.5120000000006</v>
      </c>
    </row>
    <row r="294" spans="1:20" x14ac:dyDescent="0.25">
      <c r="A294" s="8">
        <v>883</v>
      </c>
      <c r="B294" s="8" t="s">
        <v>19</v>
      </c>
      <c r="C294" s="8">
        <v>4</v>
      </c>
      <c r="D294" s="8" t="s">
        <v>733</v>
      </c>
      <c r="E294" s="8" t="s">
        <v>734</v>
      </c>
      <c r="F294" s="18" t="s">
        <v>764</v>
      </c>
      <c r="G294" s="18" t="s">
        <v>481</v>
      </c>
      <c r="H294" s="18">
        <v>180</v>
      </c>
      <c r="I294" s="18">
        <v>1474</v>
      </c>
      <c r="J294" s="20" t="s">
        <v>765</v>
      </c>
      <c r="K294" s="20" t="s">
        <v>25</v>
      </c>
      <c r="L294" s="27" t="s">
        <v>26</v>
      </c>
      <c r="M294" s="27" t="s">
        <v>26</v>
      </c>
      <c r="N294" s="21">
        <v>41.464856533294501</v>
      </c>
      <c r="O294" s="10">
        <v>-74.914738556613401</v>
      </c>
      <c r="P294" s="22">
        <v>95</v>
      </c>
      <c r="Q294" s="23">
        <v>44264</v>
      </c>
      <c r="R294" s="22" t="s">
        <v>27</v>
      </c>
      <c r="S294" s="22" t="s">
        <v>38</v>
      </c>
      <c r="T294" s="24">
        <f t="shared" si="5"/>
        <v>104.88000000000001</v>
      </c>
    </row>
    <row r="295" spans="1:20" x14ac:dyDescent="0.25">
      <c r="A295" s="8">
        <v>884</v>
      </c>
      <c r="B295" s="8" t="s">
        <v>19</v>
      </c>
      <c r="C295" s="8">
        <v>4</v>
      </c>
      <c r="D295" s="8" t="s">
        <v>733</v>
      </c>
      <c r="E295" s="8" t="s">
        <v>766</v>
      </c>
      <c r="F295" s="18" t="s">
        <v>767</v>
      </c>
      <c r="G295" s="18" t="s">
        <v>249</v>
      </c>
      <c r="H295" s="19">
        <v>370</v>
      </c>
      <c r="I295" s="19">
        <v>0</v>
      </c>
      <c r="J295" s="20" t="s">
        <v>768</v>
      </c>
      <c r="K295" s="20" t="s">
        <v>25</v>
      </c>
      <c r="L295" s="20" t="s">
        <v>26</v>
      </c>
      <c r="M295" s="20" t="s">
        <v>26</v>
      </c>
      <c r="N295" s="21">
        <v>41.307001209383202</v>
      </c>
      <c r="O295" s="10">
        <v>-74.845178166260894</v>
      </c>
      <c r="P295" s="22">
        <v>453</v>
      </c>
      <c r="Q295" s="23">
        <v>44265</v>
      </c>
      <c r="R295" s="22" t="s">
        <v>27</v>
      </c>
      <c r="S295" s="22" t="s">
        <v>34</v>
      </c>
      <c r="T295" s="24">
        <f t="shared" si="5"/>
        <v>500.11200000000002</v>
      </c>
    </row>
    <row r="296" spans="1:20" x14ac:dyDescent="0.25">
      <c r="A296" s="8">
        <v>885</v>
      </c>
      <c r="B296" s="8" t="s">
        <v>19</v>
      </c>
      <c r="C296" s="8">
        <v>4</v>
      </c>
      <c r="D296" s="8" t="s">
        <v>733</v>
      </c>
      <c r="E296" s="8" t="s">
        <v>741</v>
      </c>
      <c r="F296" s="18" t="s">
        <v>769</v>
      </c>
      <c r="G296" s="18" t="s">
        <v>249</v>
      </c>
      <c r="H296" s="19">
        <v>420</v>
      </c>
      <c r="I296" s="19">
        <v>598</v>
      </c>
      <c r="J296" s="20" t="s">
        <v>770</v>
      </c>
      <c r="K296" s="20" t="s">
        <v>25</v>
      </c>
      <c r="L296" s="20" t="s">
        <v>26</v>
      </c>
      <c r="M296" s="20" t="s">
        <v>26</v>
      </c>
      <c r="N296" s="21">
        <v>41.324179433348803</v>
      </c>
      <c r="O296" s="10">
        <v>-74.809392843797994</v>
      </c>
      <c r="P296" s="22">
        <v>632</v>
      </c>
      <c r="Q296" s="23">
        <v>44265</v>
      </c>
      <c r="R296" s="22" t="s">
        <v>27</v>
      </c>
      <c r="S296" s="22" t="s">
        <v>28</v>
      </c>
      <c r="T296" s="24">
        <f t="shared" si="5"/>
        <v>697.72800000000007</v>
      </c>
    </row>
    <row r="297" spans="1:20" x14ac:dyDescent="0.25">
      <c r="A297" s="8">
        <v>953</v>
      </c>
      <c r="B297" s="8" t="s">
        <v>19</v>
      </c>
      <c r="C297" s="8">
        <v>4</v>
      </c>
      <c r="D297" s="8" t="s">
        <v>771</v>
      </c>
      <c r="E297" s="8" t="s">
        <v>772</v>
      </c>
      <c r="F297" s="18" t="s">
        <v>773</v>
      </c>
      <c r="G297" s="18" t="s">
        <v>774</v>
      </c>
      <c r="H297" s="18">
        <v>100</v>
      </c>
      <c r="I297" s="18">
        <v>2266</v>
      </c>
      <c r="J297" s="20" t="s">
        <v>775</v>
      </c>
      <c r="K297" s="20" t="s">
        <v>25</v>
      </c>
      <c r="L297" s="27" t="s">
        <v>26</v>
      </c>
      <c r="M297" s="27" t="s">
        <v>26</v>
      </c>
      <c r="N297" s="21">
        <v>41.654097989792596</v>
      </c>
      <c r="O297" s="10">
        <v>-75.651290040331901</v>
      </c>
      <c r="P297" s="22">
        <v>55</v>
      </c>
      <c r="Q297" s="23">
        <v>44231</v>
      </c>
      <c r="R297" s="22" t="s">
        <v>27</v>
      </c>
      <c r="S297" s="22" t="s">
        <v>28</v>
      </c>
      <c r="T297" s="24">
        <f t="shared" si="5"/>
        <v>60.720000000000006</v>
      </c>
    </row>
    <row r="298" spans="1:20" x14ac:dyDescent="0.25">
      <c r="A298" s="8">
        <v>954</v>
      </c>
      <c r="B298" s="8" t="s">
        <v>19</v>
      </c>
      <c r="C298" s="8">
        <v>4</v>
      </c>
      <c r="D298" s="8" t="s">
        <v>771</v>
      </c>
      <c r="E298" s="8" t="s">
        <v>776</v>
      </c>
      <c r="F298" s="18" t="s">
        <v>777</v>
      </c>
      <c r="G298" s="18" t="s">
        <v>778</v>
      </c>
      <c r="H298" s="18">
        <v>150</v>
      </c>
      <c r="I298" s="18">
        <v>0</v>
      </c>
      <c r="J298" s="20" t="s">
        <v>779</v>
      </c>
      <c r="K298" s="20" t="s">
        <v>25</v>
      </c>
      <c r="L298" s="27" t="s">
        <v>26</v>
      </c>
      <c r="M298" s="27" t="s">
        <v>26</v>
      </c>
      <c r="N298" s="21">
        <v>41.833059097927901</v>
      </c>
      <c r="O298" s="10">
        <v>-75.604664637116301</v>
      </c>
      <c r="P298" s="22">
        <v>215</v>
      </c>
      <c r="Q298" s="23">
        <v>44231</v>
      </c>
      <c r="R298" s="22" t="s">
        <v>27</v>
      </c>
      <c r="S298" s="22" t="s">
        <v>517</v>
      </c>
      <c r="T298" s="24">
        <f t="shared" si="5"/>
        <v>237.36</v>
      </c>
    </row>
    <row r="299" spans="1:20" x14ac:dyDescent="0.25">
      <c r="A299" s="8">
        <v>955</v>
      </c>
      <c r="B299" s="8" t="s">
        <v>19</v>
      </c>
      <c r="C299" s="8">
        <v>4</v>
      </c>
      <c r="D299" s="8" t="s">
        <v>771</v>
      </c>
      <c r="E299" s="8" t="s">
        <v>780</v>
      </c>
      <c r="F299" s="18" t="s">
        <v>781</v>
      </c>
      <c r="G299" s="18" t="s">
        <v>782</v>
      </c>
      <c r="H299" s="18">
        <v>330</v>
      </c>
      <c r="I299" s="18">
        <v>0</v>
      </c>
      <c r="J299" s="20" t="s">
        <v>783</v>
      </c>
      <c r="K299" s="20" t="s">
        <v>25</v>
      </c>
      <c r="L299" s="27" t="s">
        <v>26</v>
      </c>
      <c r="M299" s="27" t="s">
        <v>26</v>
      </c>
      <c r="N299" s="21">
        <v>41.842459213600797</v>
      </c>
      <c r="O299" s="10">
        <v>-75.805708351388702</v>
      </c>
      <c r="P299" s="22">
        <v>242</v>
      </c>
      <c r="Q299" s="23">
        <v>44231</v>
      </c>
      <c r="R299" s="22" t="s">
        <v>27</v>
      </c>
      <c r="S299" s="22" t="s">
        <v>38</v>
      </c>
      <c r="T299" s="24">
        <f t="shared" si="5"/>
        <v>267.16800000000001</v>
      </c>
    </row>
    <row r="300" spans="1:20" x14ac:dyDescent="0.25">
      <c r="A300" s="8">
        <v>956</v>
      </c>
      <c r="B300" s="8" t="s">
        <v>19</v>
      </c>
      <c r="C300" s="8">
        <v>4</v>
      </c>
      <c r="D300" s="8" t="s">
        <v>771</v>
      </c>
      <c r="E300" s="8" t="s">
        <v>784</v>
      </c>
      <c r="F300" s="18" t="s">
        <v>785</v>
      </c>
      <c r="G300" s="18" t="s">
        <v>786</v>
      </c>
      <c r="H300" s="19">
        <v>20</v>
      </c>
      <c r="I300" s="19">
        <v>0</v>
      </c>
      <c r="J300" s="20" t="s">
        <v>787</v>
      </c>
      <c r="K300" s="20" t="s">
        <v>25</v>
      </c>
      <c r="L300" s="20" t="s">
        <v>26</v>
      </c>
      <c r="M300" s="20" t="s">
        <v>26</v>
      </c>
      <c r="N300" s="21">
        <v>41.645887154784198</v>
      </c>
      <c r="O300" s="10">
        <v>-75.469362795608802</v>
      </c>
      <c r="P300" s="22">
        <v>491</v>
      </c>
      <c r="Q300" s="23">
        <v>44237</v>
      </c>
      <c r="R300" s="22" t="s">
        <v>33</v>
      </c>
      <c r="S300" s="22" t="s">
        <v>38</v>
      </c>
      <c r="T300" s="24">
        <f t="shared" si="5"/>
        <v>542.06400000000008</v>
      </c>
    </row>
    <row r="301" spans="1:20" x14ac:dyDescent="0.25">
      <c r="A301" s="8">
        <v>957</v>
      </c>
      <c r="B301" s="8" t="s">
        <v>19</v>
      </c>
      <c r="C301" s="8">
        <v>4</v>
      </c>
      <c r="D301" s="8" t="s">
        <v>771</v>
      </c>
      <c r="E301" s="8" t="s">
        <v>788</v>
      </c>
      <c r="F301" s="18" t="s">
        <v>789</v>
      </c>
      <c r="G301" s="18" t="s">
        <v>790</v>
      </c>
      <c r="H301" s="18">
        <v>30</v>
      </c>
      <c r="I301" s="18">
        <v>0</v>
      </c>
      <c r="J301" s="20" t="s">
        <v>791</v>
      </c>
      <c r="K301" s="20" t="s">
        <v>25</v>
      </c>
      <c r="L301" s="27" t="s">
        <v>26</v>
      </c>
      <c r="M301" s="27" t="s">
        <v>26</v>
      </c>
      <c r="N301" s="21">
        <v>41.716953028534398</v>
      </c>
      <c r="O301" s="10">
        <v>-75.613045361761607</v>
      </c>
      <c r="P301" s="22">
        <v>113</v>
      </c>
      <c r="Q301" s="23">
        <v>44231</v>
      </c>
      <c r="R301" s="22" t="s">
        <v>27</v>
      </c>
      <c r="S301" s="22" t="s">
        <v>38</v>
      </c>
      <c r="T301" s="24">
        <f t="shared" si="5"/>
        <v>124.75200000000001</v>
      </c>
    </row>
    <row r="302" spans="1:20" x14ac:dyDescent="0.25">
      <c r="A302" s="8">
        <v>1027</v>
      </c>
      <c r="B302" s="8" t="s">
        <v>19</v>
      </c>
      <c r="C302" s="8">
        <v>4</v>
      </c>
      <c r="D302" s="8" t="s">
        <v>792</v>
      </c>
      <c r="E302" s="8" t="s">
        <v>793</v>
      </c>
      <c r="F302" s="18" t="s">
        <v>77</v>
      </c>
      <c r="G302" s="18" t="s">
        <v>23</v>
      </c>
      <c r="H302" s="19">
        <v>260</v>
      </c>
      <c r="I302" s="19">
        <v>428</v>
      </c>
      <c r="J302" s="20" t="s">
        <v>794</v>
      </c>
      <c r="K302" s="20" t="s">
        <v>25</v>
      </c>
      <c r="L302" s="20" t="s">
        <v>26</v>
      </c>
      <c r="M302" s="20" t="s">
        <v>26</v>
      </c>
      <c r="N302" s="21">
        <v>41.5759243991372</v>
      </c>
      <c r="O302" s="10">
        <v>-75.257516098280007</v>
      </c>
      <c r="P302" s="22">
        <v>563</v>
      </c>
      <c r="Q302" s="23">
        <v>44264</v>
      </c>
      <c r="R302" s="22" t="s">
        <v>27</v>
      </c>
      <c r="S302" s="22" t="s">
        <v>517</v>
      </c>
      <c r="T302" s="24">
        <f t="shared" si="5"/>
        <v>621.55200000000002</v>
      </c>
    </row>
    <row r="303" spans="1:20" x14ac:dyDescent="0.25">
      <c r="A303" s="8">
        <v>1028</v>
      </c>
      <c r="B303" s="8" t="s">
        <v>19</v>
      </c>
      <c r="C303" s="8">
        <v>4</v>
      </c>
      <c r="D303" s="8" t="s">
        <v>792</v>
      </c>
      <c r="E303" s="8" t="s">
        <v>793</v>
      </c>
      <c r="F303" s="18" t="s">
        <v>596</v>
      </c>
      <c r="G303" s="18" t="s">
        <v>23</v>
      </c>
      <c r="H303" s="19">
        <v>271</v>
      </c>
      <c r="I303" s="19">
        <v>0</v>
      </c>
      <c r="J303" s="20" t="s">
        <v>795</v>
      </c>
      <c r="K303" s="20" t="s">
        <v>25</v>
      </c>
      <c r="L303" s="20" t="s">
        <v>26</v>
      </c>
      <c r="M303" s="20" t="s">
        <v>26</v>
      </c>
      <c r="N303" s="21">
        <v>41.573722251943401</v>
      </c>
      <c r="O303" s="10">
        <v>-75.255162112241706</v>
      </c>
      <c r="P303" s="22">
        <v>1387</v>
      </c>
      <c r="Q303" s="23">
        <v>44264</v>
      </c>
      <c r="R303" s="22" t="s">
        <v>27</v>
      </c>
      <c r="S303" s="22" t="s">
        <v>517</v>
      </c>
      <c r="T303" s="24">
        <f t="shared" si="5"/>
        <v>1531.248</v>
      </c>
    </row>
    <row r="304" spans="1:20" x14ac:dyDescent="0.25">
      <c r="A304" s="8">
        <v>1029</v>
      </c>
      <c r="B304" s="8" t="s">
        <v>19</v>
      </c>
      <c r="C304" s="8">
        <v>4</v>
      </c>
      <c r="D304" s="8" t="s">
        <v>792</v>
      </c>
      <c r="E304" s="8" t="s">
        <v>793</v>
      </c>
      <c r="F304" s="18" t="s">
        <v>796</v>
      </c>
      <c r="G304" s="18" t="s">
        <v>23</v>
      </c>
      <c r="H304" s="19">
        <v>280</v>
      </c>
      <c r="I304" s="19">
        <v>794</v>
      </c>
      <c r="J304" s="20" t="s">
        <v>48</v>
      </c>
      <c r="K304" s="20" t="s">
        <v>25</v>
      </c>
      <c r="L304" s="20" t="s">
        <v>26</v>
      </c>
      <c r="M304" s="20" t="s">
        <v>26</v>
      </c>
      <c r="N304" s="21">
        <v>41.568035871637598</v>
      </c>
      <c r="O304" s="10">
        <v>-75.251382716162993</v>
      </c>
      <c r="P304" s="22">
        <v>35</v>
      </c>
      <c r="Q304" s="23">
        <v>44264</v>
      </c>
      <c r="R304" s="22" t="s">
        <v>27</v>
      </c>
      <c r="S304" s="22" t="s">
        <v>517</v>
      </c>
      <c r="T304" s="24">
        <f t="shared" si="5"/>
        <v>38.64</v>
      </c>
    </row>
    <row r="305" spans="1:20" x14ac:dyDescent="0.25">
      <c r="A305" s="8">
        <v>1030</v>
      </c>
      <c r="B305" s="8" t="s">
        <v>19</v>
      </c>
      <c r="C305" s="8">
        <v>4</v>
      </c>
      <c r="D305" s="8" t="s">
        <v>792</v>
      </c>
      <c r="E305" s="8" t="s">
        <v>793</v>
      </c>
      <c r="F305" s="18" t="s">
        <v>796</v>
      </c>
      <c r="G305" s="18" t="s">
        <v>23</v>
      </c>
      <c r="H305" s="19">
        <v>280</v>
      </c>
      <c r="I305" s="19">
        <v>979</v>
      </c>
      <c r="J305" s="20" t="s">
        <v>797</v>
      </c>
      <c r="K305" s="20" t="s">
        <v>25</v>
      </c>
      <c r="L305" s="20" t="s">
        <v>26</v>
      </c>
      <c r="M305" s="20" t="s">
        <v>26</v>
      </c>
      <c r="N305" s="21">
        <v>41.567501255827104</v>
      </c>
      <c r="O305" s="10">
        <v>-75.251122290341996</v>
      </c>
      <c r="P305" s="22">
        <v>872</v>
      </c>
      <c r="Q305" s="23">
        <v>44264</v>
      </c>
      <c r="R305" s="22" t="s">
        <v>27</v>
      </c>
      <c r="S305" s="22" t="s">
        <v>517</v>
      </c>
      <c r="T305" s="24">
        <f t="shared" si="5"/>
        <v>962.6880000000001</v>
      </c>
    </row>
    <row r="306" spans="1:20" x14ac:dyDescent="0.25">
      <c r="A306" s="8">
        <v>1031</v>
      </c>
      <c r="B306" s="8" t="s">
        <v>19</v>
      </c>
      <c r="C306" s="8">
        <v>4</v>
      </c>
      <c r="D306" s="8" t="s">
        <v>792</v>
      </c>
      <c r="E306" s="8" t="s">
        <v>793</v>
      </c>
      <c r="F306" s="18" t="s">
        <v>796</v>
      </c>
      <c r="G306" s="18" t="s">
        <v>23</v>
      </c>
      <c r="H306" s="19">
        <v>280</v>
      </c>
      <c r="I306" s="19">
        <v>1282</v>
      </c>
      <c r="J306" s="20" t="s">
        <v>798</v>
      </c>
      <c r="K306" s="20" t="s">
        <v>25</v>
      </c>
      <c r="L306" s="20" t="s">
        <v>26</v>
      </c>
      <c r="M306" s="20" t="s">
        <v>26</v>
      </c>
      <c r="N306" s="21">
        <v>41.566643893645299</v>
      </c>
      <c r="O306" s="10">
        <v>-75.2506603584971</v>
      </c>
      <c r="P306" s="22">
        <v>1202</v>
      </c>
      <c r="Q306" s="23">
        <v>44264</v>
      </c>
      <c r="R306" s="22" t="s">
        <v>33</v>
      </c>
      <c r="S306" s="22" t="s">
        <v>517</v>
      </c>
      <c r="T306" s="24">
        <f t="shared" si="5"/>
        <v>1327.008</v>
      </c>
    </row>
    <row r="307" spans="1:20" x14ac:dyDescent="0.25">
      <c r="A307" s="8">
        <v>1032</v>
      </c>
      <c r="B307" s="8" t="s">
        <v>19</v>
      </c>
      <c r="C307" s="8">
        <v>4</v>
      </c>
      <c r="D307" s="8" t="s">
        <v>792</v>
      </c>
      <c r="E307" s="8" t="s">
        <v>793</v>
      </c>
      <c r="F307" s="18" t="s">
        <v>799</v>
      </c>
      <c r="G307" s="18" t="s">
        <v>23</v>
      </c>
      <c r="H307" s="19">
        <v>300</v>
      </c>
      <c r="I307" s="19">
        <v>81</v>
      </c>
      <c r="J307" s="20" t="s">
        <v>800</v>
      </c>
      <c r="K307" s="20" t="s">
        <v>25</v>
      </c>
      <c r="L307" s="20" t="s">
        <v>26</v>
      </c>
      <c r="M307" s="20" t="s">
        <v>26</v>
      </c>
      <c r="N307" s="21">
        <v>41.561048207742502</v>
      </c>
      <c r="O307" s="10">
        <v>-75.245167231360995</v>
      </c>
      <c r="P307" s="22">
        <v>445</v>
      </c>
      <c r="Q307" s="23">
        <v>44264</v>
      </c>
      <c r="R307" s="22" t="s">
        <v>27</v>
      </c>
      <c r="S307" s="22" t="s">
        <v>517</v>
      </c>
      <c r="T307" s="24">
        <f t="shared" si="5"/>
        <v>491.28000000000003</v>
      </c>
    </row>
    <row r="308" spans="1:20" x14ac:dyDescent="0.25">
      <c r="A308" s="8">
        <v>1033</v>
      </c>
      <c r="B308" s="8" t="s">
        <v>19</v>
      </c>
      <c r="C308" s="8">
        <v>4</v>
      </c>
      <c r="D308" s="8" t="s">
        <v>792</v>
      </c>
      <c r="E308" s="8" t="s">
        <v>793</v>
      </c>
      <c r="F308" s="18" t="s">
        <v>799</v>
      </c>
      <c r="G308" s="18" t="s">
        <v>23</v>
      </c>
      <c r="H308" s="19">
        <v>300</v>
      </c>
      <c r="I308" s="19">
        <v>143</v>
      </c>
      <c r="J308" s="20" t="s">
        <v>801</v>
      </c>
      <c r="K308" s="20" t="s">
        <v>25</v>
      </c>
      <c r="L308" s="20" t="s">
        <v>26</v>
      </c>
      <c r="M308" s="20" t="s">
        <v>26</v>
      </c>
      <c r="N308" s="21">
        <v>41.560913709764499</v>
      </c>
      <c r="O308" s="10">
        <v>-75.245033914310497</v>
      </c>
      <c r="P308" s="22">
        <v>26</v>
      </c>
      <c r="Q308" s="23">
        <v>44264</v>
      </c>
      <c r="R308" s="22" t="s">
        <v>27</v>
      </c>
      <c r="S308" s="22" t="s">
        <v>38</v>
      </c>
      <c r="T308" s="24">
        <f t="shared" si="5"/>
        <v>28.704000000000001</v>
      </c>
    </row>
    <row r="309" spans="1:20" x14ac:dyDescent="0.25">
      <c r="A309" s="8">
        <v>1034</v>
      </c>
      <c r="B309" s="8" t="s">
        <v>19</v>
      </c>
      <c r="C309" s="8">
        <v>4</v>
      </c>
      <c r="D309" s="8" t="s">
        <v>792</v>
      </c>
      <c r="E309" s="8" t="s">
        <v>802</v>
      </c>
      <c r="F309" s="18" t="s">
        <v>803</v>
      </c>
      <c r="G309" s="18" t="s">
        <v>23</v>
      </c>
      <c r="H309" s="19">
        <v>320</v>
      </c>
      <c r="I309" s="19">
        <v>116</v>
      </c>
      <c r="J309" s="20" t="s">
        <v>804</v>
      </c>
      <c r="K309" s="20" t="s">
        <v>25</v>
      </c>
      <c r="L309" s="20" t="s">
        <v>26</v>
      </c>
      <c r="M309" s="20" t="s">
        <v>26</v>
      </c>
      <c r="N309" s="21">
        <v>41.552932589762896</v>
      </c>
      <c r="O309" s="10">
        <v>-75.227542230544898</v>
      </c>
      <c r="P309" s="22">
        <v>4658</v>
      </c>
      <c r="Q309" s="23">
        <v>44264</v>
      </c>
      <c r="R309" s="22" t="s">
        <v>27</v>
      </c>
      <c r="S309" s="22" t="s">
        <v>34</v>
      </c>
      <c r="T309" s="24">
        <f t="shared" si="5"/>
        <v>5142.4320000000007</v>
      </c>
    </row>
    <row r="310" spans="1:20" x14ac:dyDescent="0.25">
      <c r="A310" s="8">
        <v>1035</v>
      </c>
      <c r="B310" s="8" t="s">
        <v>19</v>
      </c>
      <c r="C310" s="8">
        <v>4</v>
      </c>
      <c r="D310" s="8" t="s">
        <v>792</v>
      </c>
      <c r="E310" s="8" t="s">
        <v>802</v>
      </c>
      <c r="F310" s="18" t="s">
        <v>803</v>
      </c>
      <c r="G310" s="18" t="s">
        <v>23</v>
      </c>
      <c r="H310" s="19">
        <v>320</v>
      </c>
      <c r="I310" s="19">
        <v>633</v>
      </c>
      <c r="J310" s="20" t="s">
        <v>805</v>
      </c>
      <c r="K310" s="20" t="s">
        <v>25</v>
      </c>
      <c r="L310" s="20" t="s">
        <v>26</v>
      </c>
      <c r="M310" s="20" t="s">
        <v>26</v>
      </c>
      <c r="N310" s="21">
        <v>41.553735247918603</v>
      </c>
      <c r="O310" s="10">
        <v>-75.224287260637098</v>
      </c>
      <c r="P310" s="22">
        <v>111</v>
      </c>
      <c r="Q310" s="23">
        <v>44264</v>
      </c>
      <c r="R310" s="22" t="s">
        <v>33</v>
      </c>
      <c r="S310" s="22" t="s">
        <v>28</v>
      </c>
      <c r="T310" s="24">
        <f t="shared" si="5"/>
        <v>122.54400000000001</v>
      </c>
    </row>
    <row r="311" spans="1:20" x14ac:dyDescent="0.25">
      <c r="A311" s="8">
        <v>1036</v>
      </c>
      <c r="B311" s="8" t="s">
        <v>19</v>
      </c>
      <c r="C311" s="8">
        <v>4</v>
      </c>
      <c r="D311" s="8" t="s">
        <v>792</v>
      </c>
      <c r="E311" s="8" t="s">
        <v>802</v>
      </c>
      <c r="F311" s="18" t="s">
        <v>803</v>
      </c>
      <c r="G311" s="18" t="s">
        <v>23</v>
      </c>
      <c r="H311" s="19">
        <v>350</v>
      </c>
      <c r="I311" s="19">
        <v>1160</v>
      </c>
      <c r="J311" s="20" t="s">
        <v>731</v>
      </c>
      <c r="K311" s="20" t="s">
        <v>25</v>
      </c>
      <c r="L311" s="20" t="s">
        <v>26</v>
      </c>
      <c r="M311" s="20" t="s">
        <v>26</v>
      </c>
      <c r="N311" s="21">
        <v>41.543631670824801</v>
      </c>
      <c r="O311" s="10">
        <v>-75.210820347294998</v>
      </c>
      <c r="P311" s="22">
        <v>416</v>
      </c>
      <c r="Q311" s="23">
        <v>44264</v>
      </c>
      <c r="R311" s="22" t="s">
        <v>33</v>
      </c>
      <c r="S311" s="22" t="s">
        <v>517</v>
      </c>
      <c r="T311" s="24">
        <f t="shared" ref="T311:T347" si="6">P311*$X$6</f>
        <v>459.26400000000001</v>
      </c>
    </row>
    <row r="312" spans="1:20" x14ac:dyDescent="0.25">
      <c r="A312" s="8">
        <v>1037</v>
      </c>
      <c r="B312" s="8" t="s">
        <v>19</v>
      </c>
      <c r="C312" s="8">
        <v>4</v>
      </c>
      <c r="D312" s="8" t="s">
        <v>792</v>
      </c>
      <c r="E312" s="8" t="s">
        <v>806</v>
      </c>
      <c r="F312" s="18" t="s">
        <v>807</v>
      </c>
      <c r="G312" s="18" t="s">
        <v>23</v>
      </c>
      <c r="H312" s="18">
        <v>470</v>
      </c>
      <c r="I312" s="18">
        <v>1778</v>
      </c>
      <c r="J312" s="20" t="s">
        <v>45</v>
      </c>
      <c r="K312" s="20" t="s">
        <v>25</v>
      </c>
      <c r="L312" s="27" t="s">
        <v>26</v>
      </c>
      <c r="M312" s="27" t="s">
        <v>26</v>
      </c>
      <c r="N312" s="21">
        <v>41.474718553048</v>
      </c>
      <c r="O312" s="10">
        <v>-75.181728272117397</v>
      </c>
      <c r="P312" s="22">
        <v>159</v>
      </c>
      <c r="Q312" s="23">
        <v>44243</v>
      </c>
      <c r="R312" s="22" t="s">
        <v>27</v>
      </c>
      <c r="S312" s="22" t="s">
        <v>517</v>
      </c>
      <c r="T312" s="24">
        <f t="shared" si="6"/>
        <v>175.536</v>
      </c>
    </row>
    <row r="313" spans="1:20" x14ac:dyDescent="0.25">
      <c r="A313" s="8">
        <v>1038</v>
      </c>
      <c r="B313" s="8" t="s">
        <v>19</v>
      </c>
      <c r="C313" s="8">
        <v>4</v>
      </c>
      <c r="D313" s="8" t="s">
        <v>792</v>
      </c>
      <c r="E313" s="8" t="s">
        <v>808</v>
      </c>
      <c r="F313" s="18" t="s">
        <v>77</v>
      </c>
      <c r="G313" s="18" t="s">
        <v>809</v>
      </c>
      <c r="H313" s="18">
        <v>102</v>
      </c>
      <c r="I313" s="18">
        <v>2326</v>
      </c>
      <c r="J313" s="20" t="s">
        <v>810</v>
      </c>
      <c r="K313" s="20" t="s">
        <v>25</v>
      </c>
      <c r="L313" s="27" t="s">
        <v>26</v>
      </c>
      <c r="M313" s="27" t="s">
        <v>26</v>
      </c>
      <c r="N313" s="21">
        <v>41.311557259192803</v>
      </c>
      <c r="O313" s="10">
        <v>-75.319031716866505</v>
      </c>
      <c r="P313" s="22">
        <v>108</v>
      </c>
      <c r="Q313" s="23">
        <v>44243</v>
      </c>
      <c r="R313" s="22" t="s">
        <v>27</v>
      </c>
      <c r="S313" s="22" t="s">
        <v>517</v>
      </c>
      <c r="T313" s="24">
        <f t="shared" si="6"/>
        <v>119.23200000000001</v>
      </c>
    </row>
    <row r="314" spans="1:20" x14ac:dyDescent="0.25">
      <c r="A314" s="8">
        <v>1039</v>
      </c>
      <c r="B314" s="8" t="s">
        <v>19</v>
      </c>
      <c r="C314" s="8">
        <v>4</v>
      </c>
      <c r="D314" s="8" t="s">
        <v>792</v>
      </c>
      <c r="E314" s="8" t="s">
        <v>811</v>
      </c>
      <c r="F314" s="18" t="s">
        <v>812</v>
      </c>
      <c r="G314" s="18" t="s">
        <v>809</v>
      </c>
      <c r="H314" s="18">
        <v>420</v>
      </c>
      <c r="I314" s="18">
        <v>1627</v>
      </c>
      <c r="J314" s="20" t="s">
        <v>813</v>
      </c>
      <c r="K314" s="20" t="s">
        <v>25</v>
      </c>
      <c r="L314" s="27" t="s">
        <v>26</v>
      </c>
      <c r="M314" s="27" t="s">
        <v>26</v>
      </c>
      <c r="N314" s="21">
        <v>41.507762583804698</v>
      </c>
      <c r="O314" s="10">
        <v>-75.291778091635294</v>
      </c>
      <c r="P314" s="22">
        <v>329</v>
      </c>
      <c r="Q314" s="23">
        <v>44243</v>
      </c>
      <c r="R314" s="22" t="s">
        <v>27</v>
      </c>
      <c r="S314" s="22" t="s">
        <v>38</v>
      </c>
      <c r="T314" s="24">
        <f t="shared" si="6"/>
        <v>363.21600000000001</v>
      </c>
    </row>
    <row r="315" spans="1:20" x14ac:dyDescent="0.25">
      <c r="A315" s="8">
        <v>1040</v>
      </c>
      <c r="B315" s="8" t="s">
        <v>19</v>
      </c>
      <c r="C315" s="8">
        <v>4</v>
      </c>
      <c r="D315" s="8" t="s">
        <v>792</v>
      </c>
      <c r="E315" s="8" t="s">
        <v>811</v>
      </c>
      <c r="F315" s="18" t="s">
        <v>812</v>
      </c>
      <c r="G315" s="18" t="s">
        <v>809</v>
      </c>
      <c r="H315" s="18">
        <v>460</v>
      </c>
      <c r="I315" s="18">
        <v>1940</v>
      </c>
      <c r="J315" s="20" t="s">
        <v>814</v>
      </c>
      <c r="K315" s="20" t="s">
        <v>25</v>
      </c>
      <c r="L315" s="27" t="s">
        <v>26</v>
      </c>
      <c r="M315" s="27" t="s">
        <v>26</v>
      </c>
      <c r="N315" s="21">
        <v>41.530349430429602</v>
      </c>
      <c r="O315" s="10">
        <v>-75.261218558822193</v>
      </c>
      <c r="P315" s="22">
        <v>56</v>
      </c>
      <c r="Q315" s="23">
        <v>44264</v>
      </c>
      <c r="R315" s="22" t="s">
        <v>33</v>
      </c>
      <c r="S315" s="22" t="s">
        <v>38</v>
      </c>
      <c r="T315" s="24">
        <f t="shared" si="6"/>
        <v>61.824000000000005</v>
      </c>
    </row>
    <row r="316" spans="1:20" x14ac:dyDescent="0.25">
      <c r="A316" s="8">
        <v>1041</v>
      </c>
      <c r="B316" s="8" t="s">
        <v>19</v>
      </c>
      <c r="C316" s="8">
        <v>4</v>
      </c>
      <c r="D316" s="8" t="s">
        <v>792</v>
      </c>
      <c r="E316" s="8" t="s">
        <v>815</v>
      </c>
      <c r="F316" s="18" t="s">
        <v>816</v>
      </c>
      <c r="G316" s="18" t="s">
        <v>817</v>
      </c>
      <c r="H316" s="18">
        <v>290</v>
      </c>
      <c r="I316" s="18">
        <v>0</v>
      </c>
      <c r="J316" s="20" t="s">
        <v>818</v>
      </c>
      <c r="K316" s="20" t="s">
        <v>25</v>
      </c>
      <c r="L316" s="27" t="s">
        <v>26</v>
      </c>
      <c r="M316" s="27" t="s">
        <v>26</v>
      </c>
      <c r="N316" s="21">
        <v>41.717497379699502</v>
      </c>
      <c r="O316" s="10">
        <v>-75.233505919037597</v>
      </c>
      <c r="P316" s="22">
        <v>131</v>
      </c>
      <c r="Q316" s="23">
        <v>44264</v>
      </c>
      <c r="R316" s="22" t="s">
        <v>27</v>
      </c>
      <c r="S316" s="22" t="s">
        <v>34</v>
      </c>
      <c r="T316" s="24">
        <f t="shared" si="6"/>
        <v>144.62400000000002</v>
      </c>
    </row>
    <row r="317" spans="1:20" x14ac:dyDescent="0.25">
      <c r="A317" s="8">
        <v>1042</v>
      </c>
      <c r="B317" s="8" t="s">
        <v>19</v>
      </c>
      <c r="C317" s="8">
        <v>4</v>
      </c>
      <c r="D317" s="8" t="s">
        <v>792</v>
      </c>
      <c r="E317" s="8" t="s">
        <v>819</v>
      </c>
      <c r="F317" s="18" t="s">
        <v>820</v>
      </c>
      <c r="G317" s="18" t="s">
        <v>821</v>
      </c>
      <c r="H317" s="18">
        <v>10</v>
      </c>
      <c r="I317" s="18">
        <v>1334</v>
      </c>
      <c r="J317" s="20" t="s">
        <v>822</v>
      </c>
      <c r="K317" s="20" t="s">
        <v>25</v>
      </c>
      <c r="L317" s="27" t="s">
        <v>26</v>
      </c>
      <c r="M317" s="27" t="s">
        <v>26</v>
      </c>
      <c r="N317" s="21">
        <v>41.235419972295702</v>
      </c>
      <c r="O317" s="10">
        <v>-75.500015132830299</v>
      </c>
      <c r="P317" s="22">
        <v>66</v>
      </c>
      <c r="Q317" s="23">
        <v>44243</v>
      </c>
      <c r="R317" s="22" t="s">
        <v>27</v>
      </c>
      <c r="S317" s="22" t="s">
        <v>517</v>
      </c>
      <c r="T317" s="24">
        <f t="shared" si="6"/>
        <v>72.864000000000004</v>
      </c>
    </row>
    <row r="318" spans="1:20" x14ac:dyDescent="0.25">
      <c r="A318" s="8">
        <v>1043</v>
      </c>
      <c r="B318" s="8" t="s">
        <v>19</v>
      </c>
      <c r="C318" s="8">
        <v>4</v>
      </c>
      <c r="D318" s="8" t="s">
        <v>792</v>
      </c>
      <c r="E318" s="8" t="s">
        <v>692</v>
      </c>
      <c r="F318" s="18" t="s">
        <v>823</v>
      </c>
      <c r="G318" s="18" t="s">
        <v>669</v>
      </c>
      <c r="H318" s="18">
        <v>50</v>
      </c>
      <c r="I318" s="18">
        <v>970</v>
      </c>
      <c r="J318" s="20" t="s">
        <v>824</v>
      </c>
      <c r="K318" s="20" t="s">
        <v>25</v>
      </c>
      <c r="L318" s="27" t="s">
        <v>26</v>
      </c>
      <c r="M318" s="27" t="s">
        <v>26</v>
      </c>
      <c r="N318" s="21">
        <v>41.4050460577716</v>
      </c>
      <c r="O318" s="10">
        <v>-75.424038383120504</v>
      </c>
      <c r="P318" s="22">
        <v>2048</v>
      </c>
      <c r="Q318" s="23">
        <v>44243</v>
      </c>
      <c r="R318" s="22" t="s">
        <v>27</v>
      </c>
      <c r="S318" s="22" t="s">
        <v>34</v>
      </c>
      <c r="T318" s="24">
        <f t="shared" si="6"/>
        <v>2260.9920000000002</v>
      </c>
    </row>
    <row r="319" spans="1:20" x14ac:dyDescent="0.25">
      <c r="A319" s="8">
        <v>1044</v>
      </c>
      <c r="B319" s="8" t="s">
        <v>19</v>
      </c>
      <c r="C319" s="8">
        <v>4</v>
      </c>
      <c r="D319" s="8" t="s">
        <v>792</v>
      </c>
      <c r="E319" s="8" t="s">
        <v>692</v>
      </c>
      <c r="F319" s="18" t="s">
        <v>823</v>
      </c>
      <c r="G319" s="18" t="s">
        <v>669</v>
      </c>
      <c r="H319" s="18">
        <v>70</v>
      </c>
      <c r="I319" s="18">
        <v>0</v>
      </c>
      <c r="J319" s="20" t="s">
        <v>825</v>
      </c>
      <c r="K319" s="20" t="s">
        <v>25</v>
      </c>
      <c r="L319" s="27" t="s">
        <v>26</v>
      </c>
      <c r="M319" s="27" t="s">
        <v>26</v>
      </c>
      <c r="N319" s="21">
        <v>41.404238366348899</v>
      </c>
      <c r="O319" s="10">
        <v>-75.4089768294847</v>
      </c>
      <c r="P319" s="22">
        <v>289</v>
      </c>
      <c r="Q319" s="23">
        <v>44243</v>
      </c>
      <c r="R319" s="22" t="s">
        <v>27</v>
      </c>
      <c r="S319" s="22" t="s">
        <v>34</v>
      </c>
      <c r="T319" s="24">
        <f t="shared" si="6"/>
        <v>319.05600000000004</v>
      </c>
    </row>
    <row r="320" spans="1:20" x14ac:dyDescent="0.25">
      <c r="A320" s="8">
        <v>1045</v>
      </c>
      <c r="B320" s="8" t="s">
        <v>19</v>
      </c>
      <c r="C320" s="8">
        <v>4</v>
      </c>
      <c r="D320" s="8" t="s">
        <v>792</v>
      </c>
      <c r="E320" s="8" t="s">
        <v>692</v>
      </c>
      <c r="F320" s="18" t="s">
        <v>823</v>
      </c>
      <c r="G320" s="18" t="s">
        <v>669</v>
      </c>
      <c r="H320" s="18">
        <v>70</v>
      </c>
      <c r="I320" s="18">
        <v>1677</v>
      </c>
      <c r="J320" s="20" t="s">
        <v>826</v>
      </c>
      <c r="K320" s="20" t="s">
        <v>827</v>
      </c>
      <c r="L320" s="27" t="s">
        <v>26</v>
      </c>
      <c r="M320" s="27" t="s">
        <v>26</v>
      </c>
      <c r="N320" s="21">
        <v>41.403915739463699</v>
      </c>
      <c r="O320" s="10">
        <v>-75.4028702600191</v>
      </c>
      <c r="P320" s="22">
        <v>2141</v>
      </c>
      <c r="Q320" s="23">
        <v>44259</v>
      </c>
      <c r="R320" s="22" t="s">
        <v>33</v>
      </c>
      <c r="S320" s="22" t="s">
        <v>34</v>
      </c>
      <c r="T320" s="24">
        <f t="shared" si="6"/>
        <v>2363.6640000000002</v>
      </c>
    </row>
    <row r="321" spans="1:20" x14ac:dyDescent="0.25">
      <c r="A321" s="8">
        <v>1046</v>
      </c>
      <c r="B321" s="8" t="s">
        <v>19</v>
      </c>
      <c r="C321" s="8">
        <v>4</v>
      </c>
      <c r="D321" s="8" t="s">
        <v>792</v>
      </c>
      <c r="E321" s="8" t="s">
        <v>692</v>
      </c>
      <c r="F321" s="18" t="s">
        <v>823</v>
      </c>
      <c r="G321" s="18" t="s">
        <v>669</v>
      </c>
      <c r="H321" s="18">
        <v>70</v>
      </c>
      <c r="I321" s="18">
        <v>2659</v>
      </c>
      <c r="J321" s="20" t="s">
        <v>828</v>
      </c>
      <c r="K321" s="20" t="s">
        <v>57</v>
      </c>
      <c r="L321" s="27" t="s">
        <v>26</v>
      </c>
      <c r="M321" s="27" t="s">
        <v>26</v>
      </c>
      <c r="N321" s="21">
        <v>41.403707373926601</v>
      </c>
      <c r="O321" s="10">
        <v>-75.399295482077306</v>
      </c>
      <c r="P321" s="22">
        <v>672</v>
      </c>
      <c r="Q321" s="23">
        <v>44243</v>
      </c>
      <c r="R321" s="22" t="s">
        <v>27</v>
      </c>
      <c r="S321" s="22" t="s">
        <v>28</v>
      </c>
      <c r="T321" s="24">
        <f t="shared" si="6"/>
        <v>741.88800000000003</v>
      </c>
    </row>
    <row r="322" spans="1:20" x14ac:dyDescent="0.25">
      <c r="A322" s="8">
        <v>1047</v>
      </c>
      <c r="B322" s="8" t="s">
        <v>19</v>
      </c>
      <c r="C322" s="8">
        <v>4</v>
      </c>
      <c r="D322" s="8" t="s">
        <v>792</v>
      </c>
      <c r="E322" s="8" t="s">
        <v>829</v>
      </c>
      <c r="F322" s="18" t="s">
        <v>830</v>
      </c>
      <c r="G322" s="18" t="s">
        <v>669</v>
      </c>
      <c r="H322" s="18">
        <v>260</v>
      </c>
      <c r="I322" s="18">
        <v>907</v>
      </c>
      <c r="J322" s="20" t="s">
        <v>831</v>
      </c>
      <c r="K322" s="20" t="s">
        <v>25</v>
      </c>
      <c r="L322" s="27" t="s">
        <v>26</v>
      </c>
      <c r="M322" s="27" t="s">
        <v>26</v>
      </c>
      <c r="N322" s="21">
        <v>41.451194329045798</v>
      </c>
      <c r="O322" s="10">
        <v>-75.247560602734197</v>
      </c>
      <c r="P322" s="22">
        <v>1390</v>
      </c>
      <c r="Q322" s="23">
        <v>44243</v>
      </c>
      <c r="R322" s="22" t="s">
        <v>27</v>
      </c>
      <c r="S322" s="22" t="s">
        <v>28</v>
      </c>
      <c r="T322" s="24">
        <f t="shared" si="6"/>
        <v>1534.5600000000002</v>
      </c>
    </row>
    <row r="323" spans="1:20" x14ac:dyDescent="0.25">
      <c r="A323" s="8">
        <v>1048</v>
      </c>
      <c r="B323" s="8" t="s">
        <v>19</v>
      </c>
      <c r="C323" s="8">
        <v>4</v>
      </c>
      <c r="D323" s="8" t="s">
        <v>792</v>
      </c>
      <c r="E323" s="8" t="s">
        <v>832</v>
      </c>
      <c r="F323" s="18" t="s">
        <v>833</v>
      </c>
      <c r="G323" s="18" t="s">
        <v>834</v>
      </c>
      <c r="H323" s="18">
        <v>90</v>
      </c>
      <c r="I323" s="18">
        <v>1377</v>
      </c>
      <c r="J323" s="20" t="s">
        <v>835</v>
      </c>
      <c r="K323" s="20" t="s">
        <v>25</v>
      </c>
      <c r="L323" s="27" t="s">
        <v>26</v>
      </c>
      <c r="M323" s="27" t="s">
        <v>26</v>
      </c>
      <c r="N323" s="21">
        <v>41.589606164288497</v>
      </c>
      <c r="O323" s="10">
        <v>-75.175817363606598</v>
      </c>
      <c r="P323" s="22">
        <v>354</v>
      </c>
      <c r="Q323" s="23">
        <v>44264</v>
      </c>
      <c r="R323" s="22" t="s">
        <v>27</v>
      </c>
      <c r="S323" s="22" t="s">
        <v>34</v>
      </c>
      <c r="T323" s="24">
        <f t="shared" si="6"/>
        <v>390.81600000000003</v>
      </c>
    </row>
    <row r="324" spans="1:20" x14ac:dyDescent="0.25">
      <c r="A324" s="8">
        <v>1049</v>
      </c>
      <c r="B324" s="8" t="s">
        <v>19</v>
      </c>
      <c r="C324" s="8">
        <v>4</v>
      </c>
      <c r="D324" s="8" t="s">
        <v>792</v>
      </c>
      <c r="E324" s="8" t="s">
        <v>836</v>
      </c>
      <c r="F324" s="18" t="s">
        <v>833</v>
      </c>
      <c r="G324" s="18" t="s">
        <v>834</v>
      </c>
      <c r="H324" s="18">
        <v>190</v>
      </c>
      <c r="I324" s="18">
        <v>1442</v>
      </c>
      <c r="J324" s="20" t="s">
        <v>837</v>
      </c>
      <c r="K324" s="20" t="s">
        <v>25</v>
      </c>
      <c r="L324" s="27" t="s">
        <v>26</v>
      </c>
      <c r="M324" s="27" t="s">
        <v>26</v>
      </c>
      <c r="N324" s="21">
        <v>41.617216219685801</v>
      </c>
      <c r="O324" s="10">
        <v>-75.100572143000804</v>
      </c>
      <c r="P324" s="22">
        <v>295</v>
      </c>
      <c r="Q324" s="23">
        <v>44264</v>
      </c>
      <c r="R324" s="22" t="s">
        <v>27</v>
      </c>
      <c r="S324" s="22" t="s">
        <v>28</v>
      </c>
      <c r="T324" s="24">
        <f t="shared" si="6"/>
        <v>325.68</v>
      </c>
    </row>
    <row r="325" spans="1:20" x14ac:dyDescent="0.25">
      <c r="A325" s="8">
        <v>1050</v>
      </c>
      <c r="B325" s="8" t="s">
        <v>19</v>
      </c>
      <c r="C325" s="8">
        <v>4</v>
      </c>
      <c r="D325" s="8" t="s">
        <v>792</v>
      </c>
      <c r="E325" s="8" t="s">
        <v>753</v>
      </c>
      <c r="F325" s="18" t="s">
        <v>838</v>
      </c>
      <c r="G325" s="18" t="s">
        <v>839</v>
      </c>
      <c r="H325" s="18">
        <v>290</v>
      </c>
      <c r="I325" s="18">
        <v>531</v>
      </c>
      <c r="J325" s="20" t="s">
        <v>188</v>
      </c>
      <c r="K325" s="20" t="s">
        <v>188</v>
      </c>
      <c r="L325" s="27" t="s">
        <v>26</v>
      </c>
      <c r="M325" s="27" t="s">
        <v>26</v>
      </c>
      <c r="N325" s="21">
        <v>41.4717421224749</v>
      </c>
      <c r="O325" s="10">
        <v>-75.200866575196898</v>
      </c>
      <c r="P325" s="22">
        <v>229</v>
      </c>
      <c r="Q325" s="23">
        <v>44264</v>
      </c>
      <c r="R325" s="22" t="s">
        <v>33</v>
      </c>
      <c r="S325" s="22" t="s">
        <v>34</v>
      </c>
      <c r="T325" s="24">
        <f t="shared" si="6"/>
        <v>252.81600000000003</v>
      </c>
    </row>
    <row r="326" spans="1:20" x14ac:dyDescent="0.25">
      <c r="A326" s="8">
        <v>1051</v>
      </c>
      <c r="B326" s="8" t="s">
        <v>19</v>
      </c>
      <c r="C326" s="8">
        <v>4</v>
      </c>
      <c r="D326" s="8" t="s">
        <v>792</v>
      </c>
      <c r="E326" s="8" t="s">
        <v>811</v>
      </c>
      <c r="F326" s="18" t="s">
        <v>840</v>
      </c>
      <c r="G326" s="18" t="s">
        <v>841</v>
      </c>
      <c r="H326" s="18">
        <v>90</v>
      </c>
      <c r="I326" s="18">
        <v>0</v>
      </c>
      <c r="J326" s="20" t="s">
        <v>842</v>
      </c>
      <c r="K326" s="20" t="s">
        <v>25</v>
      </c>
      <c r="L326" s="27" t="s">
        <v>26</v>
      </c>
      <c r="M326" s="27" t="s">
        <v>26</v>
      </c>
      <c r="N326" s="21">
        <v>41.496729021411497</v>
      </c>
      <c r="O326" s="10">
        <v>-75.274432449221493</v>
      </c>
      <c r="P326" s="22">
        <v>37</v>
      </c>
      <c r="Q326" s="23">
        <v>44243</v>
      </c>
      <c r="R326" s="22" t="s">
        <v>27</v>
      </c>
      <c r="S326" s="22" t="s">
        <v>38</v>
      </c>
      <c r="T326" s="24">
        <f t="shared" si="6"/>
        <v>40.848000000000006</v>
      </c>
    </row>
    <row r="327" spans="1:20" x14ac:dyDescent="0.25">
      <c r="A327" s="8">
        <v>1052</v>
      </c>
      <c r="B327" s="8" t="s">
        <v>19</v>
      </c>
      <c r="C327" s="8">
        <v>4</v>
      </c>
      <c r="D327" s="8" t="s">
        <v>792</v>
      </c>
      <c r="E327" s="8" t="s">
        <v>793</v>
      </c>
      <c r="F327" s="18" t="s">
        <v>843</v>
      </c>
      <c r="G327" s="18" t="s">
        <v>841</v>
      </c>
      <c r="H327" s="19">
        <v>190</v>
      </c>
      <c r="I327" s="19">
        <v>1851</v>
      </c>
      <c r="J327" s="20" t="s">
        <v>844</v>
      </c>
      <c r="K327" s="20" t="s">
        <v>25</v>
      </c>
      <c r="L327" s="20" t="s">
        <v>26</v>
      </c>
      <c r="M327" s="20" t="s">
        <v>26</v>
      </c>
      <c r="N327" s="21">
        <v>41.564423148563399</v>
      </c>
      <c r="O327" s="10">
        <v>-75.2576254241322</v>
      </c>
      <c r="P327" s="22">
        <v>79</v>
      </c>
      <c r="Q327" s="23">
        <v>43533</v>
      </c>
      <c r="R327" s="22" t="s">
        <v>27</v>
      </c>
      <c r="S327" s="22" t="s">
        <v>34</v>
      </c>
      <c r="T327" s="24">
        <f t="shared" si="6"/>
        <v>87.216000000000008</v>
      </c>
    </row>
    <row r="328" spans="1:20" x14ac:dyDescent="0.25">
      <c r="A328" s="8">
        <v>1053</v>
      </c>
      <c r="B328" s="8" t="s">
        <v>19</v>
      </c>
      <c r="C328" s="8">
        <v>4</v>
      </c>
      <c r="D328" s="8" t="s">
        <v>792</v>
      </c>
      <c r="E328" s="8" t="s">
        <v>793</v>
      </c>
      <c r="F328" s="18" t="s">
        <v>843</v>
      </c>
      <c r="G328" s="18" t="s">
        <v>841</v>
      </c>
      <c r="H328" s="19">
        <v>200</v>
      </c>
      <c r="I328" s="19">
        <v>1475</v>
      </c>
      <c r="J328" s="20" t="s">
        <v>845</v>
      </c>
      <c r="K328" s="20" t="s">
        <v>25</v>
      </c>
      <c r="L328" s="20" t="s">
        <v>26</v>
      </c>
      <c r="M328" s="20" t="s">
        <v>26</v>
      </c>
      <c r="N328" s="21">
        <v>41.569022884695002</v>
      </c>
      <c r="O328" s="10">
        <v>-75.255163239887096</v>
      </c>
      <c r="P328" s="22">
        <v>1103</v>
      </c>
      <c r="Q328" s="23">
        <v>44266</v>
      </c>
      <c r="R328" s="22" t="s">
        <v>27</v>
      </c>
      <c r="S328" s="22" t="s">
        <v>34</v>
      </c>
      <c r="T328" s="24">
        <f t="shared" si="6"/>
        <v>1217.712</v>
      </c>
    </row>
    <row r="329" spans="1:20" x14ac:dyDescent="0.25">
      <c r="A329" s="8">
        <v>1071</v>
      </c>
      <c r="B329" s="8" t="s">
        <v>19</v>
      </c>
      <c r="C329" s="8">
        <v>4</v>
      </c>
      <c r="D329" s="8" t="s">
        <v>846</v>
      </c>
      <c r="E329" s="8" t="s">
        <v>847</v>
      </c>
      <c r="F329" s="18" t="s">
        <v>848</v>
      </c>
      <c r="G329" s="18" t="s">
        <v>23</v>
      </c>
      <c r="H329" s="18">
        <v>120</v>
      </c>
      <c r="I329" s="18">
        <v>2304</v>
      </c>
      <c r="J329" s="20" t="s">
        <v>849</v>
      </c>
      <c r="K329" s="20" t="s">
        <v>25</v>
      </c>
      <c r="L329" s="27" t="s">
        <v>26</v>
      </c>
      <c r="M329" s="27" t="s">
        <v>26</v>
      </c>
      <c r="N329" s="21">
        <v>41.605916320015801</v>
      </c>
      <c r="O329" s="10">
        <v>-76.086190645120993</v>
      </c>
      <c r="P329" s="22">
        <v>16</v>
      </c>
      <c r="Q329" s="23">
        <v>44278</v>
      </c>
      <c r="R329" s="22" t="s">
        <v>33</v>
      </c>
      <c r="S329" s="22" t="s">
        <v>28</v>
      </c>
      <c r="T329" s="24">
        <f t="shared" si="6"/>
        <v>17.664000000000001</v>
      </c>
    </row>
    <row r="330" spans="1:20" x14ac:dyDescent="0.25">
      <c r="A330" s="8">
        <v>1072</v>
      </c>
      <c r="B330" s="8" t="s">
        <v>19</v>
      </c>
      <c r="C330" s="8">
        <v>4</v>
      </c>
      <c r="D330" s="8" t="s">
        <v>846</v>
      </c>
      <c r="E330" s="8" t="s">
        <v>850</v>
      </c>
      <c r="F330" s="18" t="s">
        <v>848</v>
      </c>
      <c r="G330" s="18" t="s">
        <v>23</v>
      </c>
      <c r="H330" s="18">
        <v>170</v>
      </c>
      <c r="I330" s="18">
        <v>2307</v>
      </c>
      <c r="J330" s="20" t="s">
        <v>383</v>
      </c>
      <c r="K330" s="20" t="s">
        <v>25</v>
      </c>
      <c r="L330" s="27" t="s">
        <v>26</v>
      </c>
      <c r="M330" s="27" t="s">
        <v>26</v>
      </c>
      <c r="N330" s="21">
        <v>41.613687090248597</v>
      </c>
      <c r="O330" s="10">
        <v>-76.050910272919893</v>
      </c>
      <c r="P330" s="22">
        <v>1459</v>
      </c>
      <c r="Q330" s="23">
        <v>44278</v>
      </c>
      <c r="R330" s="22" t="s">
        <v>27</v>
      </c>
      <c r="S330" s="22" t="s">
        <v>34</v>
      </c>
      <c r="T330" s="24">
        <f t="shared" si="6"/>
        <v>1610.7360000000001</v>
      </c>
    </row>
    <row r="331" spans="1:20" x14ac:dyDescent="0.25">
      <c r="A331" s="8">
        <v>1073</v>
      </c>
      <c r="B331" s="8" t="s">
        <v>19</v>
      </c>
      <c r="C331" s="8">
        <v>4</v>
      </c>
      <c r="D331" s="8" t="s">
        <v>846</v>
      </c>
      <c r="E331" s="8" t="s">
        <v>847</v>
      </c>
      <c r="F331" s="18" t="s">
        <v>848</v>
      </c>
      <c r="G331" s="18" t="s">
        <v>23</v>
      </c>
      <c r="H331" s="18">
        <v>230</v>
      </c>
      <c r="I331" s="18">
        <v>586</v>
      </c>
      <c r="J331" s="20" t="s">
        <v>851</v>
      </c>
      <c r="K331" s="20" t="s">
        <v>25</v>
      </c>
      <c r="L331" s="27" t="s">
        <v>26</v>
      </c>
      <c r="M331" s="27" t="s">
        <v>26</v>
      </c>
      <c r="N331" s="21">
        <v>41.602800376030402</v>
      </c>
      <c r="O331" s="10">
        <v>-76.013745553655198</v>
      </c>
      <c r="P331" s="22">
        <v>204</v>
      </c>
      <c r="Q331" s="23">
        <v>44278</v>
      </c>
      <c r="R331" s="22" t="s">
        <v>27</v>
      </c>
      <c r="S331" s="22" t="s">
        <v>38</v>
      </c>
      <c r="T331" s="24">
        <f t="shared" si="6"/>
        <v>225.21600000000001</v>
      </c>
    </row>
    <row r="332" spans="1:20" x14ac:dyDescent="0.25">
      <c r="A332" s="8">
        <v>1074</v>
      </c>
      <c r="B332" s="8" t="s">
        <v>19</v>
      </c>
      <c r="C332" s="8">
        <v>4</v>
      </c>
      <c r="D332" s="8" t="s">
        <v>846</v>
      </c>
      <c r="E332" s="8" t="s">
        <v>847</v>
      </c>
      <c r="F332" s="18" t="s">
        <v>848</v>
      </c>
      <c r="G332" s="18" t="s">
        <v>23</v>
      </c>
      <c r="H332" s="18">
        <v>240</v>
      </c>
      <c r="I332" s="18">
        <v>432</v>
      </c>
      <c r="J332" s="20" t="s">
        <v>852</v>
      </c>
      <c r="K332" s="20" t="s">
        <v>188</v>
      </c>
      <c r="L332" s="27" t="s">
        <v>26</v>
      </c>
      <c r="M332" s="27" t="s">
        <v>26</v>
      </c>
      <c r="N332" s="21">
        <v>41.599640756134001</v>
      </c>
      <c r="O332" s="10">
        <v>-76.011394237259097</v>
      </c>
      <c r="P332" s="22">
        <v>486</v>
      </c>
      <c r="Q332" s="23">
        <v>44278</v>
      </c>
      <c r="R332" s="22" t="s">
        <v>27</v>
      </c>
      <c r="S332" s="22" t="s">
        <v>517</v>
      </c>
      <c r="T332" s="24">
        <f t="shared" si="6"/>
        <v>536.5440000000001</v>
      </c>
    </row>
    <row r="333" spans="1:20" x14ac:dyDescent="0.25">
      <c r="A333" s="8">
        <v>1075</v>
      </c>
      <c r="B333" s="8" t="s">
        <v>19</v>
      </c>
      <c r="C333" s="8">
        <v>4</v>
      </c>
      <c r="D333" s="8" t="s">
        <v>846</v>
      </c>
      <c r="E333" s="8" t="s">
        <v>853</v>
      </c>
      <c r="F333" s="18" t="s">
        <v>848</v>
      </c>
      <c r="G333" s="18" t="s">
        <v>23</v>
      </c>
      <c r="H333" s="18">
        <v>270</v>
      </c>
      <c r="I333" s="18">
        <v>1065</v>
      </c>
      <c r="J333" s="20" t="s">
        <v>854</v>
      </c>
      <c r="K333" s="20" t="s">
        <v>25</v>
      </c>
      <c r="L333" s="27" t="s">
        <v>26</v>
      </c>
      <c r="M333" s="27" t="s">
        <v>26</v>
      </c>
      <c r="N333" s="21">
        <v>41.587851660181897</v>
      </c>
      <c r="O333" s="10">
        <v>-75.992626365019504</v>
      </c>
      <c r="P333" s="22">
        <v>94</v>
      </c>
      <c r="Q333" s="23">
        <v>44278</v>
      </c>
      <c r="R333" s="22" t="s">
        <v>27</v>
      </c>
      <c r="S333" s="22" t="s">
        <v>28</v>
      </c>
      <c r="T333" s="24">
        <f t="shared" si="6"/>
        <v>103.77600000000001</v>
      </c>
    </row>
    <row r="334" spans="1:20" x14ac:dyDescent="0.25">
      <c r="A334" s="8">
        <v>1076</v>
      </c>
      <c r="B334" s="8" t="s">
        <v>19</v>
      </c>
      <c r="C334" s="8">
        <v>4</v>
      </c>
      <c r="D334" s="8" t="s">
        <v>846</v>
      </c>
      <c r="E334" s="8" t="s">
        <v>855</v>
      </c>
      <c r="F334" s="18" t="s">
        <v>848</v>
      </c>
      <c r="G334" s="18" t="s">
        <v>23</v>
      </c>
      <c r="H334" s="18">
        <v>300</v>
      </c>
      <c r="I334" s="18">
        <v>577</v>
      </c>
      <c r="J334" s="20" t="s">
        <v>856</v>
      </c>
      <c r="K334" s="20" t="s">
        <v>25</v>
      </c>
      <c r="L334" s="27" t="s">
        <v>26</v>
      </c>
      <c r="M334" s="27" t="s">
        <v>26</v>
      </c>
      <c r="N334" s="21">
        <v>41.578301430872401</v>
      </c>
      <c r="O334" s="10">
        <v>-75.9719880163927</v>
      </c>
      <c r="P334" s="22">
        <v>727</v>
      </c>
      <c r="Q334" s="23">
        <v>44278</v>
      </c>
      <c r="R334" s="22" t="s">
        <v>27</v>
      </c>
      <c r="S334" s="22" t="s">
        <v>38</v>
      </c>
      <c r="T334" s="24">
        <f t="shared" si="6"/>
        <v>802.60800000000006</v>
      </c>
    </row>
    <row r="335" spans="1:20" x14ac:dyDescent="0.25">
      <c r="A335" s="8">
        <v>1077</v>
      </c>
      <c r="B335" s="8" t="s">
        <v>19</v>
      </c>
      <c r="C335" s="8">
        <v>4</v>
      </c>
      <c r="D335" s="8" t="s">
        <v>846</v>
      </c>
      <c r="E335" s="8" t="s">
        <v>566</v>
      </c>
      <c r="F335" s="18" t="s">
        <v>848</v>
      </c>
      <c r="G335" s="18" t="s">
        <v>23</v>
      </c>
      <c r="H335" s="18">
        <v>500</v>
      </c>
      <c r="I335" s="18">
        <v>1619</v>
      </c>
      <c r="J335" s="20" t="s">
        <v>857</v>
      </c>
      <c r="K335" s="20" t="s">
        <v>25</v>
      </c>
      <c r="L335" s="27" t="s">
        <v>26</v>
      </c>
      <c r="M335" s="27" t="s">
        <v>26</v>
      </c>
      <c r="N335" s="21">
        <v>41.559082229443703</v>
      </c>
      <c r="O335" s="10">
        <v>-75.8415144290162</v>
      </c>
      <c r="P335" s="22">
        <v>174</v>
      </c>
      <c r="Q335" s="23">
        <v>44273</v>
      </c>
      <c r="R335" s="22" t="s">
        <v>27</v>
      </c>
      <c r="S335" s="22" t="s">
        <v>38</v>
      </c>
      <c r="T335" s="24">
        <f t="shared" si="6"/>
        <v>192.096</v>
      </c>
    </row>
    <row r="336" spans="1:20" x14ac:dyDescent="0.25">
      <c r="A336" s="8">
        <v>1078</v>
      </c>
      <c r="B336" s="8" t="s">
        <v>19</v>
      </c>
      <c r="C336" s="8">
        <v>4</v>
      </c>
      <c r="D336" s="8" t="s">
        <v>846</v>
      </c>
      <c r="E336" s="8" t="s">
        <v>858</v>
      </c>
      <c r="F336" s="18" t="s">
        <v>859</v>
      </c>
      <c r="G336" s="18" t="s">
        <v>706</v>
      </c>
      <c r="H336" s="18">
        <v>210</v>
      </c>
      <c r="I336" s="18">
        <v>347</v>
      </c>
      <c r="J336" s="20" t="s">
        <v>860</v>
      </c>
      <c r="K336" s="20" t="s">
        <v>25</v>
      </c>
      <c r="L336" s="27" t="s">
        <v>26</v>
      </c>
      <c r="M336" s="27" t="s">
        <v>26</v>
      </c>
      <c r="N336" s="21">
        <v>41.479501433619397</v>
      </c>
      <c r="O336" s="10">
        <v>-75.992036379065397</v>
      </c>
      <c r="P336" s="22">
        <v>131</v>
      </c>
      <c r="Q336" s="23">
        <v>44273</v>
      </c>
      <c r="R336" s="22" t="s">
        <v>27</v>
      </c>
      <c r="S336" s="22" t="s">
        <v>38</v>
      </c>
      <c r="T336" s="24">
        <f t="shared" si="6"/>
        <v>144.62400000000002</v>
      </c>
    </row>
    <row r="337" spans="1:20" x14ac:dyDescent="0.25">
      <c r="A337" s="8">
        <v>1079</v>
      </c>
      <c r="B337" s="8" t="s">
        <v>19</v>
      </c>
      <c r="C337" s="8">
        <v>4</v>
      </c>
      <c r="D337" s="8" t="s">
        <v>846</v>
      </c>
      <c r="E337" s="8" t="s">
        <v>858</v>
      </c>
      <c r="F337" s="18" t="s">
        <v>859</v>
      </c>
      <c r="G337" s="18" t="s">
        <v>706</v>
      </c>
      <c r="H337" s="18">
        <v>260</v>
      </c>
      <c r="I337" s="18">
        <v>1928</v>
      </c>
      <c r="J337" s="20" t="s">
        <v>861</v>
      </c>
      <c r="K337" s="20" t="s">
        <v>25</v>
      </c>
      <c r="L337" s="27" t="s">
        <v>26</v>
      </c>
      <c r="M337" s="27" t="s">
        <v>26</v>
      </c>
      <c r="N337" s="21">
        <v>41.5119791992933</v>
      </c>
      <c r="O337" s="10">
        <v>-75.973872026866204</v>
      </c>
      <c r="P337" s="22">
        <v>56</v>
      </c>
      <c r="Q337" s="23">
        <v>44273</v>
      </c>
      <c r="R337" s="22" t="s">
        <v>27</v>
      </c>
      <c r="S337" s="22" t="s">
        <v>38</v>
      </c>
      <c r="T337" s="24">
        <f t="shared" si="6"/>
        <v>61.824000000000005</v>
      </c>
    </row>
    <row r="338" spans="1:20" x14ac:dyDescent="0.25">
      <c r="A338" s="8">
        <v>1080</v>
      </c>
      <c r="B338" s="8" t="s">
        <v>19</v>
      </c>
      <c r="C338" s="8">
        <v>4</v>
      </c>
      <c r="D338" s="8" t="s">
        <v>846</v>
      </c>
      <c r="E338" s="8" t="s">
        <v>858</v>
      </c>
      <c r="F338" s="18" t="s">
        <v>859</v>
      </c>
      <c r="G338" s="18" t="s">
        <v>706</v>
      </c>
      <c r="H338" s="18">
        <v>290</v>
      </c>
      <c r="I338" s="18">
        <v>200</v>
      </c>
      <c r="J338" s="20" t="s">
        <v>862</v>
      </c>
      <c r="K338" s="20" t="s">
        <v>25</v>
      </c>
      <c r="L338" s="27" t="s">
        <v>26</v>
      </c>
      <c r="M338" s="27" t="s">
        <v>26</v>
      </c>
      <c r="N338" s="21">
        <v>41.524946862495902</v>
      </c>
      <c r="O338" s="10">
        <v>-75.950135945661302</v>
      </c>
      <c r="P338" s="22">
        <v>5881</v>
      </c>
      <c r="Q338" s="23">
        <v>44278</v>
      </c>
      <c r="R338" s="22" t="s">
        <v>27</v>
      </c>
      <c r="S338" s="22" t="s">
        <v>38</v>
      </c>
      <c r="T338" s="24">
        <f t="shared" si="6"/>
        <v>6492.6240000000007</v>
      </c>
    </row>
    <row r="339" spans="1:20" x14ac:dyDescent="0.25">
      <c r="A339" s="8">
        <v>1081</v>
      </c>
      <c r="B339" s="8" t="s">
        <v>19</v>
      </c>
      <c r="C339" s="8">
        <v>4</v>
      </c>
      <c r="D339" s="8" t="s">
        <v>846</v>
      </c>
      <c r="E339" s="8" t="s">
        <v>858</v>
      </c>
      <c r="F339" s="18" t="s">
        <v>859</v>
      </c>
      <c r="G339" s="18" t="s">
        <v>706</v>
      </c>
      <c r="H339" s="18">
        <v>290</v>
      </c>
      <c r="I339" s="18">
        <v>625</v>
      </c>
      <c r="J339" s="20" t="s">
        <v>863</v>
      </c>
      <c r="K339" s="20" t="s">
        <v>25</v>
      </c>
      <c r="L339" s="27" t="s">
        <v>26</v>
      </c>
      <c r="M339" s="27" t="s">
        <v>26</v>
      </c>
      <c r="N339" s="21">
        <v>41.526050024888399</v>
      </c>
      <c r="O339" s="10">
        <v>-75.9496987649554</v>
      </c>
      <c r="P339" s="22">
        <v>1821</v>
      </c>
      <c r="Q339" s="23">
        <v>44278</v>
      </c>
      <c r="R339" s="22" t="s">
        <v>33</v>
      </c>
      <c r="S339" s="22" t="s">
        <v>517</v>
      </c>
      <c r="T339" s="24">
        <f t="shared" si="6"/>
        <v>2010.3840000000002</v>
      </c>
    </row>
    <row r="340" spans="1:20" x14ac:dyDescent="0.25">
      <c r="A340" s="8">
        <v>1082</v>
      </c>
      <c r="B340" s="8" t="s">
        <v>19</v>
      </c>
      <c r="C340" s="8">
        <v>4</v>
      </c>
      <c r="D340" s="8" t="s">
        <v>846</v>
      </c>
      <c r="E340" s="8" t="s">
        <v>858</v>
      </c>
      <c r="F340" s="18" t="s">
        <v>859</v>
      </c>
      <c r="G340" s="18" t="s">
        <v>706</v>
      </c>
      <c r="H340" s="18">
        <v>290</v>
      </c>
      <c r="I340" s="18">
        <v>3156</v>
      </c>
      <c r="J340" s="20" t="s">
        <v>864</v>
      </c>
      <c r="K340" s="20" t="s">
        <v>25</v>
      </c>
      <c r="L340" s="27" t="s">
        <v>26</v>
      </c>
      <c r="M340" s="27" t="s">
        <v>26</v>
      </c>
      <c r="N340" s="21">
        <v>41.532855006434701</v>
      </c>
      <c r="O340" s="10">
        <v>-75.948338554936001</v>
      </c>
      <c r="P340" s="22">
        <v>419</v>
      </c>
      <c r="Q340" s="23">
        <v>44273</v>
      </c>
      <c r="R340" s="22" t="s">
        <v>27</v>
      </c>
      <c r="S340" s="22" t="s">
        <v>38</v>
      </c>
      <c r="T340" s="24">
        <f t="shared" si="6"/>
        <v>462.57600000000002</v>
      </c>
    </row>
    <row r="341" spans="1:20" x14ac:dyDescent="0.25">
      <c r="A341" s="8">
        <v>1083</v>
      </c>
      <c r="B341" s="8" t="s">
        <v>19</v>
      </c>
      <c r="C341" s="8">
        <v>4</v>
      </c>
      <c r="D341" s="8" t="s">
        <v>846</v>
      </c>
      <c r="E341" s="8" t="s">
        <v>865</v>
      </c>
      <c r="F341" s="18" t="s">
        <v>346</v>
      </c>
      <c r="G341" s="18" t="s">
        <v>706</v>
      </c>
      <c r="H341" s="18">
        <v>300</v>
      </c>
      <c r="I341" s="18">
        <v>1008</v>
      </c>
      <c r="J341" s="20" t="s">
        <v>866</v>
      </c>
      <c r="K341" s="20" t="s">
        <v>25</v>
      </c>
      <c r="L341" s="27" t="s">
        <v>26</v>
      </c>
      <c r="M341" s="27" t="s">
        <v>26</v>
      </c>
      <c r="N341" s="21">
        <v>41.536480140414</v>
      </c>
      <c r="O341" s="10">
        <v>-75.947690626916199</v>
      </c>
      <c r="P341" s="22">
        <v>352</v>
      </c>
      <c r="Q341" s="23">
        <v>44273</v>
      </c>
      <c r="R341" s="22" t="s">
        <v>27</v>
      </c>
      <c r="S341" s="22" t="s">
        <v>517</v>
      </c>
      <c r="T341" s="24">
        <f t="shared" si="6"/>
        <v>388.60800000000006</v>
      </c>
    </row>
    <row r="342" spans="1:20" x14ac:dyDescent="0.25">
      <c r="A342" s="8">
        <v>1084</v>
      </c>
      <c r="B342" s="8" t="s">
        <v>19</v>
      </c>
      <c r="C342" s="8">
        <v>4</v>
      </c>
      <c r="D342" s="8" t="s">
        <v>846</v>
      </c>
      <c r="E342" s="8" t="s">
        <v>855</v>
      </c>
      <c r="F342" s="18" t="s">
        <v>859</v>
      </c>
      <c r="G342" s="18" t="s">
        <v>706</v>
      </c>
      <c r="H342" s="18">
        <v>330</v>
      </c>
      <c r="I342" s="18">
        <v>2100</v>
      </c>
      <c r="J342" s="20" t="s">
        <v>867</v>
      </c>
      <c r="K342" s="20" t="s">
        <v>25</v>
      </c>
      <c r="L342" s="27" t="s">
        <v>26</v>
      </c>
      <c r="M342" s="27" t="s">
        <v>26</v>
      </c>
      <c r="N342" s="21">
        <v>41.555020822339102</v>
      </c>
      <c r="O342" s="10">
        <v>-75.940139627479994</v>
      </c>
      <c r="P342" s="22">
        <v>545</v>
      </c>
      <c r="Q342" s="23">
        <v>44278</v>
      </c>
      <c r="R342" s="22" t="s">
        <v>27</v>
      </c>
      <c r="S342" s="22" t="s">
        <v>517</v>
      </c>
      <c r="T342" s="24">
        <f t="shared" si="6"/>
        <v>601.68000000000006</v>
      </c>
    </row>
    <row r="343" spans="1:20" x14ac:dyDescent="0.25">
      <c r="A343" s="8">
        <v>1085</v>
      </c>
      <c r="B343" s="8" t="s">
        <v>19</v>
      </c>
      <c r="C343" s="8">
        <v>4</v>
      </c>
      <c r="D343" s="8" t="s">
        <v>846</v>
      </c>
      <c r="E343" s="8" t="s">
        <v>855</v>
      </c>
      <c r="F343" s="18" t="s">
        <v>868</v>
      </c>
      <c r="G343" s="18" t="s">
        <v>869</v>
      </c>
      <c r="H343" s="18">
        <v>230</v>
      </c>
      <c r="I343" s="18">
        <v>0</v>
      </c>
      <c r="J343" s="20" t="s">
        <v>870</v>
      </c>
      <c r="K343" s="20" t="s">
        <v>25</v>
      </c>
      <c r="L343" s="27" t="s">
        <v>26</v>
      </c>
      <c r="M343" s="27" t="s">
        <v>26</v>
      </c>
      <c r="N343" s="21">
        <v>41.508801335729302</v>
      </c>
      <c r="O343" s="10">
        <v>-75.935655435200502</v>
      </c>
      <c r="P343" s="22">
        <v>1322</v>
      </c>
      <c r="Q343" s="23">
        <v>44273</v>
      </c>
      <c r="R343" s="22" t="s">
        <v>27</v>
      </c>
      <c r="S343" s="22" t="s">
        <v>38</v>
      </c>
      <c r="T343" s="24">
        <f t="shared" si="6"/>
        <v>1459.4880000000001</v>
      </c>
    </row>
    <row r="344" spans="1:20" x14ac:dyDescent="0.25">
      <c r="A344" s="8">
        <v>1086</v>
      </c>
      <c r="B344" s="8" t="s">
        <v>19</v>
      </c>
      <c r="C344" s="8">
        <v>4</v>
      </c>
      <c r="D344" s="8" t="s">
        <v>846</v>
      </c>
      <c r="E344" s="8" t="s">
        <v>855</v>
      </c>
      <c r="F344" s="18" t="s">
        <v>868</v>
      </c>
      <c r="G344" s="18" t="s">
        <v>869</v>
      </c>
      <c r="H344" s="18">
        <v>230</v>
      </c>
      <c r="I344" s="18">
        <v>1353</v>
      </c>
      <c r="J344" s="20" t="s">
        <v>871</v>
      </c>
      <c r="K344" s="20" t="s">
        <v>25</v>
      </c>
      <c r="L344" s="27" t="s">
        <v>26</v>
      </c>
      <c r="M344" s="27" t="s">
        <v>26</v>
      </c>
      <c r="N344" s="21">
        <v>41.510598604548399</v>
      </c>
      <c r="O344" s="10">
        <v>-75.939429636534399</v>
      </c>
      <c r="P344" s="22">
        <v>99</v>
      </c>
      <c r="Q344" s="23">
        <v>44278</v>
      </c>
      <c r="R344" s="22" t="s">
        <v>33</v>
      </c>
      <c r="S344" s="22" t="s">
        <v>38</v>
      </c>
      <c r="T344" s="24">
        <f t="shared" si="6"/>
        <v>109.29600000000001</v>
      </c>
    </row>
    <row r="345" spans="1:20" x14ac:dyDescent="0.25">
      <c r="A345" s="8">
        <v>1087</v>
      </c>
      <c r="B345" s="8" t="s">
        <v>19</v>
      </c>
      <c r="C345" s="8">
        <v>4</v>
      </c>
      <c r="D345" s="8" t="s">
        <v>846</v>
      </c>
      <c r="E345" s="8" t="s">
        <v>872</v>
      </c>
      <c r="F345" s="18" t="s">
        <v>873</v>
      </c>
      <c r="G345" s="18" t="s">
        <v>491</v>
      </c>
      <c r="H345" s="18">
        <v>450</v>
      </c>
      <c r="I345" s="18">
        <v>0</v>
      </c>
      <c r="J345" s="20" t="s">
        <v>874</v>
      </c>
      <c r="K345" s="20" t="s">
        <v>25</v>
      </c>
      <c r="L345" s="27" t="s">
        <v>26</v>
      </c>
      <c r="M345" s="27" t="s">
        <v>26</v>
      </c>
      <c r="N345" s="21">
        <v>41.639404215707302</v>
      </c>
      <c r="O345" s="10">
        <v>-76.156856003263897</v>
      </c>
      <c r="P345" s="22">
        <v>22</v>
      </c>
      <c r="Q345" s="23">
        <v>44278</v>
      </c>
      <c r="R345" s="22" t="s">
        <v>27</v>
      </c>
      <c r="S345" s="22" t="s">
        <v>34</v>
      </c>
      <c r="T345" s="24">
        <f t="shared" si="6"/>
        <v>24.288000000000004</v>
      </c>
    </row>
    <row r="346" spans="1:20" x14ac:dyDescent="0.25">
      <c r="A346" s="8">
        <v>1088</v>
      </c>
      <c r="B346" s="8" t="s">
        <v>19</v>
      </c>
      <c r="C346" s="8">
        <v>4</v>
      </c>
      <c r="D346" s="8" t="s">
        <v>846</v>
      </c>
      <c r="E346" s="8" t="s">
        <v>865</v>
      </c>
      <c r="F346" s="18" t="s">
        <v>619</v>
      </c>
      <c r="G346" s="18" t="s">
        <v>875</v>
      </c>
      <c r="H346" s="18">
        <v>40</v>
      </c>
      <c r="I346" s="18">
        <v>1865</v>
      </c>
      <c r="J346" s="20" t="s">
        <v>876</v>
      </c>
      <c r="K346" s="20" t="s">
        <v>25</v>
      </c>
      <c r="L346" s="27" t="s">
        <v>26</v>
      </c>
      <c r="M346" s="27" t="s">
        <v>26</v>
      </c>
      <c r="N346" s="21">
        <v>41.538588455229203</v>
      </c>
      <c r="O346" s="10">
        <v>-75.948298654934405</v>
      </c>
      <c r="P346" s="22">
        <v>397</v>
      </c>
      <c r="Q346" s="23">
        <v>44278</v>
      </c>
      <c r="R346" s="22" t="s">
        <v>27</v>
      </c>
      <c r="S346" s="22" t="s">
        <v>28</v>
      </c>
      <c r="T346" s="24">
        <f t="shared" si="6"/>
        <v>438.28800000000001</v>
      </c>
    </row>
    <row r="347" spans="1:20" x14ac:dyDescent="0.25">
      <c r="A347" s="8">
        <v>1089</v>
      </c>
      <c r="B347" s="8" t="s">
        <v>19</v>
      </c>
      <c r="C347" s="8">
        <v>4</v>
      </c>
      <c r="D347" s="8" t="s">
        <v>846</v>
      </c>
      <c r="E347" s="8" t="s">
        <v>853</v>
      </c>
      <c r="F347" s="18" t="s">
        <v>877</v>
      </c>
      <c r="G347" s="18" t="s">
        <v>878</v>
      </c>
      <c r="H347" s="18">
        <v>40</v>
      </c>
      <c r="I347" s="18">
        <v>1193</v>
      </c>
      <c r="J347" s="20" t="s">
        <v>879</v>
      </c>
      <c r="K347" s="20" t="s">
        <v>25</v>
      </c>
      <c r="L347" s="27" t="s">
        <v>26</v>
      </c>
      <c r="M347" s="27" t="s">
        <v>26</v>
      </c>
      <c r="N347" s="21">
        <v>41.6100461358592</v>
      </c>
      <c r="O347" s="10">
        <v>-75.983053522525907</v>
      </c>
      <c r="P347" s="22">
        <v>1443</v>
      </c>
      <c r="Q347" s="23">
        <v>44278</v>
      </c>
      <c r="R347" s="22" t="s">
        <v>27</v>
      </c>
      <c r="S347" s="22" t="s">
        <v>34</v>
      </c>
      <c r="T347" s="24">
        <f t="shared" si="6"/>
        <v>1593.0720000000001</v>
      </c>
    </row>
    <row r="348" spans="1:20" x14ac:dyDescent="0.25">
      <c r="A348" s="8">
        <v>3</v>
      </c>
      <c r="B348" s="8" t="s">
        <v>19</v>
      </c>
      <c r="C348" s="8">
        <v>8</v>
      </c>
      <c r="D348" s="8" t="s">
        <v>880</v>
      </c>
      <c r="E348" s="8" t="s">
        <v>881</v>
      </c>
      <c r="F348" s="18" t="s">
        <v>882</v>
      </c>
      <c r="G348" s="18" t="s">
        <v>568</v>
      </c>
      <c r="H348" s="18">
        <v>470</v>
      </c>
      <c r="I348" s="18">
        <v>0</v>
      </c>
      <c r="J348" s="20" t="s">
        <v>883</v>
      </c>
      <c r="K348" s="20" t="s">
        <v>25</v>
      </c>
      <c r="L348" s="27" t="s">
        <v>26</v>
      </c>
      <c r="M348" s="27" t="s">
        <v>26</v>
      </c>
      <c r="N348" s="21">
        <v>40.019295266210897</v>
      </c>
      <c r="O348" s="10">
        <v>-77.094668696764899</v>
      </c>
      <c r="P348" s="22">
        <v>68</v>
      </c>
      <c r="Q348" s="23">
        <v>44224</v>
      </c>
      <c r="R348" s="22" t="s">
        <v>27</v>
      </c>
      <c r="S348" s="22" t="s">
        <v>517</v>
      </c>
      <c r="T348" s="24">
        <f t="shared" ref="T348:T411" si="7">P348*$X$9</f>
        <v>85</v>
      </c>
    </row>
    <row r="349" spans="1:20" x14ac:dyDescent="0.25">
      <c r="A349" s="8">
        <v>4</v>
      </c>
      <c r="B349" s="8" t="s">
        <v>19</v>
      </c>
      <c r="C349" s="8">
        <v>8</v>
      </c>
      <c r="D349" s="8" t="s">
        <v>880</v>
      </c>
      <c r="E349" s="8" t="s">
        <v>884</v>
      </c>
      <c r="F349" s="18" t="s">
        <v>885</v>
      </c>
      <c r="G349" s="18" t="s">
        <v>886</v>
      </c>
      <c r="H349" s="18">
        <v>40</v>
      </c>
      <c r="I349" s="18">
        <v>1740</v>
      </c>
      <c r="J349" s="20" t="s">
        <v>887</v>
      </c>
      <c r="K349" s="20" t="s">
        <v>25</v>
      </c>
      <c r="L349" s="27" t="s">
        <v>26</v>
      </c>
      <c r="M349" s="27" t="s">
        <v>26</v>
      </c>
      <c r="N349" s="21">
        <v>39.742931604569101</v>
      </c>
      <c r="O349" s="10">
        <v>-77.419865211647505</v>
      </c>
      <c r="P349" s="22">
        <v>105</v>
      </c>
      <c r="Q349" s="23">
        <v>44252</v>
      </c>
      <c r="R349" s="22" t="s">
        <v>27</v>
      </c>
      <c r="S349" s="22" t="s">
        <v>34</v>
      </c>
      <c r="T349" s="24">
        <f t="shared" si="7"/>
        <v>131.25</v>
      </c>
    </row>
    <row r="350" spans="1:20" x14ac:dyDescent="0.25">
      <c r="A350" s="8">
        <v>5</v>
      </c>
      <c r="B350" s="8" t="s">
        <v>19</v>
      </c>
      <c r="C350" s="8">
        <v>8</v>
      </c>
      <c r="D350" s="8" t="s">
        <v>880</v>
      </c>
      <c r="E350" s="8" t="s">
        <v>888</v>
      </c>
      <c r="F350" s="18" t="s">
        <v>889</v>
      </c>
      <c r="G350" s="18" t="s">
        <v>890</v>
      </c>
      <c r="H350" s="19">
        <v>230</v>
      </c>
      <c r="I350" s="19">
        <v>2954</v>
      </c>
      <c r="J350" s="20" t="s">
        <v>891</v>
      </c>
      <c r="K350" s="20" t="s">
        <v>25</v>
      </c>
      <c r="L350" s="27" t="s">
        <v>26</v>
      </c>
      <c r="M350" s="27" t="s">
        <v>26</v>
      </c>
      <c r="N350" s="21">
        <v>39.8424798984692</v>
      </c>
      <c r="O350" s="10">
        <v>-77.261832183162994</v>
      </c>
      <c r="P350" s="22">
        <v>1154</v>
      </c>
      <c r="Q350" s="23">
        <v>44243</v>
      </c>
      <c r="R350" s="22" t="s">
        <v>27</v>
      </c>
      <c r="S350" s="22" t="s">
        <v>28</v>
      </c>
      <c r="T350" s="24">
        <f t="shared" si="7"/>
        <v>1442.5</v>
      </c>
    </row>
    <row r="351" spans="1:20" x14ac:dyDescent="0.25">
      <c r="A351" s="8">
        <v>6</v>
      </c>
      <c r="B351" s="8" t="s">
        <v>19</v>
      </c>
      <c r="C351" s="8">
        <v>8</v>
      </c>
      <c r="D351" s="8" t="s">
        <v>880</v>
      </c>
      <c r="E351" s="8" t="s">
        <v>892</v>
      </c>
      <c r="F351" s="18" t="s">
        <v>893</v>
      </c>
      <c r="G351" s="18" t="s">
        <v>890</v>
      </c>
      <c r="H351" s="19">
        <v>460</v>
      </c>
      <c r="I351" s="19">
        <v>375</v>
      </c>
      <c r="J351" s="20" t="s">
        <v>894</v>
      </c>
      <c r="K351" s="20" t="s">
        <v>25</v>
      </c>
      <c r="L351" s="27" t="s">
        <v>26</v>
      </c>
      <c r="M351" s="27" t="s">
        <v>26</v>
      </c>
      <c r="N351" s="21">
        <v>39.862297399246799</v>
      </c>
      <c r="O351" s="10">
        <v>-77.064004153809407</v>
      </c>
      <c r="P351" s="22">
        <v>1800</v>
      </c>
      <c r="Q351" s="23">
        <v>44252</v>
      </c>
      <c r="R351" s="22" t="s">
        <v>27</v>
      </c>
      <c r="S351" s="22" t="s">
        <v>28</v>
      </c>
      <c r="T351" s="24">
        <f t="shared" si="7"/>
        <v>2250</v>
      </c>
    </row>
    <row r="352" spans="1:20" x14ac:dyDescent="0.25">
      <c r="A352" s="8">
        <v>7</v>
      </c>
      <c r="B352" s="8" t="s">
        <v>19</v>
      </c>
      <c r="C352" s="8">
        <v>8</v>
      </c>
      <c r="D352" s="8" t="s">
        <v>880</v>
      </c>
      <c r="E352" s="8" t="s">
        <v>895</v>
      </c>
      <c r="F352" s="18" t="s">
        <v>896</v>
      </c>
      <c r="G352" s="18" t="s">
        <v>897</v>
      </c>
      <c r="H352" s="19">
        <v>90</v>
      </c>
      <c r="I352" s="19">
        <v>0</v>
      </c>
      <c r="J352" s="20" t="s">
        <v>898</v>
      </c>
      <c r="K352" s="20" t="s">
        <v>25</v>
      </c>
      <c r="L352" s="27" t="s">
        <v>26</v>
      </c>
      <c r="M352" s="27" t="s">
        <v>26</v>
      </c>
      <c r="N352" s="21">
        <v>39.892130446005801</v>
      </c>
      <c r="O352" s="10">
        <v>-77.246140018452095</v>
      </c>
      <c r="P352" s="22">
        <v>1614</v>
      </c>
      <c r="Q352" s="23">
        <v>44243</v>
      </c>
      <c r="R352" s="22" t="s">
        <v>27</v>
      </c>
      <c r="S352" s="22" t="s">
        <v>38</v>
      </c>
      <c r="T352" s="24">
        <f t="shared" si="7"/>
        <v>2017.5</v>
      </c>
    </row>
    <row r="353" spans="1:20" x14ac:dyDescent="0.25">
      <c r="A353" s="8">
        <v>8</v>
      </c>
      <c r="B353" s="8" t="s">
        <v>19</v>
      </c>
      <c r="C353" s="8">
        <v>8</v>
      </c>
      <c r="D353" s="8" t="s">
        <v>880</v>
      </c>
      <c r="E353" s="8" t="s">
        <v>899</v>
      </c>
      <c r="F353" s="18" t="s">
        <v>900</v>
      </c>
      <c r="G353" s="18" t="s">
        <v>901</v>
      </c>
      <c r="H353" s="19">
        <v>14</v>
      </c>
      <c r="I353" s="19">
        <v>1907</v>
      </c>
      <c r="J353" s="20" t="s">
        <v>902</v>
      </c>
      <c r="K353" s="20" t="s">
        <v>25</v>
      </c>
      <c r="L353" s="27" t="s">
        <v>26</v>
      </c>
      <c r="M353" s="27" t="s">
        <v>26</v>
      </c>
      <c r="N353" s="21">
        <v>39.8326634828734</v>
      </c>
      <c r="O353" s="10">
        <v>-77.002154949445099</v>
      </c>
      <c r="P353" s="22">
        <v>1582</v>
      </c>
      <c r="Q353" s="23">
        <v>44243</v>
      </c>
      <c r="R353" s="22" t="s">
        <v>27</v>
      </c>
      <c r="S353" s="22" t="s">
        <v>38</v>
      </c>
      <c r="T353" s="24">
        <f t="shared" si="7"/>
        <v>1977.5</v>
      </c>
    </row>
    <row r="354" spans="1:20" x14ac:dyDescent="0.25">
      <c r="A354" s="8">
        <v>9</v>
      </c>
      <c r="B354" s="8" t="s">
        <v>19</v>
      </c>
      <c r="C354" s="8">
        <v>8</v>
      </c>
      <c r="D354" s="8" t="s">
        <v>880</v>
      </c>
      <c r="E354" s="8" t="s">
        <v>899</v>
      </c>
      <c r="F354" s="18" t="s">
        <v>900</v>
      </c>
      <c r="G354" s="18" t="s">
        <v>901</v>
      </c>
      <c r="H354" s="19">
        <v>70</v>
      </c>
      <c r="I354" s="19">
        <v>676</v>
      </c>
      <c r="J354" s="20" t="s">
        <v>903</v>
      </c>
      <c r="K354" s="20" t="s">
        <v>25</v>
      </c>
      <c r="L354" s="27" t="s">
        <v>26</v>
      </c>
      <c r="M354" s="27" t="s">
        <v>26</v>
      </c>
      <c r="N354" s="21">
        <v>39.865938572349499</v>
      </c>
      <c r="O354" s="10">
        <v>-77.023462208118602</v>
      </c>
      <c r="P354" s="22">
        <v>351</v>
      </c>
      <c r="Q354" s="23">
        <v>44224</v>
      </c>
      <c r="R354" s="22" t="s">
        <v>27</v>
      </c>
      <c r="S354" s="22" t="s">
        <v>38</v>
      </c>
      <c r="T354" s="24">
        <f t="shared" si="7"/>
        <v>438.75</v>
      </c>
    </row>
    <row r="355" spans="1:20" x14ac:dyDescent="0.25">
      <c r="A355" s="8">
        <v>10</v>
      </c>
      <c r="B355" s="8" t="s">
        <v>19</v>
      </c>
      <c r="C355" s="8">
        <v>8</v>
      </c>
      <c r="D355" s="8" t="s">
        <v>880</v>
      </c>
      <c r="E355" s="8" t="s">
        <v>899</v>
      </c>
      <c r="F355" s="18" t="s">
        <v>900</v>
      </c>
      <c r="G355" s="18" t="s">
        <v>901</v>
      </c>
      <c r="H355" s="19">
        <v>70</v>
      </c>
      <c r="I355" s="19">
        <v>1855</v>
      </c>
      <c r="J355" s="20" t="s">
        <v>904</v>
      </c>
      <c r="K355" s="20" t="s">
        <v>25</v>
      </c>
      <c r="L355" s="27" t="s">
        <v>26</v>
      </c>
      <c r="M355" s="27" t="s">
        <v>26</v>
      </c>
      <c r="N355" s="21">
        <v>39.868684544506998</v>
      </c>
      <c r="O355" s="10">
        <v>-77.025680242045993</v>
      </c>
      <c r="P355" s="22">
        <v>342</v>
      </c>
      <c r="Q355" s="23">
        <v>44224</v>
      </c>
      <c r="R355" s="22" t="s">
        <v>27</v>
      </c>
      <c r="S355" s="22" t="s">
        <v>517</v>
      </c>
      <c r="T355" s="24">
        <f t="shared" si="7"/>
        <v>427.5</v>
      </c>
    </row>
    <row r="356" spans="1:20" x14ac:dyDescent="0.25">
      <c r="A356" s="8">
        <v>11</v>
      </c>
      <c r="B356" s="8" t="s">
        <v>19</v>
      </c>
      <c r="C356" s="8">
        <v>8</v>
      </c>
      <c r="D356" s="8" t="s">
        <v>880</v>
      </c>
      <c r="E356" s="8" t="s">
        <v>899</v>
      </c>
      <c r="F356" s="18" t="s">
        <v>900</v>
      </c>
      <c r="G356" s="18" t="s">
        <v>901</v>
      </c>
      <c r="H356" s="19">
        <v>70</v>
      </c>
      <c r="I356" s="19">
        <v>1940</v>
      </c>
      <c r="J356" s="20" t="s">
        <v>905</v>
      </c>
      <c r="K356" s="20" t="s">
        <v>25</v>
      </c>
      <c r="L356" s="27" t="s">
        <v>26</v>
      </c>
      <c r="M356" s="27" t="s">
        <v>26</v>
      </c>
      <c r="N356" s="21">
        <v>39.868883166052299</v>
      </c>
      <c r="O356" s="10">
        <v>-77.025839348332894</v>
      </c>
      <c r="P356" s="22">
        <v>115</v>
      </c>
      <c r="Q356" s="23">
        <v>44224</v>
      </c>
      <c r="R356" s="22" t="s">
        <v>27</v>
      </c>
      <c r="S356" s="22" t="s">
        <v>38</v>
      </c>
      <c r="T356" s="24">
        <f t="shared" si="7"/>
        <v>143.75</v>
      </c>
    </row>
    <row r="357" spans="1:20" x14ac:dyDescent="0.25">
      <c r="A357" s="8">
        <v>12</v>
      </c>
      <c r="B357" s="8" t="s">
        <v>19</v>
      </c>
      <c r="C357" s="8">
        <v>8</v>
      </c>
      <c r="D357" s="8" t="s">
        <v>880</v>
      </c>
      <c r="E357" s="8" t="s">
        <v>906</v>
      </c>
      <c r="F357" s="18" t="s">
        <v>900</v>
      </c>
      <c r="G357" s="18" t="s">
        <v>901</v>
      </c>
      <c r="H357" s="19">
        <v>100</v>
      </c>
      <c r="I357" s="19">
        <v>0</v>
      </c>
      <c r="J357" s="20" t="s">
        <v>907</v>
      </c>
      <c r="K357" s="20" t="s">
        <v>25</v>
      </c>
      <c r="L357" s="27" t="s">
        <v>26</v>
      </c>
      <c r="M357" s="27" t="s">
        <v>26</v>
      </c>
      <c r="N357" s="21">
        <v>39.888242042927999</v>
      </c>
      <c r="O357" s="10">
        <v>-77.037397522107497</v>
      </c>
      <c r="P357" s="22">
        <v>1074</v>
      </c>
      <c r="Q357" s="23">
        <v>44224</v>
      </c>
      <c r="R357" s="22" t="s">
        <v>27</v>
      </c>
      <c r="S357" s="22" t="s">
        <v>517</v>
      </c>
      <c r="T357" s="24">
        <f t="shared" si="7"/>
        <v>1342.5</v>
      </c>
    </row>
    <row r="358" spans="1:20" x14ac:dyDescent="0.25">
      <c r="A358" s="8">
        <v>13</v>
      </c>
      <c r="B358" s="8" t="s">
        <v>19</v>
      </c>
      <c r="C358" s="8">
        <v>8</v>
      </c>
      <c r="D358" s="8" t="s">
        <v>880</v>
      </c>
      <c r="E358" s="8" t="s">
        <v>906</v>
      </c>
      <c r="F358" s="18" t="s">
        <v>900</v>
      </c>
      <c r="G358" s="18" t="s">
        <v>901</v>
      </c>
      <c r="H358" s="19">
        <v>110</v>
      </c>
      <c r="I358" s="19">
        <v>0</v>
      </c>
      <c r="J358" s="20" t="s">
        <v>908</v>
      </c>
      <c r="K358" s="20" t="s">
        <v>25</v>
      </c>
      <c r="L358" s="27" t="s">
        <v>26</v>
      </c>
      <c r="M358" s="27" t="s">
        <v>26</v>
      </c>
      <c r="N358" s="21">
        <v>39.896958942087601</v>
      </c>
      <c r="O358" s="10">
        <v>-77.042535965482699</v>
      </c>
      <c r="P358" s="22">
        <v>339</v>
      </c>
      <c r="Q358" s="23">
        <v>44224</v>
      </c>
      <c r="R358" s="22" t="s">
        <v>27</v>
      </c>
      <c r="S358" s="22" t="s">
        <v>517</v>
      </c>
      <c r="T358" s="24">
        <f t="shared" si="7"/>
        <v>423.75</v>
      </c>
    </row>
    <row r="359" spans="1:20" x14ac:dyDescent="0.25">
      <c r="A359" s="8">
        <v>14</v>
      </c>
      <c r="B359" s="8" t="s">
        <v>19</v>
      </c>
      <c r="C359" s="8">
        <v>8</v>
      </c>
      <c r="D359" s="8" t="s">
        <v>880</v>
      </c>
      <c r="E359" s="8" t="s">
        <v>909</v>
      </c>
      <c r="F359" s="18" t="s">
        <v>910</v>
      </c>
      <c r="G359" s="18" t="s">
        <v>911</v>
      </c>
      <c r="H359" s="18">
        <v>50</v>
      </c>
      <c r="I359" s="18">
        <v>967</v>
      </c>
      <c r="J359" s="20" t="s">
        <v>912</v>
      </c>
      <c r="K359" s="20" t="s">
        <v>25</v>
      </c>
      <c r="L359" s="27" t="s">
        <v>26</v>
      </c>
      <c r="M359" s="27" t="s">
        <v>26</v>
      </c>
      <c r="N359" s="21">
        <v>39.7662264263247</v>
      </c>
      <c r="O359" s="10">
        <v>-77.381754841807094</v>
      </c>
      <c r="P359" s="22">
        <v>2778</v>
      </c>
      <c r="Q359" s="23">
        <v>44252</v>
      </c>
      <c r="R359" s="22" t="s">
        <v>27</v>
      </c>
      <c r="S359" s="22" t="s">
        <v>38</v>
      </c>
      <c r="T359" s="24">
        <f t="shared" si="7"/>
        <v>3472.5</v>
      </c>
    </row>
    <row r="360" spans="1:20" x14ac:dyDescent="0.25">
      <c r="A360" s="8">
        <v>15</v>
      </c>
      <c r="B360" s="8" t="s">
        <v>19</v>
      </c>
      <c r="C360" s="8">
        <v>8</v>
      </c>
      <c r="D360" s="8" t="s">
        <v>880</v>
      </c>
      <c r="E360" s="8" t="s">
        <v>884</v>
      </c>
      <c r="F360" s="18" t="s">
        <v>910</v>
      </c>
      <c r="G360" s="18" t="s">
        <v>911</v>
      </c>
      <c r="H360" s="18">
        <v>100</v>
      </c>
      <c r="I360" s="18">
        <v>0</v>
      </c>
      <c r="J360" s="20" t="s">
        <v>913</v>
      </c>
      <c r="K360" s="20" t="s">
        <v>25</v>
      </c>
      <c r="L360" s="27" t="s">
        <v>26</v>
      </c>
      <c r="M360" s="27" t="s">
        <v>26</v>
      </c>
      <c r="N360" s="21">
        <v>39.7955777917078</v>
      </c>
      <c r="O360" s="10">
        <v>-77.357305025692199</v>
      </c>
      <c r="P360" s="22">
        <v>632</v>
      </c>
      <c r="Q360" s="23">
        <v>44252</v>
      </c>
      <c r="R360" s="22" t="s">
        <v>27</v>
      </c>
      <c r="S360" s="22" t="s">
        <v>34</v>
      </c>
      <c r="T360" s="24">
        <f t="shared" si="7"/>
        <v>790</v>
      </c>
    </row>
    <row r="361" spans="1:20" x14ac:dyDescent="0.25">
      <c r="A361" s="8">
        <v>16</v>
      </c>
      <c r="B361" s="8" t="s">
        <v>19</v>
      </c>
      <c r="C361" s="8">
        <v>8</v>
      </c>
      <c r="D361" s="8" t="s">
        <v>880</v>
      </c>
      <c r="E361" s="8" t="s">
        <v>914</v>
      </c>
      <c r="F361" s="18" t="s">
        <v>915</v>
      </c>
      <c r="G361" s="18" t="s">
        <v>911</v>
      </c>
      <c r="H361" s="19">
        <v>250</v>
      </c>
      <c r="I361" s="19">
        <v>786</v>
      </c>
      <c r="J361" s="20" t="s">
        <v>916</v>
      </c>
      <c r="K361" s="20" t="s">
        <v>25</v>
      </c>
      <c r="L361" s="27" t="s">
        <v>26</v>
      </c>
      <c r="M361" s="27" t="s">
        <v>26</v>
      </c>
      <c r="N361" s="21">
        <v>39.831015819339697</v>
      </c>
      <c r="O361" s="10">
        <v>-77.219784613209399</v>
      </c>
      <c r="P361" s="22">
        <v>3126</v>
      </c>
      <c r="Q361" s="23">
        <v>44243</v>
      </c>
      <c r="R361" s="22" t="s">
        <v>27</v>
      </c>
      <c r="S361" s="22" t="s">
        <v>28</v>
      </c>
      <c r="T361" s="24">
        <f t="shared" si="7"/>
        <v>3907.5</v>
      </c>
    </row>
    <row r="362" spans="1:20" x14ac:dyDescent="0.25">
      <c r="A362" s="8">
        <v>17</v>
      </c>
      <c r="B362" s="8" t="s">
        <v>19</v>
      </c>
      <c r="C362" s="8">
        <v>8</v>
      </c>
      <c r="D362" s="8" t="s">
        <v>880</v>
      </c>
      <c r="E362" s="8" t="s">
        <v>917</v>
      </c>
      <c r="F362" s="18" t="s">
        <v>918</v>
      </c>
      <c r="G362" s="18" t="s">
        <v>911</v>
      </c>
      <c r="H362" s="19">
        <v>310</v>
      </c>
      <c r="I362" s="19">
        <v>2209</v>
      </c>
      <c r="J362" s="20" t="s">
        <v>919</v>
      </c>
      <c r="K362" s="20" t="s">
        <v>25</v>
      </c>
      <c r="L362" s="27" t="s">
        <v>26</v>
      </c>
      <c r="M362" s="27" t="s">
        <v>26</v>
      </c>
      <c r="N362" s="21">
        <v>39.816992791561198</v>
      </c>
      <c r="O362" s="10">
        <v>-77.165911985442605</v>
      </c>
      <c r="P362" s="22">
        <v>418</v>
      </c>
      <c r="Q362" s="23">
        <v>44243</v>
      </c>
      <c r="R362" s="22" t="s">
        <v>27</v>
      </c>
      <c r="S362" s="22" t="s">
        <v>28</v>
      </c>
      <c r="T362" s="24">
        <f t="shared" si="7"/>
        <v>522.5</v>
      </c>
    </row>
    <row r="363" spans="1:20" x14ac:dyDescent="0.25">
      <c r="A363" s="8">
        <v>18</v>
      </c>
      <c r="B363" s="8" t="s">
        <v>19</v>
      </c>
      <c r="C363" s="8">
        <v>8</v>
      </c>
      <c r="D363" s="8" t="s">
        <v>880</v>
      </c>
      <c r="E363" s="8" t="s">
        <v>920</v>
      </c>
      <c r="F363" s="18" t="s">
        <v>347</v>
      </c>
      <c r="G363" s="18" t="s">
        <v>911</v>
      </c>
      <c r="H363" s="19">
        <v>490</v>
      </c>
      <c r="I363" s="19">
        <v>798</v>
      </c>
      <c r="J363" s="20" t="s">
        <v>921</v>
      </c>
      <c r="K363" s="20" t="s">
        <v>25</v>
      </c>
      <c r="L363" s="27" t="s">
        <v>26</v>
      </c>
      <c r="M363" s="27" t="s">
        <v>26</v>
      </c>
      <c r="N363" s="21">
        <v>39.805848762662201</v>
      </c>
      <c r="O363" s="10">
        <v>-77.008864222011496</v>
      </c>
      <c r="P363" s="22">
        <v>1330</v>
      </c>
      <c r="Q363" s="23">
        <v>44243</v>
      </c>
      <c r="R363" s="22" t="s">
        <v>27</v>
      </c>
      <c r="S363" s="22" t="s">
        <v>517</v>
      </c>
      <c r="T363" s="24">
        <f t="shared" si="7"/>
        <v>1662.5</v>
      </c>
    </row>
    <row r="364" spans="1:20" x14ac:dyDescent="0.25">
      <c r="A364" s="8">
        <v>19</v>
      </c>
      <c r="B364" s="8" t="s">
        <v>19</v>
      </c>
      <c r="C364" s="8">
        <v>8</v>
      </c>
      <c r="D364" s="8" t="s">
        <v>880</v>
      </c>
      <c r="E364" s="8" t="s">
        <v>922</v>
      </c>
      <c r="F364" s="18" t="s">
        <v>923</v>
      </c>
      <c r="G364" s="18" t="s">
        <v>924</v>
      </c>
      <c r="H364" s="18">
        <v>30</v>
      </c>
      <c r="I364" s="18">
        <v>24</v>
      </c>
      <c r="J364" s="20" t="s">
        <v>925</v>
      </c>
      <c r="K364" s="20" t="s">
        <v>25</v>
      </c>
      <c r="L364" s="27" t="s">
        <v>26</v>
      </c>
      <c r="M364" s="27" t="s">
        <v>26</v>
      </c>
      <c r="N364" s="21">
        <v>39.732846094481701</v>
      </c>
      <c r="O364" s="10">
        <v>-77.113673668116604</v>
      </c>
      <c r="P364" s="22">
        <v>660</v>
      </c>
      <c r="Q364" s="23">
        <v>44243</v>
      </c>
      <c r="R364" s="22" t="s">
        <v>27</v>
      </c>
      <c r="S364" s="22" t="s">
        <v>517</v>
      </c>
      <c r="T364" s="24">
        <f t="shared" si="7"/>
        <v>825</v>
      </c>
    </row>
    <row r="365" spans="1:20" x14ac:dyDescent="0.25">
      <c r="A365" s="8">
        <v>20</v>
      </c>
      <c r="B365" s="8" t="s">
        <v>19</v>
      </c>
      <c r="C365" s="8">
        <v>8</v>
      </c>
      <c r="D365" s="8" t="s">
        <v>880</v>
      </c>
      <c r="E365" s="8" t="s">
        <v>899</v>
      </c>
      <c r="F365" s="18" t="s">
        <v>926</v>
      </c>
      <c r="G365" s="18" t="s">
        <v>924</v>
      </c>
      <c r="H365" s="19">
        <v>240</v>
      </c>
      <c r="I365" s="19">
        <v>209</v>
      </c>
      <c r="J365" s="20" t="s">
        <v>927</v>
      </c>
      <c r="K365" s="20" t="s">
        <v>25</v>
      </c>
      <c r="L365" s="27" t="s">
        <v>26</v>
      </c>
      <c r="M365" s="27" t="s">
        <v>26</v>
      </c>
      <c r="N365" s="21">
        <v>39.880019900293</v>
      </c>
      <c r="O365" s="10">
        <v>-76.982390485710098</v>
      </c>
      <c r="P365" s="22">
        <v>935</v>
      </c>
      <c r="Q365" s="23">
        <v>44252</v>
      </c>
      <c r="R365" s="22" t="s">
        <v>27</v>
      </c>
      <c r="S365" s="22" t="s">
        <v>517</v>
      </c>
      <c r="T365" s="24">
        <f t="shared" si="7"/>
        <v>1168.75</v>
      </c>
    </row>
    <row r="366" spans="1:20" x14ac:dyDescent="0.25">
      <c r="A366" s="8">
        <v>21</v>
      </c>
      <c r="B366" s="8" t="s">
        <v>19</v>
      </c>
      <c r="C366" s="8">
        <v>8</v>
      </c>
      <c r="D366" s="8" t="s">
        <v>880</v>
      </c>
      <c r="E366" s="8" t="s">
        <v>895</v>
      </c>
      <c r="F366" s="18" t="s">
        <v>928</v>
      </c>
      <c r="G366" s="18" t="s">
        <v>929</v>
      </c>
      <c r="H366" s="18">
        <v>310</v>
      </c>
      <c r="I366" s="18">
        <v>1291</v>
      </c>
      <c r="J366" s="20" t="s">
        <v>930</v>
      </c>
      <c r="K366" s="20" t="s">
        <v>25</v>
      </c>
      <c r="L366" s="27" t="s">
        <v>26</v>
      </c>
      <c r="M366" s="27" t="s">
        <v>26</v>
      </c>
      <c r="N366" s="21">
        <v>39.942511662722303</v>
      </c>
      <c r="O366" s="10">
        <v>-77.200149400335803</v>
      </c>
      <c r="P366" s="22">
        <v>1525</v>
      </c>
      <c r="Q366" s="23">
        <v>44243</v>
      </c>
      <c r="R366" s="22" t="s">
        <v>27</v>
      </c>
      <c r="S366" s="22" t="s">
        <v>34</v>
      </c>
      <c r="T366" s="24">
        <f t="shared" si="7"/>
        <v>1906.25</v>
      </c>
    </row>
    <row r="367" spans="1:20" x14ac:dyDescent="0.25">
      <c r="A367" s="8">
        <v>22</v>
      </c>
      <c r="B367" s="8" t="s">
        <v>19</v>
      </c>
      <c r="C367" s="8">
        <v>8</v>
      </c>
      <c r="D367" s="8" t="s">
        <v>880</v>
      </c>
      <c r="E367" s="8" t="s">
        <v>931</v>
      </c>
      <c r="F367" s="18" t="s">
        <v>932</v>
      </c>
      <c r="G367" s="18" t="s">
        <v>929</v>
      </c>
      <c r="H367" s="18">
        <v>430</v>
      </c>
      <c r="I367" s="18">
        <v>1369</v>
      </c>
      <c r="J367" s="20" t="s">
        <v>933</v>
      </c>
      <c r="K367" s="20" t="s">
        <v>25</v>
      </c>
      <c r="L367" s="27" t="s">
        <v>26</v>
      </c>
      <c r="M367" s="27" t="s">
        <v>26</v>
      </c>
      <c r="N367" s="21">
        <v>39.947319087958299</v>
      </c>
      <c r="O367" s="10">
        <v>-77.096887783416605</v>
      </c>
      <c r="P367" s="22">
        <v>665</v>
      </c>
      <c r="Q367" s="23">
        <v>44224</v>
      </c>
      <c r="R367" s="22" t="s">
        <v>27</v>
      </c>
      <c r="S367" s="22" t="s">
        <v>934</v>
      </c>
      <c r="T367" s="24">
        <f t="shared" si="7"/>
        <v>831.25</v>
      </c>
    </row>
    <row r="368" spans="1:20" x14ac:dyDescent="0.25">
      <c r="A368" s="8">
        <v>23</v>
      </c>
      <c r="B368" s="8" t="s">
        <v>19</v>
      </c>
      <c r="C368" s="8">
        <v>8</v>
      </c>
      <c r="D368" s="8" t="s">
        <v>880</v>
      </c>
      <c r="E368" s="8" t="s">
        <v>892</v>
      </c>
      <c r="F368" s="18" t="s">
        <v>915</v>
      </c>
      <c r="G368" s="18" t="s">
        <v>935</v>
      </c>
      <c r="H368" s="19">
        <v>70</v>
      </c>
      <c r="I368" s="19">
        <v>1260</v>
      </c>
      <c r="J368" s="20" t="s">
        <v>124</v>
      </c>
      <c r="K368" s="20" t="s">
        <v>25</v>
      </c>
      <c r="L368" s="27" t="s">
        <v>26</v>
      </c>
      <c r="M368" s="27" t="s">
        <v>26</v>
      </c>
      <c r="N368" s="21">
        <v>39.863014017362701</v>
      </c>
      <c r="O368" s="10">
        <v>-77.055276964628007</v>
      </c>
      <c r="P368" s="22">
        <v>852</v>
      </c>
      <c r="Q368" s="23">
        <v>44252</v>
      </c>
      <c r="R368" s="22" t="s">
        <v>27</v>
      </c>
      <c r="S368" s="22" t="s">
        <v>517</v>
      </c>
      <c r="T368" s="24">
        <f t="shared" si="7"/>
        <v>1065</v>
      </c>
    </row>
    <row r="369" spans="1:20" x14ac:dyDescent="0.25">
      <c r="A369" s="8">
        <v>24</v>
      </c>
      <c r="B369" s="8" t="s">
        <v>19</v>
      </c>
      <c r="C369" s="8">
        <v>8</v>
      </c>
      <c r="D369" s="8" t="s">
        <v>880</v>
      </c>
      <c r="E369" s="8" t="s">
        <v>917</v>
      </c>
      <c r="F369" s="18" t="s">
        <v>936</v>
      </c>
      <c r="G369" s="18" t="s">
        <v>212</v>
      </c>
      <c r="H369" s="18">
        <v>130</v>
      </c>
      <c r="I369" s="18">
        <v>0</v>
      </c>
      <c r="J369" s="20" t="s">
        <v>937</v>
      </c>
      <c r="K369" s="20" t="s">
        <v>25</v>
      </c>
      <c r="L369" s="27" t="s">
        <v>26</v>
      </c>
      <c r="M369" s="27" t="s">
        <v>26</v>
      </c>
      <c r="N369" s="21">
        <v>39.825492315292998</v>
      </c>
      <c r="O369" s="10">
        <v>-77.086692652375305</v>
      </c>
      <c r="P369" s="22">
        <v>572</v>
      </c>
      <c r="Q369" s="23">
        <v>44243</v>
      </c>
      <c r="R369" s="22" t="s">
        <v>27</v>
      </c>
      <c r="S369" s="22" t="s">
        <v>28</v>
      </c>
      <c r="T369" s="24">
        <f t="shared" si="7"/>
        <v>715</v>
      </c>
    </row>
    <row r="370" spans="1:20" x14ac:dyDescent="0.25">
      <c r="A370" s="8">
        <v>25</v>
      </c>
      <c r="B370" s="8" t="s">
        <v>19</v>
      </c>
      <c r="C370" s="8">
        <v>8</v>
      </c>
      <c r="D370" s="8" t="s">
        <v>880</v>
      </c>
      <c r="E370" s="8" t="s">
        <v>920</v>
      </c>
      <c r="F370" s="18" t="s">
        <v>938</v>
      </c>
      <c r="G370" s="18" t="s">
        <v>212</v>
      </c>
      <c r="H370" s="18">
        <v>250</v>
      </c>
      <c r="I370" s="18">
        <v>0</v>
      </c>
      <c r="J370" s="20" t="s">
        <v>939</v>
      </c>
      <c r="K370" s="20" t="s">
        <v>25</v>
      </c>
      <c r="L370" s="27" t="s">
        <v>26</v>
      </c>
      <c r="M370" s="27" t="s">
        <v>26</v>
      </c>
      <c r="N370" s="21">
        <v>39.770862539001698</v>
      </c>
      <c r="O370" s="10">
        <v>-77.006965133530599</v>
      </c>
      <c r="P370" s="22">
        <v>15</v>
      </c>
      <c r="Q370" s="23">
        <v>44243</v>
      </c>
      <c r="R370" s="22" t="s">
        <v>27</v>
      </c>
      <c r="S370" s="22" t="s">
        <v>28</v>
      </c>
      <c r="T370" s="24">
        <f t="shared" si="7"/>
        <v>18.75</v>
      </c>
    </row>
    <row r="371" spans="1:20" x14ac:dyDescent="0.25">
      <c r="A371" s="8">
        <v>26</v>
      </c>
      <c r="B371" s="8" t="s">
        <v>19</v>
      </c>
      <c r="C371" s="8">
        <v>8</v>
      </c>
      <c r="D371" s="8" t="s">
        <v>880</v>
      </c>
      <c r="E371" s="8" t="s">
        <v>472</v>
      </c>
      <c r="F371" s="18" t="s">
        <v>940</v>
      </c>
      <c r="G371" s="18" t="s">
        <v>786</v>
      </c>
      <c r="H371" s="19">
        <v>30</v>
      </c>
      <c r="I371" s="19">
        <v>2186</v>
      </c>
      <c r="J371" s="20" t="s">
        <v>941</v>
      </c>
      <c r="K371" s="20" t="s">
        <v>25</v>
      </c>
      <c r="L371" s="27" t="s">
        <v>26</v>
      </c>
      <c r="M371" s="27" t="s">
        <v>26</v>
      </c>
      <c r="N371" s="21">
        <v>39.739668941067599</v>
      </c>
      <c r="O371" s="10">
        <v>-77.013280174029305</v>
      </c>
      <c r="P371" s="22">
        <v>539</v>
      </c>
      <c r="Q371" s="23">
        <v>44243</v>
      </c>
      <c r="R371" s="22" t="s">
        <v>27</v>
      </c>
      <c r="S371" s="22" t="s">
        <v>38</v>
      </c>
      <c r="T371" s="24">
        <f t="shared" si="7"/>
        <v>673.75</v>
      </c>
    </row>
    <row r="372" spans="1:20" x14ac:dyDescent="0.25">
      <c r="A372" s="8">
        <v>27</v>
      </c>
      <c r="B372" s="8" t="s">
        <v>19</v>
      </c>
      <c r="C372" s="8">
        <v>8</v>
      </c>
      <c r="D372" s="8" t="s">
        <v>880</v>
      </c>
      <c r="E372" s="8" t="s">
        <v>942</v>
      </c>
      <c r="F372" s="18" t="s">
        <v>943</v>
      </c>
      <c r="G372" s="18" t="s">
        <v>160</v>
      </c>
      <c r="H372" s="18">
        <v>20</v>
      </c>
      <c r="I372" s="18">
        <v>0</v>
      </c>
      <c r="J372" s="20" t="s">
        <v>944</v>
      </c>
      <c r="K372" s="20" t="s">
        <v>25</v>
      </c>
      <c r="L372" s="27" t="s">
        <v>26</v>
      </c>
      <c r="M372" s="27" t="s">
        <v>26</v>
      </c>
      <c r="N372" s="21">
        <v>39.937743130263499</v>
      </c>
      <c r="O372" s="10">
        <v>-77.302698212845002</v>
      </c>
      <c r="P372" s="22">
        <v>904</v>
      </c>
      <c r="Q372" s="23">
        <v>44243</v>
      </c>
      <c r="R372" s="22" t="s">
        <v>27</v>
      </c>
      <c r="S372" s="22" t="s">
        <v>38</v>
      </c>
      <c r="T372" s="24">
        <f t="shared" si="7"/>
        <v>1130</v>
      </c>
    </row>
    <row r="373" spans="1:20" x14ac:dyDescent="0.25">
      <c r="A373" s="8">
        <v>377</v>
      </c>
      <c r="B373" s="8" t="s">
        <v>19</v>
      </c>
      <c r="C373" s="8">
        <v>8</v>
      </c>
      <c r="D373" s="8" t="s">
        <v>945</v>
      </c>
      <c r="E373" s="8" t="s">
        <v>946</v>
      </c>
      <c r="F373" s="18" t="s">
        <v>947</v>
      </c>
      <c r="G373" s="18" t="s">
        <v>646</v>
      </c>
      <c r="H373" s="18">
        <v>340</v>
      </c>
      <c r="I373" s="18">
        <v>0</v>
      </c>
      <c r="J373" s="20" t="s">
        <v>948</v>
      </c>
      <c r="K373" s="20" t="s">
        <v>25</v>
      </c>
      <c r="L373" s="27" t="s">
        <v>26</v>
      </c>
      <c r="M373" s="27" t="s">
        <v>26</v>
      </c>
      <c r="N373" s="21">
        <v>40.180856089235</v>
      </c>
      <c r="O373" s="10">
        <v>-77.263907235009697</v>
      </c>
      <c r="P373" s="22">
        <v>1012</v>
      </c>
      <c r="Q373" s="23">
        <v>44231</v>
      </c>
      <c r="R373" s="22" t="s">
        <v>27</v>
      </c>
      <c r="S373" s="22" t="s">
        <v>34</v>
      </c>
      <c r="T373" s="24">
        <f t="shared" si="7"/>
        <v>1265</v>
      </c>
    </row>
    <row r="374" spans="1:20" x14ac:dyDescent="0.25">
      <c r="A374" s="8">
        <v>378</v>
      </c>
      <c r="B374" s="8" t="s">
        <v>19</v>
      </c>
      <c r="C374" s="8">
        <v>8</v>
      </c>
      <c r="D374" s="8" t="s">
        <v>945</v>
      </c>
      <c r="E374" s="8" t="s">
        <v>949</v>
      </c>
      <c r="F374" s="18" t="s">
        <v>915</v>
      </c>
      <c r="G374" s="18" t="s">
        <v>646</v>
      </c>
      <c r="H374" s="19">
        <v>460</v>
      </c>
      <c r="I374" s="19">
        <v>2240</v>
      </c>
      <c r="J374" s="20" t="s">
        <v>950</v>
      </c>
      <c r="K374" s="20" t="s">
        <v>25</v>
      </c>
      <c r="L374" s="27" t="s">
        <v>26</v>
      </c>
      <c r="M374" s="27" t="s">
        <v>26</v>
      </c>
      <c r="N374" s="21">
        <v>40.210023169902698</v>
      </c>
      <c r="O374" s="10">
        <v>-77.183182455428707</v>
      </c>
      <c r="P374" s="22">
        <v>3839</v>
      </c>
      <c r="Q374" s="23">
        <v>44231</v>
      </c>
      <c r="R374" s="22" t="s">
        <v>27</v>
      </c>
      <c r="S374" s="22" t="s">
        <v>34</v>
      </c>
      <c r="T374" s="24">
        <f t="shared" si="7"/>
        <v>4798.75</v>
      </c>
    </row>
    <row r="375" spans="1:20" x14ac:dyDescent="0.25">
      <c r="A375" s="8">
        <v>379</v>
      </c>
      <c r="B375" s="8" t="s">
        <v>19</v>
      </c>
      <c r="C375" s="8">
        <v>8</v>
      </c>
      <c r="D375" s="8" t="s">
        <v>945</v>
      </c>
      <c r="E375" s="8" t="s">
        <v>951</v>
      </c>
      <c r="F375" s="18" t="s">
        <v>900</v>
      </c>
      <c r="G375" s="18" t="s">
        <v>646</v>
      </c>
      <c r="H375" s="19">
        <v>680</v>
      </c>
      <c r="I375" s="19">
        <v>1400</v>
      </c>
      <c r="J375" s="20" t="s">
        <v>952</v>
      </c>
      <c r="K375" s="20" t="s">
        <v>25</v>
      </c>
      <c r="L375" s="27" t="s">
        <v>26</v>
      </c>
      <c r="M375" s="27" t="s">
        <v>26</v>
      </c>
      <c r="N375" s="21">
        <v>40.242512237905999</v>
      </c>
      <c r="O375" s="10">
        <v>-76.990421071976101</v>
      </c>
      <c r="P375" s="22">
        <v>6227</v>
      </c>
      <c r="Q375" s="23">
        <v>44235</v>
      </c>
      <c r="R375" s="22" t="s">
        <v>27</v>
      </c>
      <c r="S375" s="22" t="s">
        <v>28</v>
      </c>
      <c r="T375" s="24">
        <f t="shared" si="7"/>
        <v>7783.75</v>
      </c>
    </row>
    <row r="376" spans="1:20" x14ac:dyDescent="0.25">
      <c r="A376" s="8">
        <v>380</v>
      </c>
      <c r="B376" s="8" t="s">
        <v>19</v>
      </c>
      <c r="C376" s="8">
        <v>8</v>
      </c>
      <c r="D376" s="8" t="s">
        <v>945</v>
      </c>
      <c r="E376" s="8" t="s">
        <v>951</v>
      </c>
      <c r="F376" s="18" t="s">
        <v>900</v>
      </c>
      <c r="G376" s="18" t="s">
        <v>646</v>
      </c>
      <c r="H376" s="19">
        <v>680</v>
      </c>
      <c r="I376" s="19">
        <v>2354</v>
      </c>
      <c r="J376" s="20" t="s">
        <v>953</v>
      </c>
      <c r="K376" s="20" t="s">
        <v>25</v>
      </c>
      <c r="L376" s="27" t="s">
        <v>26</v>
      </c>
      <c r="M376" s="27" t="s">
        <v>26</v>
      </c>
      <c r="N376" s="21">
        <v>40.241392760898897</v>
      </c>
      <c r="O376" s="10">
        <v>-76.987355947079607</v>
      </c>
      <c r="P376" s="22">
        <v>6342</v>
      </c>
      <c r="Q376" s="23">
        <v>44237</v>
      </c>
      <c r="R376" s="22" t="s">
        <v>33</v>
      </c>
      <c r="S376" s="22" t="s">
        <v>28</v>
      </c>
      <c r="T376" s="24">
        <f t="shared" si="7"/>
        <v>7927.5</v>
      </c>
    </row>
    <row r="377" spans="1:20" x14ac:dyDescent="0.25">
      <c r="A377" s="8">
        <v>381</v>
      </c>
      <c r="B377" s="8" t="s">
        <v>19</v>
      </c>
      <c r="C377" s="8">
        <v>8</v>
      </c>
      <c r="D377" s="8" t="s">
        <v>945</v>
      </c>
      <c r="E377" s="8" t="s">
        <v>954</v>
      </c>
      <c r="F377" s="18" t="s">
        <v>955</v>
      </c>
      <c r="G377" s="18" t="s">
        <v>897</v>
      </c>
      <c r="H377" s="18">
        <v>20</v>
      </c>
      <c r="I377" s="18">
        <v>3522</v>
      </c>
      <c r="J377" s="20" t="s">
        <v>956</v>
      </c>
      <c r="K377" s="20" t="s">
        <v>25</v>
      </c>
      <c r="L377" s="27" t="s">
        <v>26</v>
      </c>
      <c r="M377" s="27" t="s">
        <v>26</v>
      </c>
      <c r="N377" s="21">
        <v>40.044158011086097</v>
      </c>
      <c r="O377" s="10">
        <v>-77.204139588685194</v>
      </c>
      <c r="P377" s="22">
        <v>824</v>
      </c>
      <c r="Q377" s="23">
        <v>44231</v>
      </c>
      <c r="R377" s="22" t="s">
        <v>27</v>
      </c>
      <c r="S377" s="22" t="s">
        <v>517</v>
      </c>
      <c r="T377" s="24">
        <f t="shared" si="7"/>
        <v>1030</v>
      </c>
    </row>
    <row r="378" spans="1:20" x14ac:dyDescent="0.25">
      <c r="A378" s="8">
        <v>382</v>
      </c>
      <c r="B378" s="8" t="s">
        <v>19</v>
      </c>
      <c r="C378" s="8">
        <v>8</v>
      </c>
      <c r="D378" s="8" t="s">
        <v>945</v>
      </c>
      <c r="E378" s="8" t="s">
        <v>957</v>
      </c>
      <c r="F378" s="18" t="s">
        <v>958</v>
      </c>
      <c r="G378" s="18" t="s">
        <v>897</v>
      </c>
      <c r="H378" s="18">
        <v>140</v>
      </c>
      <c r="I378" s="18">
        <v>1552</v>
      </c>
      <c r="J378" s="20" t="s">
        <v>959</v>
      </c>
      <c r="K378" s="20" t="s">
        <v>25</v>
      </c>
      <c r="L378" s="27" t="s">
        <v>26</v>
      </c>
      <c r="M378" s="27" t="s">
        <v>26</v>
      </c>
      <c r="N378" s="21">
        <v>40.118475878602801</v>
      </c>
      <c r="O378" s="10">
        <v>-77.189767523379402</v>
      </c>
      <c r="P378" s="22">
        <v>764</v>
      </c>
      <c r="Q378" s="23">
        <v>44231</v>
      </c>
      <c r="R378" s="22" t="s">
        <v>27</v>
      </c>
      <c r="S378" s="22" t="s">
        <v>517</v>
      </c>
      <c r="T378" s="24">
        <f t="shared" si="7"/>
        <v>955</v>
      </c>
    </row>
    <row r="379" spans="1:20" x14ac:dyDescent="0.25">
      <c r="A379" s="8">
        <v>383</v>
      </c>
      <c r="B379" s="8" t="s">
        <v>19</v>
      </c>
      <c r="C379" s="8">
        <v>8</v>
      </c>
      <c r="D379" s="8" t="s">
        <v>945</v>
      </c>
      <c r="E379" s="8" t="s">
        <v>957</v>
      </c>
      <c r="F379" s="18" t="s">
        <v>958</v>
      </c>
      <c r="G379" s="18" t="s">
        <v>897</v>
      </c>
      <c r="H379" s="18">
        <v>140</v>
      </c>
      <c r="I379" s="18">
        <v>2373</v>
      </c>
      <c r="J379" s="20" t="s">
        <v>960</v>
      </c>
      <c r="K379" s="20" t="s">
        <v>25</v>
      </c>
      <c r="L379" s="27" t="s">
        <v>26</v>
      </c>
      <c r="M379" s="27" t="s">
        <v>26</v>
      </c>
      <c r="N379" s="21">
        <v>40.120704103712598</v>
      </c>
      <c r="O379" s="10">
        <v>-77.190182904544102</v>
      </c>
      <c r="P379" s="22">
        <v>204</v>
      </c>
      <c r="Q379" s="23">
        <v>44236</v>
      </c>
      <c r="R379" s="22" t="s">
        <v>27</v>
      </c>
      <c r="S379" s="22" t="s">
        <v>38</v>
      </c>
      <c r="T379" s="24">
        <f t="shared" si="7"/>
        <v>255</v>
      </c>
    </row>
    <row r="380" spans="1:20" x14ac:dyDescent="0.25">
      <c r="A380" s="8">
        <v>384</v>
      </c>
      <c r="B380" s="8" t="s">
        <v>19</v>
      </c>
      <c r="C380" s="8">
        <v>8</v>
      </c>
      <c r="D380" s="8" t="s">
        <v>945</v>
      </c>
      <c r="E380" s="8" t="s">
        <v>949</v>
      </c>
      <c r="F380" s="18" t="s">
        <v>961</v>
      </c>
      <c r="G380" s="18" t="s">
        <v>897</v>
      </c>
      <c r="H380" s="19">
        <v>310</v>
      </c>
      <c r="I380" s="19">
        <v>0</v>
      </c>
      <c r="J380" s="20" t="s">
        <v>962</v>
      </c>
      <c r="K380" s="20" t="s">
        <v>25</v>
      </c>
      <c r="L380" s="27" t="s">
        <v>26</v>
      </c>
      <c r="M380" s="27" t="s">
        <v>26</v>
      </c>
      <c r="N380" s="21">
        <v>40.214155282926903</v>
      </c>
      <c r="O380" s="10">
        <v>-77.186992804850206</v>
      </c>
      <c r="P380" s="22">
        <v>1354</v>
      </c>
      <c r="Q380" s="23">
        <v>44231</v>
      </c>
      <c r="R380" s="22" t="s">
        <v>27</v>
      </c>
      <c r="S380" s="22" t="s">
        <v>517</v>
      </c>
      <c r="T380" s="24">
        <f t="shared" si="7"/>
        <v>1692.5</v>
      </c>
    </row>
    <row r="381" spans="1:20" x14ac:dyDescent="0.25">
      <c r="A381" s="8">
        <v>385</v>
      </c>
      <c r="B381" s="8" t="s">
        <v>19</v>
      </c>
      <c r="C381" s="8">
        <v>8</v>
      </c>
      <c r="D381" s="8" t="s">
        <v>945</v>
      </c>
      <c r="E381" s="8" t="s">
        <v>542</v>
      </c>
      <c r="F381" s="18" t="s">
        <v>963</v>
      </c>
      <c r="G381" s="18" t="s">
        <v>964</v>
      </c>
      <c r="H381" s="18">
        <v>20</v>
      </c>
      <c r="I381" s="18">
        <v>2563</v>
      </c>
      <c r="J381" s="20" t="s">
        <v>965</v>
      </c>
      <c r="K381" s="20" t="s">
        <v>25</v>
      </c>
      <c r="L381" s="27" t="s">
        <v>26</v>
      </c>
      <c r="M381" s="27" t="s">
        <v>26</v>
      </c>
      <c r="N381" s="21">
        <v>40.142812741379799</v>
      </c>
      <c r="O381" s="10">
        <v>-77.060783944884506</v>
      </c>
      <c r="P381" s="22">
        <v>330</v>
      </c>
      <c r="Q381" s="23">
        <v>44223</v>
      </c>
      <c r="R381" s="22" t="s">
        <v>27</v>
      </c>
      <c r="S381" s="22" t="s">
        <v>28</v>
      </c>
      <c r="T381" s="24">
        <f t="shared" si="7"/>
        <v>412.5</v>
      </c>
    </row>
    <row r="382" spans="1:20" x14ac:dyDescent="0.25">
      <c r="A382" s="8">
        <v>386</v>
      </c>
      <c r="B382" s="8" t="s">
        <v>19</v>
      </c>
      <c r="C382" s="8">
        <v>8</v>
      </c>
      <c r="D382" s="8" t="s">
        <v>945</v>
      </c>
      <c r="E382" s="8" t="s">
        <v>542</v>
      </c>
      <c r="F382" s="18" t="s">
        <v>963</v>
      </c>
      <c r="G382" s="18" t="s">
        <v>964</v>
      </c>
      <c r="H382" s="18">
        <v>20</v>
      </c>
      <c r="I382" s="18">
        <v>2922</v>
      </c>
      <c r="J382" s="20" t="s">
        <v>966</v>
      </c>
      <c r="K382" s="20" t="s">
        <v>25</v>
      </c>
      <c r="L382" s="27" t="s">
        <v>26</v>
      </c>
      <c r="M382" s="27" t="s">
        <v>26</v>
      </c>
      <c r="N382" s="21">
        <v>40.143168008502101</v>
      </c>
      <c r="O382" s="10">
        <v>-77.061937550985704</v>
      </c>
      <c r="P382" s="22">
        <v>474</v>
      </c>
      <c r="Q382" s="23">
        <v>44223</v>
      </c>
      <c r="R382" s="22" t="s">
        <v>27</v>
      </c>
      <c r="S382" s="22" t="s">
        <v>517</v>
      </c>
      <c r="T382" s="24">
        <f t="shared" si="7"/>
        <v>592.5</v>
      </c>
    </row>
    <row r="383" spans="1:20" x14ac:dyDescent="0.25">
      <c r="A383" s="8">
        <v>387</v>
      </c>
      <c r="B383" s="8" t="s">
        <v>19</v>
      </c>
      <c r="C383" s="8">
        <v>8</v>
      </c>
      <c r="D383" s="8" t="s">
        <v>945</v>
      </c>
      <c r="E383" s="8" t="s">
        <v>542</v>
      </c>
      <c r="F383" s="18" t="s">
        <v>963</v>
      </c>
      <c r="G383" s="18" t="s">
        <v>964</v>
      </c>
      <c r="H383" s="18">
        <v>40</v>
      </c>
      <c r="I383" s="18">
        <v>2492</v>
      </c>
      <c r="J383" s="20" t="s">
        <v>967</v>
      </c>
      <c r="K383" s="20" t="s">
        <v>25</v>
      </c>
      <c r="L383" s="27" t="s">
        <v>26</v>
      </c>
      <c r="M383" s="27" t="s">
        <v>26</v>
      </c>
      <c r="N383" s="21">
        <v>40.153187890689999</v>
      </c>
      <c r="O383" s="10">
        <v>-77.078774819421895</v>
      </c>
      <c r="P383" s="22">
        <v>1002</v>
      </c>
      <c r="Q383" s="23">
        <v>44223</v>
      </c>
      <c r="R383" s="22" t="s">
        <v>27</v>
      </c>
      <c r="S383" s="22" t="s">
        <v>34</v>
      </c>
      <c r="T383" s="24">
        <f t="shared" si="7"/>
        <v>1252.5</v>
      </c>
    </row>
    <row r="384" spans="1:20" x14ac:dyDescent="0.25">
      <c r="A384" s="8">
        <v>388</v>
      </c>
      <c r="B384" s="8" t="s">
        <v>19</v>
      </c>
      <c r="C384" s="8">
        <v>8</v>
      </c>
      <c r="D384" s="8" t="s">
        <v>945</v>
      </c>
      <c r="E384" s="8" t="s">
        <v>968</v>
      </c>
      <c r="F384" s="18" t="s">
        <v>963</v>
      </c>
      <c r="G384" s="18" t="s">
        <v>964</v>
      </c>
      <c r="H384" s="18">
        <v>120</v>
      </c>
      <c r="I384" s="18">
        <v>2629</v>
      </c>
      <c r="J384" s="20" t="s">
        <v>969</v>
      </c>
      <c r="K384" s="20" t="s">
        <v>25</v>
      </c>
      <c r="L384" s="27" t="s">
        <v>26</v>
      </c>
      <c r="M384" s="27" t="s">
        <v>26</v>
      </c>
      <c r="N384" s="21">
        <v>40.177900679681798</v>
      </c>
      <c r="O384" s="10">
        <v>-77.131543184810894</v>
      </c>
      <c r="P384" s="22">
        <v>2824</v>
      </c>
      <c r="Q384" s="23">
        <v>44224</v>
      </c>
      <c r="R384" s="22" t="s">
        <v>27</v>
      </c>
      <c r="S384" s="22" t="s">
        <v>38</v>
      </c>
      <c r="T384" s="24">
        <f t="shared" si="7"/>
        <v>3530</v>
      </c>
    </row>
    <row r="385" spans="1:20" x14ac:dyDescent="0.25">
      <c r="A385" s="8">
        <v>389</v>
      </c>
      <c r="B385" s="8" t="s">
        <v>19</v>
      </c>
      <c r="C385" s="8">
        <v>8</v>
      </c>
      <c r="D385" s="8" t="s">
        <v>945</v>
      </c>
      <c r="E385" s="8" t="s">
        <v>954</v>
      </c>
      <c r="F385" s="18" t="s">
        <v>970</v>
      </c>
      <c r="G385" s="18" t="s">
        <v>971</v>
      </c>
      <c r="H385" s="18">
        <v>280</v>
      </c>
      <c r="I385" s="18">
        <v>61</v>
      </c>
      <c r="J385" s="20" t="s">
        <v>972</v>
      </c>
      <c r="K385" s="20" t="s">
        <v>25</v>
      </c>
      <c r="L385" s="27" t="s">
        <v>26</v>
      </c>
      <c r="M385" s="27" t="s">
        <v>26</v>
      </c>
      <c r="N385" s="21">
        <v>40.127469414809397</v>
      </c>
      <c r="O385" s="10">
        <v>-77.292471265009993</v>
      </c>
      <c r="P385" s="22">
        <v>576</v>
      </c>
      <c r="Q385" s="23">
        <v>44231</v>
      </c>
      <c r="R385" s="22" t="s">
        <v>27</v>
      </c>
      <c r="S385" s="22" t="s">
        <v>28</v>
      </c>
      <c r="T385" s="24">
        <f t="shared" si="7"/>
        <v>720</v>
      </c>
    </row>
    <row r="386" spans="1:20" x14ac:dyDescent="0.25">
      <c r="A386" s="8">
        <v>390</v>
      </c>
      <c r="B386" s="8" t="s">
        <v>19</v>
      </c>
      <c r="C386" s="8">
        <v>8</v>
      </c>
      <c r="D386" s="8" t="s">
        <v>945</v>
      </c>
      <c r="E386" s="8" t="s">
        <v>968</v>
      </c>
      <c r="F386" s="18" t="s">
        <v>970</v>
      </c>
      <c r="G386" s="18" t="s">
        <v>971</v>
      </c>
      <c r="H386" s="18">
        <v>410</v>
      </c>
      <c r="I386" s="18">
        <v>0</v>
      </c>
      <c r="J386" s="20" t="s">
        <v>973</v>
      </c>
      <c r="K386" s="20" t="s">
        <v>25</v>
      </c>
      <c r="L386" s="27" t="s">
        <v>26</v>
      </c>
      <c r="M386" s="27" t="s">
        <v>26</v>
      </c>
      <c r="N386" s="21">
        <v>40.147101933726503</v>
      </c>
      <c r="O386" s="10">
        <v>-77.172649812543895</v>
      </c>
      <c r="P386" s="22">
        <v>2048</v>
      </c>
      <c r="Q386" s="23">
        <v>44231</v>
      </c>
      <c r="R386" s="22" t="s">
        <v>27</v>
      </c>
      <c r="S386" s="22" t="s">
        <v>28</v>
      </c>
      <c r="T386" s="24">
        <f t="shared" si="7"/>
        <v>2560</v>
      </c>
    </row>
    <row r="387" spans="1:20" x14ac:dyDescent="0.25">
      <c r="A387" s="8">
        <v>391</v>
      </c>
      <c r="B387" s="8" t="s">
        <v>19</v>
      </c>
      <c r="C387" s="8">
        <v>8</v>
      </c>
      <c r="D387" s="8" t="s">
        <v>945</v>
      </c>
      <c r="E387" s="8" t="s">
        <v>968</v>
      </c>
      <c r="F387" s="18" t="s">
        <v>970</v>
      </c>
      <c r="G387" s="18" t="s">
        <v>971</v>
      </c>
      <c r="H387" s="18">
        <v>430</v>
      </c>
      <c r="I387" s="18">
        <v>0</v>
      </c>
      <c r="J387" s="20" t="s">
        <v>974</v>
      </c>
      <c r="K387" s="20" t="s">
        <v>25</v>
      </c>
      <c r="L387" s="27" t="s">
        <v>26</v>
      </c>
      <c r="M387" s="27" t="s">
        <v>26</v>
      </c>
      <c r="N387" s="21">
        <v>40.153137283267</v>
      </c>
      <c r="O387" s="10">
        <v>-77.159523613442602</v>
      </c>
      <c r="P387" s="22">
        <v>1721</v>
      </c>
      <c r="Q387" s="23">
        <v>44231</v>
      </c>
      <c r="R387" s="22" t="s">
        <v>27</v>
      </c>
      <c r="S387" s="22" t="s">
        <v>34</v>
      </c>
      <c r="T387" s="24">
        <f t="shared" si="7"/>
        <v>2151.25</v>
      </c>
    </row>
    <row r="388" spans="1:20" x14ac:dyDescent="0.25">
      <c r="A388" s="8">
        <v>392</v>
      </c>
      <c r="B388" s="8" t="s">
        <v>19</v>
      </c>
      <c r="C388" s="8">
        <v>8</v>
      </c>
      <c r="D388" s="8" t="s">
        <v>945</v>
      </c>
      <c r="E388" s="8" t="s">
        <v>954</v>
      </c>
      <c r="F388" s="18" t="s">
        <v>975</v>
      </c>
      <c r="G388" s="18" t="s">
        <v>976</v>
      </c>
      <c r="H388" s="18">
        <v>70</v>
      </c>
      <c r="I388" s="18">
        <v>0</v>
      </c>
      <c r="J388" s="20" t="s">
        <v>977</v>
      </c>
      <c r="K388" s="20" t="s">
        <v>25</v>
      </c>
      <c r="L388" s="27" t="s">
        <v>26</v>
      </c>
      <c r="M388" s="27" t="s">
        <v>26</v>
      </c>
      <c r="N388" s="21">
        <v>40.156330821514402</v>
      </c>
      <c r="O388" s="10">
        <v>-77.250884776950699</v>
      </c>
      <c r="P388" s="22">
        <v>2200</v>
      </c>
      <c r="Q388" s="23">
        <v>44231</v>
      </c>
      <c r="R388" s="22" t="s">
        <v>27</v>
      </c>
      <c r="S388" s="22" t="s">
        <v>38</v>
      </c>
      <c r="T388" s="24">
        <f t="shared" si="7"/>
        <v>2750</v>
      </c>
    </row>
    <row r="389" spans="1:20" x14ac:dyDescent="0.25">
      <c r="A389" s="8">
        <v>393</v>
      </c>
      <c r="B389" s="8" t="s">
        <v>19</v>
      </c>
      <c r="C389" s="8">
        <v>8</v>
      </c>
      <c r="D389" s="8" t="s">
        <v>945</v>
      </c>
      <c r="E389" s="8" t="s">
        <v>978</v>
      </c>
      <c r="F389" s="18" t="s">
        <v>77</v>
      </c>
      <c r="G389" s="18" t="s">
        <v>979</v>
      </c>
      <c r="H389" s="18">
        <v>240</v>
      </c>
      <c r="I389" s="18">
        <v>410</v>
      </c>
      <c r="J389" s="20" t="s">
        <v>980</v>
      </c>
      <c r="K389" s="20" t="s">
        <v>25</v>
      </c>
      <c r="L389" s="27" t="s">
        <v>26</v>
      </c>
      <c r="M389" s="27" t="s">
        <v>26</v>
      </c>
      <c r="N389" s="21">
        <v>40.173633265492903</v>
      </c>
      <c r="O389" s="10">
        <v>-77.397984857063506</v>
      </c>
      <c r="P389" s="22">
        <v>967</v>
      </c>
      <c r="Q389" s="23">
        <v>44235</v>
      </c>
      <c r="R389" s="22" t="s">
        <v>27</v>
      </c>
      <c r="S389" s="22" t="s">
        <v>34</v>
      </c>
      <c r="T389" s="24">
        <f t="shared" si="7"/>
        <v>1208.75</v>
      </c>
    </row>
    <row r="390" spans="1:20" x14ac:dyDescent="0.25">
      <c r="A390" s="8">
        <v>394</v>
      </c>
      <c r="B390" s="8" t="s">
        <v>19</v>
      </c>
      <c r="C390" s="8">
        <v>8</v>
      </c>
      <c r="D390" s="8" t="s">
        <v>945</v>
      </c>
      <c r="E390" s="8" t="s">
        <v>946</v>
      </c>
      <c r="F390" s="18" t="s">
        <v>981</v>
      </c>
      <c r="G390" s="18" t="s">
        <v>979</v>
      </c>
      <c r="H390" s="18">
        <v>340</v>
      </c>
      <c r="I390" s="18">
        <v>0</v>
      </c>
      <c r="J390" s="20" t="s">
        <v>982</v>
      </c>
      <c r="K390" s="20" t="s">
        <v>25</v>
      </c>
      <c r="L390" s="27" t="s">
        <v>26</v>
      </c>
      <c r="M390" s="27" t="s">
        <v>26</v>
      </c>
      <c r="N390" s="21">
        <v>40.200892190728098</v>
      </c>
      <c r="O390" s="10">
        <v>-77.325692609259804</v>
      </c>
      <c r="P390" s="22">
        <v>668</v>
      </c>
      <c r="Q390" s="23">
        <v>44235</v>
      </c>
      <c r="R390" s="22" t="s">
        <v>27</v>
      </c>
      <c r="S390" s="22" t="s">
        <v>28</v>
      </c>
      <c r="T390" s="24">
        <f t="shared" si="7"/>
        <v>835</v>
      </c>
    </row>
    <row r="391" spans="1:20" x14ac:dyDescent="0.25">
      <c r="A391" s="8">
        <v>395</v>
      </c>
      <c r="B391" s="8" t="s">
        <v>19</v>
      </c>
      <c r="C391" s="8">
        <v>8</v>
      </c>
      <c r="D391" s="8" t="s">
        <v>945</v>
      </c>
      <c r="E391" s="8" t="s">
        <v>946</v>
      </c>
      <c r="F391" s="18" t="s">
        <v>981</v>
      </c>
      <c r="G391" s="18" t="s">
        <v>979</v>
      </c>
      <c r="H391" s="18">
        <v>390</v>
      </c>
      <c r="I391" s="18">
        <v>0</v>
      </c>
      <c r="J391" s="20" t="s">
        <v>948</v>
      </c>
      <c r="K391" s="20" t="s">
        <v>25</v>
      </c>
      <c r="L391" s="27" t="s">
        <v>26</v>
      </c>
      <c r="M391" s="27" t="s">
        <v>26</v>
      </c>
      <c r="N391" s="21">
        <v>40.201907950387103</v>
      </c>
      <c r="O391" s="10">
        <v>-77.273443909067694</v>
      </c>
      <c r="P391" s="22">
        <v>997</v>
      </c>
      <c r="Q391" s="23">
        <v>44231</v>
      </c>
      <c r="R391" s="22" t="s">
        <v>27</v>
      </c>
      <c r="S391" s="22" t="s">
        <v>28</v>
      </c>
      <c r="T391" s="24">
        <f t="shared" si="7"/>
        <v>1246.25</v>
      </c>
    </row>
    <row r="392" spans="1:20" x14ac:dyDescent="0.25">
      <c r="A392" s="8">
        <v>396</v>
      </c>
      <c r="B392" s="8" t="s">
        <v>19</v>
      </c>
      <c r="C392" s="8">
        <v>8</v>
      </c>
      <c r="D392" s="8" t="s">
        <v>945</v>
      </c>
      <c r="E392" s="8" t="s">
        <v>983</v>
      </c>
      <c r="F392" s="18" t="s">
        <v>984</v>
      </c>
      <c r="G392" s="18" t="s">
        <v>979</v>
      </c>
      <c r="H392" s="18">
        <v>510</v>
      </c>
      <c r="I392" s="18">
        <v>0</v>
      </c>
      <c r="J392" s="20" t="s">
        <v>985</v>
      </c>
      <c r="K392" s="20" t="s">
        <v>25</v>
      </c>
      <c r="L392" s="27" t="s">
        <v>26</v>
      </c>
      <c r="M392" s="27" t="s">
        <v>26</v>
      </c>
      <c r="N392" s="21">
        <v>40.197669155148198</v>
      </c>
      <c r="O392" s="10">
        <v>-77.139320218835095</v>
      </c>
      <c r="P392" s="22">
        <v>444</v>
      </c>
      <c r="Q392" s="23">
        <v>44223</v>
      </c>
      <c r="R392" s="22" t="s">
        <v>27</v>
      </c>
      <c r="S392" s="22" t="s">
        <v>34</v>
      </c>
      <c r="T392" s="24">
        <f t="shared" si="7"/>
        <v>555</v>
      </c>
    </row>
    <row r="393" spans="1:20" x14ac:dyDescent="0.25">
      <c r="A393" s="8">
        <v>397</v>
      </c>
      <c r="B393" s="8" t="s">
        <v>19</v>
      </c>
      <c r="C393" s="8">
        <v>8</v>
      </c>
      <c r="D393" s="8" t="s">
        <v>945</v>
      </c>
      <c r="E393" s="8" t="s">
        <v>983</v>
      </c>
      <c r="F393" s="18" t="s">
        <v>984</v>
      </c>
      <c r="G393" s="18" t="s">
        <v>979</v>
      </c>
      <c r="H393" s="18">
        <v>520</v>
      </c>
      <c r="I393" s="18">
        <v>3586</v>
      </c>
      <c r="J393" s="20" t="s">
        <v>986</v>
      </c>
      <c r="K393" s="20" t="s">
        <v>25</v>
      </c>
      <c r="L393" s="27" t="s">
        <v>26</v>
      </c>
      <c r="M393" s="27" t="s">
        <v>26</v>
      </c>
      <c r="N393" s="21">
        <v>40.195353545160202</v>
      </c>
      <c r="O393" s="10">
        <v>-77.115161947329796</v>
      </c>
      <c r="P393" s="22">
        <v>398</v>
      </c>
      <c r="Q393" s="23">
        <v>44223</v>
      </c>
      <c r="R393" s="22" t="s">
        <v>27</v>
      </c>
      <c r="S393" s="22" t="s">
        <v>28</v>
      </c>
      <c r="T393" s="24">
        <f t="shared" si="7"/>
        <v>497.5</v>
      </c>
    </row>
    <row r="394" spans="1:20" x14ac:dyDescent="0.25">
      <c r="A394" s="8">
        <v>398</v>
      </c>
      <c r="B394" s="8" t="s">
        <v>19</v>
      </c>
      <c r="C394" s="8">
        <v>8</v>
      </c>
      <c r="D394" s="8" t="s">
        <v>945</v>
      </c>
      <c r="E394" s="8" t="s">
        <v>983</v>
      </c>
      <c r="F394" s="18" t="s">
        <v>984</v>
      </c>
      <c r="G394" s="18" t="s">
        <v>979</v>
      </c>
      <c r="H394" s="18">
        <v>530</v>
      </c>
      <c r="I394" s="18">
        <v>0</v>
      </c>
      <c r="J394" s="20" t="s">
        <v>987</v>
      </c>
      <c r="K394" s="20" t="s">
        <v>25</v>
      </c>
      <c r="L394" s="27" t="s">
        <v>26</v>
      </c>
      <c r="M394" s="27" t="s">
        <v>26</v>
      </c>
      <c r="N394" s="21">
        <v>40.195326096927801</v>
      </c>
      <c r="O394" s="10">
        <v>-77.114899579820104</v>
      </c>
      <c r="P394" s="22">
        <v>386</v>
      </c>
      <c r="Q394" s="23">
        <v>44223</v>
      </c>
      <c r="R394" s="22" t="s">
        <v>27</v>
      </c>
      <c r="S394" s="22" t="s">
        <v>34</v>
      </c>
      <c r="T394" s="24">
        <f t="shared" si="7"/>
        <v>482.5</v>
      </c>
    </row>
    <row r="395" spans="1:20" x14ac:dyDescent="0.25">
      <c r="A395" s="8">
        <v>399</v>
      </c>
      <c r="B395" s="8" t="s">
        <v>19</v>
      </c>
      <c r="C395" s="8">
        <v>8</v>
      </c>
      <c r="D395" s="8" t="s">
        <v>945</v>
      </c>
      <c r="E395" s="8" t="s">
        <v>988</v>
      </c>
      <c r="F395" s="18" t="s">
        <v>984</v>
      </c>
      <c r="G395" s="18" t="s">
        <v>979</v>
      </c>
      <c r="H395" s="18">
        <v>610</v>
      </c>
      <c r="I395" s="18">
        <v>1624</v>
      </c>
      <c r="J395" s="20" t="s">
        <v>989</v>
      </c>
      <c r="K395" s="20" t="s">
        <v>25</v>
      </c>
      <c r="L395" s="27" t="s">
        <v>26</v>
      </c>
      <c r="M395" s="27" t="s">
        <v>26</v>
      </c>
      <c r="N395" s="21">
        <v>40.202280645660501</v>
      </c>
      <c r="O395" s="10">
        <v>-77.044664295367198</v>
      </c>
      <c r="P395" s="22">
        <v>557</v>
      </c>
      <c r="Q395" s="23">
        <v>44223</v>
      </c>
      <c r="R395" s="22" t="s">
        <v>27</v>
      </c>
      <c r="S395" s="22" t="s">
        <v>28</v>
      </c>
      <c r="T395" s="24">
        <f t="shared" si="7"/>
        <v>696.25</v>
      </c>
    </row>
    <row r="396" spans="1:20" x14ac:dyDescent="0.25">
      <c r="A396" s="8">
        <v>400</v>
      </c>
      <c r="B396" s="8" t="s">
        <v>19</v>
      </c>
      <c r="C396" s="8">
        <v>8</v>
      </c>
      <c r="D396" s="8" t="s">
        <v>945</v>
      </c>
      <c r="E396" s="8" t="s">
        <v>983</v>
      </c>
      <c r="F396" s="18" t="s">
        <v>990</v>
      </c>
      <c r="G396" s="18" t="s">
        <v>991</v>
      </c>
      <c r="H396" s="18">
        <v>420</v>
      </c>
      <c r="I396" s="18">
        <v>0</v>
      </c>
      <c r="J396" s="20" t="s">
        <v>992</v>
      </c>
      <c r="K396" s="20" t="s">
        <v>25</v>
      </c>
      <c r="L396" s="27" t="s">
        <v>26</v>
      </c>
      <c r="M396" s="27" t="s">
        <v>26</v>
      </c>
      <c r="N396" s="21">
        <v>40.2753171100873</v>
      </c>
      <c r="O396" s="10">
        <v>-77.132270240485397</v>
      </c>
      <c r="P396" s="22">
        <v>693</v>
      </c>
      <c r="Q396" s="23">
        <v>44224</v>
      </c>
      <c r="R396" s="22" t="s">
        <v>27</v>
      </c>
      <c r="S396" s="22" t="s">
        <v>38</v>
      </c>
      <c r="T396" s="24">
        <f t="shared" si="7"/>
        <v>866.25</v>
      </c>
    </row>
    <row r="397" spans="1:20" x14ac:dyDescent="0.25">
      <c r="A397" s="8">
        <v>401</v>
      </c>
      <c r="B397" s="8" t="s">
        <v>19</v>
      </c>
      <c r="C397" s="8">
        <v>8</v>
      </c>
      <c r="D397" s="8" t="s">
        <v>945</v>
      </c>
      <c r="E397" s="8" t="s">
        <v>983</v>
      </c>
      <c r="F397" s="18" t="s">
        <v>990</v>
      </c>
      <c r="G397" s="18" t="s">
        <v>991</v>
      </c>
      <c r="H397" s="18">
        <v>430</v>
      </c>
      <c r="I397" s="18">
        <v>0</v>
      </c>
      <c r="J397" s="20" t="s">
        <v>993</v>
      </c>
      <c r="K397" s="20" t="s">
        <v>25</v>
      </c>
      <c r="L397" s="27" t="s">
        <v>26</v>
      </c>
      <c r="M397" s="27" t="s">
        <v>26</v>
      </c>
      <c r="N397" s="21">
        <v>40.282638654338299</v>
      </c>
      <c r="O397" s="10">
        <v>-77.129263038443597</v>
      </c>
      <c r="P397" s="22">
        <v>721</v>
      </c>
      <c r="Q397" s="23">
        <v>44224</v>
      </c>
      <c r="R397" s="22" t="s">
        <v>27</v>
      </c>
      <c r="S397" s="22" t="s">
        <v>34</v>
      </c>
      <c r="T397" s="24">
        <f t="shared" si="7"/>
        <v>901.25</v>
      </c>
    </row>
    <row r="398" spans="1:20" x14ac:dyDescent="0.25">
      <c r="A398" s="8">
        <v>402</v>
      </c>
      <c r="B398" s="8" t="s">
        <v>19</v>
      </c>
      <c r="C398" s="8">
        <v>8</v>
      </c>
      <c r="D398" s="8" t="s">
        <v>945</v>
      </c>
      <c r="E398" s="8" t="s">
        <v>983</v>
      </c>
      <c r="F398" s="18" t="s">
        <v>990</v>
      </c>
      <c r="G398" s="18" t="s">
        <v>991</v>
      </c>
      <c r="H398" s="18">
        <v>450</v>
      </c>
      <c r="I398" s="18">
        <v>1590</v>
      </c>
      <c r="J398" s="20" t="s">
        <v>994</v>
      </c>
      <c r="K398" s="20" t="s">
        <v>25</v>
      </c>
      <c r="L398" s="27" t="s">
        <v>26</v>
      </c>
      <c r="M398" s="27" t="s">
        <v>26</v>
      </c>
      <c r="N398" s="21">
        <v>40.286703483153602</v>
      </c>
      <c r="O398" s="10">
        <v>-77.1079975004087</v>
      </c>
      <c r="P398" s="22">
        <v>320</v>
      </c>
      <c r="Q398" s="23">
        <v>44224</v>
      </c>
      <c r="R398" s="22" t="s">
        <v>27</v>
      </c>
      <c r="S398" s="22" t="s">
        <v>34</v>
      </c>
      <c r="T398" s="24">
        <f t="shared" si="7"/>
        <v>400</v>
      </c>
    </row>
    <row r="399" spans="1:20" x14ac:dyDescent="0.25">
      <c r="A399" s="8">
        <v>403</v>
      </c>
      <c r="B399" s="8" t="s">
        <v>19</v>
      </c>
      <c r="C399" s="8">
        <v>8</v>
      </c>
      <c r="D399" s="8" t="s">
        <v>945</v>
      </c>
      <c r="E399" s="8" t="s">
        <v>995</v>
      </c>
      <c r="F399" s="18" t="s">
        <v>990</v>
      </c>
      <c r="G399" s="18" t="s">
        <v>991</v>
      </c>
      <c r="H399" s="19">
        <v>610</v>
      </c>
      <c r="I399" s="19">
        <v>1155</v>
      </c>
      <c r="J399" s="20" t="s">
        <v>996</v>
      </c>
      <c r="K399" s="20" t="s">
        <v>25</v>
      </c>
      <c r="L399" s="27" t="s">
        <v>26</v>
      </c>
      <c r="M399" s="27" t="s">
        <v>26</v>
      </c>
      <c r="N399" s="21">
        <v>40.286347328101598</v>
      </c>
      <c r="O399" s="10">
        <v>-76.961045707002597</v>
      </c>
      <c r="P399" s="22">
        <v>448</v>
      </c>
      <c r="Q399" s="23">
        <v>44224</v>
      </c>
      <c r="R399" s="22" t="s">
        <v>27</v>
      </c>
      <c r="S399" s="22" t="s">
        <v>34</v>
      </c>
      <c r="T399" s="24">
        <f t="shared" si="7"/>
        <v>560</v>
      </c>
    </row>
    <row r="400" spans="1:20" x14ac:dyDescent="0.25">
      <c r="A400" s="8">
        <v>404</v>
      </c>
      <c r="B400" s="8" t="s">
        <v>19</v>
      </c>
      <c r="C400" s="8">
        <v>8</v>
      </c>
      <c r="D400" s="8" t="s">
        <v>945</v>
      </c>
      <c r="E400" s="8" t="s">
        <v>968</v>
      </c>
      <c r="F400" s="18" t="s">
        <v>997</v>
      </c>
      <c r="G400" s="18" t="s">
        <v>489</v>
      </c>
      <c r="H400" s="18">
        <v>10</v>
      </c>
      <c r="I400" s="18">
        <v>0</v>
      </c>
      <c r="J400" s="20" t="s">
        <v>998</v>
      </c>
      <c r="K400" s="20" t="s">
        <v>25</v>
      </c>
      <c r="L400" s="27" t="s">
        <v>26</v>
      </c>
      <c r="M400" s="27" t="s">
        <v>26</v>
      </c>
      <c r="N400" s="21">
        <v>40.1877872989146</v>
      </c>
      <c r="O400" s="10">
        <v>-77.125373536282595</v>
      </c>
      <c r="P400" s="22">
        <v>1064</v>
      </c>
      <c r="Q400" s="23">
        <v>44223</v>
      </c>
      <c r="R400" s="22" t="s">
        <v>27</v>
      </c>
      <c r="S400" s="22" t="s">
        <v>28</v>
      </c>
      <c r="T400" s="24">
        <f t="shared" si="7"/>
        <v>1330</v>
      </c>
    </row>
    <row r="401" spans="1:20" x14ac:dyDescent="0.25">
      <c r="A401" s="8">
        <v>405</v>
      </c>
      <c r="B401" s="8" t="s">
        <v>19</v>
      </c>
      <c r="C401" s="8">
        <v>8</v>
      </c>
      <c r="D401" s="8" t="s">
        <v>945</v>
      </c>
      <c r="E401" s="8" t="s">
        <v>999</v>
      </c>
      <c r="F401" s="18" t="s">
        <v>1000</v>
      </c>
      <c r="G401" s="18" t="s">
        <v>491</v>
      </c>
      <c r="H401" s="18">
        <v>250</v>
      </c>
      <c r="I401" s="18">
        <v>0</v>
      </c>
      <c r="J401" s="20" t="s">
        <v>1001</v>
      </c>
      <c r="K401" s="20" t="s">
        <v>25</v>
      </c>
      <c r="L401" s="27" t="s">
        <v>26</v>
      </c>
      <c r="M401" s="27" t="s">
        <v>26</v>
      </c>
      <c r="N401" s="21">
        <v>40.089249500435699</v>
      </c>
      <c r="O401" s="10">
        <v>-77.508934983570398</v>
      </c>
      <c r="P401" s="22">
        <v>243</v>
      </c>
      <c r="Q401" s="23">
        <v>44235</v>
      </c>
      <c r="R401" s="22" t="s">
        <v>27</v>
      </c>
      <c r="S401" s="22" t="s">
        <v>38</v>
      </c>
      <c r="T401" s="24">
        <f t="shared" si="7"/>
        <v>303.75</v>
      </c>
    </row>
    <row r="402" spans="1:20" x14ac:dyDescent="0.25">
      <c r="A402" s="8">
        <v>406</v>
      </c>
      <c r="B402" s="8" t="s">
        <v>19</v>
      </c>
      <c r="C402" s="8">
        <v>8</v>
      </c>
      <c r="D402" s="8" t="s">
        <v>945</v>
      </c>
      <c r="E402" s="8" t="s">
        <v>949</v>
      </c>
      <c r="F402" s="18" t="s">
        <v>707</v>
      </c>
      <c r="G402" s="18" t="s">
        <v>1002</v>
      </c>
      <c r="H402" s="19">
        <v>70</v>
      </c>
      <c r="I402" s="19">
        <v>1570</v>
      </c>
      <c r="J402" s="20" t="s">
        <v>1003</v>
      </c>
      <c r="K402" s="20" t="s">
        <v>25</v>
      </c>
      <c r="L402" s="27" t="s">
        <v>26</v>
      </c>
      <c r="M402" s="27" t="s">
        <v>26</v>
      </c>
      <c r="N402" s="21">
        <v>40.1950468980205</v>
      </c>
      <c r="O402" s="10">
        <v>-77.192411404287498</v>
      </c>
      <c r="P402" s="22">
        <v>1316</v>
      </c>
      <c r="Q402" s="23">
        <v>44231</v>
      </c>
      <c r="R402" s="22" t="s">
        <v>27</v>
      </c>
      <c r="S402" s="22" t="s">
        <v>34</v>
      </c>
      <c r="T402" s="24">
        <f t="shared" si="7"/>
        <v>1645</v>
      </c>
    </row>
    <row r="403" spans="1:20" x14ac:dyDescent="0.25">
      <c r="A403" s="8">
        <v>407</v>
      </c>
      <c r="B403" s="8" t="s">
        <v>19</v>
      </c>
      <c r="C403" s="8">
        <v>8</v>
      </c>
      <c r="D403" s="8" t="s">
        <v>945</v>
      </c>
      <c r="E403" s="8" t="s">
        <v>1004</v>
      </c>
      <c r="F403" s="18" t="s">
        <v>1005</v>
      </c>
      <c r="G403" s="18" t="s">
        <v>878</v>
      </c>
      <c r="H403" s="18">
        <v>20</v>
      </c>
      <c r="I403" s="18">
        <v>0</v>
      </c>
      <c r="J403" s="20" t="s">
        <v>737</v>
      </c>
      <c r="K403" s="20" t="s">
        <v>25</v>
      </c>
      <c r="L403" s="27" t="s">
        <v>26</v>
      </c>
      <c r="M403" s="27" t="s">
        <v>26</v>
      </c>
      <c r="N403" s="21">
        <v>40.209594608352504</v>
      </c>
      <c r="O403" s="10">
        <v>-77.363272748821998</v>
      </c>
      <c r="P403" s="22">
        <v>527</v>
      </c>
      <c r="Q403" s="23">
        <v>44235</v>
      </c>
      <c r="R403" s="22" t="s">
        <v>27</v>
      </c>
      <c r="S403" s="22" t="s">
        <v>28</v>
      </c>
      <c r="T403" s="24">
        <f t="shared" si="7"/>
        <v>658.75</v>
      </c>
    </row>
    <row r="404" spans="1:20" x14ac:dyDescent="0.25">
      <c r="A404" s="8">
        <v>408</v>
      </c>
      <c r="B404" s="8" t="s">
        <v>19</v>
      </c>
      <c r="C404" s="8">
        <v>8</v>
      </c>
      <c r="D404" s="8" t="s">
        <v>945</v>
      </c>
      <c r="E404" s="8" t="s">
        <v>946</v>
      </c>
      <c r="F404" s="18" t="s">
        <v>1006</v>
      </c>
      <c r="G404" s="18" t="s">
        <v>1007</v>
      </c>
      <c r="H404" s="18">
        <v>30</v>
      </c>
      <c r="I404" s="18">
        <v>680</v>
      </c>
      <c r="J404" s="20" t="s">
        <v>966</v>
      </c>
      <c r="K404" s="20" t="s">
        <v>25</v>
      </c>
      <c r="L404" s="27" t="s">
        <v>26</v>
      </c>
      <c r="M404" s="27" t="s">
        <v>26</v>
      </c>
      <c r="N404" s="21">
        <v>40.209689208119201</v>
      </c>
      <c r="O404" s="10">
        <v>-77.353976381428495</v>
      </c>
      <c r="P404" s="22">
        <v>199</v>
      </c>
      <c r="Q404" s="23">
        <v>44235</v>
      </c>
      <c r="R404" s="22" t="s">
        <v>27</v>
      </c>
      <c r="S404" s="22" t="s">
        <v>38</v>
      </c>
      <c r="T404" s="24">
        <f t="shared" si="7"/>
        <v>248.75</v>
      </c>
    </row>
    <row r="405" spans="1:20" x14ac:dyDescent="0.25">
      <c r="A405" s="8">
        <v>409</v>
      </c>
      <c r="B405" s="8" t="s">
        <v>19</v>
      </c>
      <c r="C405" s="8">
        <v>8</v>
      </c>
      <c r="D405" s="8" t="s">
        <v>945</v>
      </c>
      <c r="E405" s="8" t="s">
        <v>946</v>
      </c>
      <c r="F405" s="18" t="s">
        <v>1008</v>
      </c>
      <c r="G405" s="18" t="s">
        <v>1009</v>
      </c>
      <c r="H405" s="18">
        <v>10</v>
      </c>
      <c r="I405" s="18">
        <v>0</v>
      </c>
      <c r="J405" s="20" t="s">
        <v>966</v>
      </c>
      <c r="K405" s="20" t="s">
        <v>25</v>
      </c>
      <c r="L405" s="27" t="s">
        <v>26</v>
      </c>
      <c r="M405" s="27" t="s">
        <v>26</v>
      </c>
      <c r="N405" s="21">
        <v>40.214159059967798</v>
      </c>
      <c r="O405" s="10">
        <v>-77.313276231946602</v>
      </c>
      <c r="P405" s="22">
        <v>215</v>
      </c>
      <c r="Q405" s="23">
        <v>44235</v>
      </c>
      <c r="R405" s="22" t="s">
        <v>27</v>
      </c>
      <c r="S405" s="22" t="s">
        <v>38</v>
      </c>
      <c r="T405" s="24">
        <f t="shared" si="7"/>
        <v>268.75</v>
      </c>
    </row>
    <row r="406" spans="1:20" x14ac:dyDescent="0.25">
      <c r="A406" s="8">
        <v>505</v>
      </c>
      <c r="B406" s="8" t="s">
        <v>19</v>
      </c>
      <c r="C406" s="8">
        <v>8</v>
      </c>
      <c r="D406" s="8" t="s">
        <v>1010</v>
      </c>
      <c r="E406" s="8" t="s">
        <v>1011</v>
      </c>
      <c r="F406" s="18" t="s">
        <v>1012</v>
      </c>
      <c r="G406" s="18" t="s">
        <v>646</v>
      </c>
      <c r="H406" s="19">
        <v>120</v>
      </c>
      <c r="I406" s="19">
        <v>0</v>
      </c>
      <c r="J406" s="20" t="s">
        <v>315</v>
      </c>
      <c r="K406" s="20" t="s">
        <v>25</v>
      </c>
      <c r="L406" s="27" t="s">
        <v>26</v>
      </c>
      <c r="M406" s="27" t="s">
        <v>26</v>
      </c>
      <c r="N406" s="21">
        <v>39.789760724679702</v>
      </c>
      <c r="O406" s="10">
        <v>-77.732005980599197</v>
      </c>
      <c r="P406" s="22">
        <v>707</v>
      </c>
      <c r="Q406" s="23">
        <v>44251</v>
      </c>
      <c r="R406" s="22" t="s">
        <v>27</v>
      </c>
      <c r="S406" s="22" t="s">
        <v>38</v>
      </c>
      <c r="T406" s="24">
        <f t="shared" si="7"/>
        <v>883.75</v>
      </c>
    </row>
    <row r="407" spans="1:20" x14ac:dyDescent="0.25">
      <c r="A407" s="8">
        <v>506</v>
      </c>
      <c r="B407" s="8" t="s">
        <v>19</v>
      </c>
      <c r="C407" s="8">
        <v>8</v>
      </c>
      <c r="D407" s="8" t="s">
        <v>1010</v>
      </c>
      <c r="E407" s="8" t="s">
        <v>1013</v>
      </c>
      <c r="F407" s="18" t="s">
        <v>77</v>
      </c>
      <c r="G407" s="18" t="s">
        <v>646</v>
      </c>
      <c r="H407" s="19">
        <v>331</v>
      </c>
      <c r="I407" s="19">
        <v>1608</v>
      </c>
      <c r="J407" s="20" t="s">
        <v>743</v>
      </c>
      <c r="K407" s="20" t="s">
        <v>25</v>
      </c>
      <c r="L407" s="27" t="s">
        <v>26</v>
      </c>
      <c r="M407" s="27" t="s">
        <v>26</v>
      </c>
      <c r="N407" s="21">
        <v>39.931833447022903</v>
      </c>
      <c r="O407" s="10">
        <v>-77.662513207123297</v>
      </c>
      <c r="P407" s="22">
        <v>1032</v>
      </c>
      <c r="Q407" s="23">
        <v>44251</v>
      </c>
      <c r="R407" s="22" t="s">
        <v>27</v>
      </c>
      <c r="S407" s="22" t="s">
        <v>38</v>
      </c>
      <c r="T407" s="24">
        <f t="shared" si="7"/>
        <v>1290</v>
      </c>
    </row>
    <row r="408" spans="1:20" x14ac:dyDescent="0.25">
      <c r="A408" s="8">
        <v>507</v>
      </c>
      <c r="B408" s="8" t="s">
        <v>19</v>
      </c>
      <c r="C408" s="8">
        <v>8</v>
      </c>
      <c r="D408" s="8" t="s">
        <v>1010</v>
      </c>
      <c r="E408" s="8" t="s">
        <v>1014</v>
      </c>
      <c r="F408" s="18" t="s">
        <v>77</v>
      </c>
      <c r="G408" s="18" t="s">
        <v>886</v>
      </c>
      <c r="H408" s="18">
        <v>150</v>
      </c>
      <c r="I408" s="18">
        <v>899</v>
      </c>
      <c r="J408" s="20" t="s">
        <v>1015</v>
      </c>
      <c r="K408" s="20" t="s">
        <v>25</v>
      </c>
      <c r="L408" s="27" t="s">
        <v>26</v>
      </c>
      <c r="M408" s="27" t="s">
        <v>26</v>
      </c>
      <c r="N408" s="21">
        <v>39.825596761694399</v>
      </c>
      <c r="O408" s="10">
        <v>-77.903555498925201</v>
      </c>
      <c r="P408" s="22">
        <v>1248</v>
      </c>
      <c r="Q408" s="23">
        <v>44251</v>
      </c>
      <c r="R408" s="22" t="s">
        <v>27</v>
      </c>
      <c r="S408" s="22" t="s">
        <v>517</v>
      </c>
      <c r="T408" s="24">
        <f t="shared" si="7"/>
        <v>1560</v>
      </c>
    </row>
    <row r="409" spans="1:20" x14ac:dyDescent="0.25">
      <c r="A409" s="8">
        <v>508</v>
      </c>
      <c r="B409" s="8" t="s">
        <v>19</v>
      </c>
      <c r="C409" s="8">
        <v>8</v>
      </c>
      <c r="D409" s="8" t="s">
        <v>1010</v>
      </c>
      <c r="E409" s="8" t="s">
        <v>1016</v>
      </c>
      <c r="F409" s="18" t="s">
        <v>1017</v>
      </c>
      <c r="G409" s="18" t="s">
        <v>886</v>
      </c>
      <c r="H409" s="18">
        <v>230</v>
      </c>
      <c r="I409" s="18">
        <v>0</v>
      </c>
      <c r="J409" s="20" t="s">
        <v>1018</v>
      </c>
      <c r="K409" s="20" t="s">
        <v>25</v>
      </c>
      <c r="L409" s="27" t="s">
        <v>26</v>
      </c>
      <c r="M409" s="27" t="s">
        <v>26</v>
      </c>
      <c r="N409" s="21">
        <v>39.801860309571502</v>
      </c>
      <c r="O409" s="10">
        <v>-77.8473057130049</v>
      </c>
      <c r="P409" s="22">
        <v>185</v>
      </c>
      <c r="Q409" s="23">
        <v>44251</v>
      </c>
      <c r="R409" s="22" t="s">
        <v>27</v>
      </c>
      <c r="S409" s="22" t="s">
        <v>34</v>
      </c>
      <c r="T409" s="24">
        <f t="shared" si="7"/>
        <v>231.25</v>
      </c>
    </row>
    <row r="410" spans="1:20" x14ac:dyDescent="0.25">
      <c r="A410" s="8">
        <v>509</v>
      </c>
      <c r="B410" s="8" t="s">
        <v>19</v>
      </c>
      <c r="C410" s="8">
        <v>8</v>
      </c>
      <c r="D410" s="8" t="s">
        <v>1010</v>
      </c>
      <c r="E410" s="8" t="s">
        <v>1019</v>
      </c>
      <c r="F410" s="18" t="s">
        <v>1017</v>
      </c>
      <c r="G410" s="18" t="s">
        <v>886</v>
      </c>
      <c r="H410" s="18">
        <v>310</v>
      </c>
      <c r="I410" s="18">
        <v>837</v>
      </c>
      <c r="J410" s="20" t="s">
        <v>1020</v>
      </c>
      <c r="K410" s="20" t="s">
        <v>25</v>
      </c>
      <c r="L410" s="27" t="s">
        <v>26</v>
      </c>
      <c r="M410" s="27" t="s">
        <v>26</v>
      </c>
      <c r="N410" s="21">
        <v>39.798503208809699</v>
      </c>
      <c r="O410" s="10">
        <v>-77.772301978642801</v>
      </c>
      <c r="P410" s="22">
        <v>1377</v>
      </c>
      <c r="Q410" s="23">
        <v>44251</v>
      </c>
      <c r="R410" s="22" t="s">
        <v>27</v>
      </c>
      <c r="S410" s="22" t="s">
        <v>34</v>
      </c>
      <c r="T410" s="24">
        <f t="shared" si="7"/>
        <v>1721.25</v>
      </c>
    </row>
    <row r="411" spans="1:20" x14ac:dyDescent="0.25">
      <c r="A411" s="8">
        <v>510</v>
      </c>
      <c r="B411" s="8" t="s">
        <v>19</v>
      </c>
      <c r="C411" s="8">
        <v>8</v>
      </c>
      <c r="D411" s="8" t="s">
        <v>1010</v>
      </c>
      <c r="E411" s="8" t="s">
        <v>1019</v>
      </c>
      <c r="F411" s="18" t="s">
        <v>1017</v>
      </c>
      <c r="G411" s="18" t="s">
        <v>886</v>
      </c>
      <c r="H411" s="18">
        <v>460</v>
      </c>
      <c r="I411" s="18">
        <v>0</v>
      </c>
      <c r="J411" s="20" t="s">
        <v>1021</v>
      </c>
      <c r="K411" s="20" t="s">
        <v>25</v>
      </c>
      <c r="L411" s="27" t="s">
        <v>26</v>
      </c>
      <c r="M411" s="27" t="s">
        <v>26</v>
      </c>
      <c r="N411" s="21">
        <v>39.773119498119499</v>
      </c>
      <c r="O411" s="10">
        <v>-77.657324461300504</v>
      </c>
      <c r="P411" s="22">
        <v>1526</v>
      </c>
      <c r="Q411" s="23">
        <v>44224</v>
      </c>
      <c r="R411" s="22" t="s">
        <v>27</v>
      </c>
      <c r="S411" s="22" t="s">
        <v>28</v>
      </c>
      <c r="T411" s="24">
        <f t="shared" si="7"/>
        <v>1907.5</v>
      </c>
    </row>
    <row r="412" spans="1:20" x14ac:dyDescent="0.25">
      <c r="A412" s="8">
        <v>511</v>
      </c>
      <c r="B412" s="8" t="s">
        <v>19</v>
      </c>
      <c r="C412" s="8">
        <v>8</v>
      </c>
      <c r="D412" s="8" t="s">
        <v>1010</v>
      </c>
      <c r="E412" s="8" t="s">
        <v>1022</v>
      </c>
      <c r="F412" s="18" t="s">
        <v>1023</v>
      </c>
      <c r="G412" s="18" t="s">
        <v>890</v>
      </c>
      <c r="H412" s="18">
        <v>100</v>
      </c>
      <c r="I412" s="18">
        <v>736</v>
      </c>
      <c r="J412" s="20" t="s">
        <v>1024</v>
      </c>
      <c r="K412" s="20" t="s">
        <v>25</v>
      </c>
      <c r="L412" s="27" t="s">
        <v>26</v>
      </c>
      <c r="M412" s="27" t="s">
        <v>26</v>
      </c>
      <c r="N412" s="21">
        <v>39.912284003096097</v>
      </c>
      <c r="O412" s="10">
        <v>-77.905377943521003</v>
      </c>
      <c r="P412" s="22">
        <v>539</v>
      </c>
      <c r="Q412" s="23">
        <v>44251</v>
      </c>
      <c r="R412" s="22" t="s">
        <v>27</v>
      </c>
      <c r="S412" s="22" t="s">
        <v>34</v>
      </c>
      <c r="T412" s="24">
        <f t="shared" ref="T412:T444" si="8">P412*$X$9</f>
        <v>673.75</v>
      </c>
    </row>
    <row r="413" spans="1:20" x14ac:dyDescent="0.25">
      <c r="A413" s="8">
        <v>512</v>
      </c>
      <c r="B413" s="8" t="s">
        <v>19</v>
      </c>
      <c r="C413" s="8">
        <v>8</v>
      </c>
      <c r="D413" s="8" t="s">
        <v>1010</v>
      </c>
      <c r="E413" s="8" t="s">
        <v>1025</v>
      </c>
      <c r="F413" s="18" t="s">
        <v>1023</v>
      </c>
      <c r="G413" s="18" t="s">
        <v>890</v>
      </c>
      <c r="H413" s="19">
        <v>432</v>
      </c>
      <c r="I413" s="19">
        <v>905</v>
      </c>
      <c r="J413" s="20" t="s">
        <v>1026</v>
      </c>
      <c r="K413" s="20" t="s">
        <v>25</v>
      </c>
      <c r="L413" s="27" t="s">
        <v>26</v>
      </c>
      <c r="M413" s="27" t="s">
        <v>26</v>
      </c>
      <c r="N413" s="21">
        <v>39.9274245160478</v>
      </c>
      <c r="O413" s="10">
        <v>-77.629344436581405</v>
      </c>
      <c r="P413" s="22">
        <v>4004</v>
      </c>
      <c r="Q413" s="23">
        <v>44251</v>
      </c>
      <c r="R413" s="22" t="s">
        <v>33</v>
      </c>
      <c r="S413" s="22" t="s">
        <v>28</v>
      </c>
      <c r="T413" s="24">
        <f t="shared" si="8"/>
        <v>5005</v>
      </c>
    </row>
    <row r="414" spans="1:20" x14ac:dyDescent="0.25">
      <c r="A414" s="8">
        <v>513</v>
      </c>
      <c r="B414" s="8" t="s">
        <v>19</v>
      </c>
      <c r="C414" s="8">
        <v>8</v>
      </c>
      <c r="D414" s="8" t="s">
        <v>1010</v>
      </c>
      <c r="E414" s="8" t="s">
        <v>1025</v>
      </c>
      <c r="F414" s="18" t="s">
        <v>1023</v>
      </c>
      <c r="G414" s="18" t="s">
        <v>890</v>
      </c>
      <c r="H414" s="19">
        <v>462</v>
      </c>
      <c r="I414" s="19">
        <v>0</v>
      </c>
      <c r="J414" s="20" t="s">
        <v>1027</v>
      </c>
      <c r="K414" s="20" t="s">
        <v>25</v>
      </c>
      <c r="L414" s="27" t="s">
        <v>26</v>
      </c>
      <c r="M414" s="27" t="s">
        <v>26</v>
      </c>
      <c r="N414" s="21">
        <v>39.922413483872901</v>
      </c>
      <c r="O414" s="10">
        <v>-77.600998529917604</v>
      </c>
      <c r="P414" s="22">
        <v>2398</v>
      </c>
      <c r="Q414" s="23">
        <v>44224</v>
      </c>
      <c r="R414" s="22" t="s">
        <v>27</v>
      </c>
      <c r="S414" s="22" t="s">
        <v>28</v>
      </c>
      <c r="T414" s="24">
        <f t="shared" si="8"/>
        <v>2997.5</v>
      </c>
    </row>
    <row r="415" spans="1:20" x14ac:dyDescent="0.25">
      <c r="A415" s="8">
        <v>514</v>
      </c>
      <c r="B415" s="8" t="s">
        <v>19</v>
      </c>
      <c r="C415" s="8">
        <v>8</v>
      </c>
      <c r="D415" s="8" t="s">
        <v>1010</v>
      </c>
      <c r="E415" s="8" t="s">
        <v>1025</v>
      </c>
      <c r="F415" s="18" t="s">
        <v>1028</v>
      </c>
      <c r="G415" s="18" t="s">
        <v>1029</v>
      </c>
      <c r="H415" s="18">
        <v>70</v>
      </c>
      <c r="I415" s="18">
        <v>1976</v>
      </c>
      <c r="J415" s="20" t="s">
        <v>1030</v>
      </c>
      <c r="K415" s="20" t="s">
        <v>25</v>
      </c>
      <c r="L415" s="27" t="s">
        <v>26</v>
      </c>
      <c r="M415" s="27" t="s">
        <v>26</v>
      </c>
      <c r="N415" s="21">
        <v>39.852965360590098</v>
      </c>
      <c r="O415" s="10">
        <v>-77.517797964250605</v>
      </c>
      <c r="P415" s="22">
        <v>10</v>
      </c>
      <c r="Q415" s="23">
        <v>44224</v>
      </c>
      <c r="R415" s="22" t="s">
        <v>27</v>
      </c>
      <c r="S415" s="22" t="s">
        <v>34</v>
      </c>
      <c r="T415" s="24">
        <f t="shared" si="8"/>
        <v>12.5</v>
      </c>
    </row>
    <row r="416" spans="1:20" x14ac:dyDescent="0.25">
      <c r="A416" s="8">
        <v>515</v>
      </c>
      <c r="B416" s="8" t="s">
        <v>19</v>
      </c>
      <c r="C416" s="8">
        <v>8</v>
      </c>
      <c r="D416" s="8" t="s">
        <v>1010</v>
      </c>
      <c r="E416" s="8" t="s">
        <v>1031</v>
      </c>
      <c r="F416" s="18" t="s">
        <v>1032</v>
      </c>
      <c r="G416" s="18" t="s">
        <v>1033</v>
      </c>
      <c r="H416" s="18">
        <v>220</v>
      </c>
      <c r="I416" s="18">
        <v>1033</v>
      </c>
      <c r="J416" s="20" t="s">
        <v>1034</v>
      </c>
      <c r="K416" s="20" t="s">
        <v>25</v>
      </c>
      <c r="L416" s="27" t="s">
        <v>26</v>
      </c>
      <c r="M416" s="27" t="s">
        <v>26</v>
      </c>
      <c r="N416" s="21">
        <v>39.844685836143803</v>
      </c>
      <c r="O416" s="10">
        <v>-77.606576083951495</v>
      </c>
      <c r="P416" s="22">
        <v>569</v>
      </c>
      <c r="Q416" s="23">
        <v>44224</v>
      </c>
      <c r="R416" s="22" t="s">
        <v>27</v>
      </c>
      <c r="S416" s="22" t="s">
        <v>38</v>
      </c>
      <c r="T416" s="24">
        <f t="shared" si="8"/>
        <v>711.25</v>
      </c>
    </row>
    <row r="417" spans="1:20" x14ac:dyDescent="0.25">
      <c r="A417" s="8">
        <v>516</v>
      </c>
      <c r="B417" s="8" t="s">
        <v>19</v>
      </c>
      <c r="C417" s="8">
        <v>8</v>
      </c>
      <c r="D417" s="8" t="s">
        <v>1010</v>
      </c>
      <c r="E417" s="8" t="s">
        <v>1013</v>
      </c>
      <c r="F417" s="18" t="s">
        <v>1035</v>
      </c>
      <c r="G417" s="18" t="s">
        <v>1033</v>
      </c>
      <c r="H417" s="19">
        <v>330</v>
      </c>
      <c r="I417" s="19">
        <v>744</v>
      </c>
      <c r="J417" s="20" t="s">
        <v>1036</v>
      </c>
      <c r="K417" s="20" t="s">
        <v>25</v>
      </c>
      <c r="L417" s="27" t="s">
        <v>26</v>
      </c>
      <c r="M417" s="27" t="s">
        <v>26</v>
      </c>
      <c r="N417" s="21">
        <v>39.911966712955703</v>
      </c>
      <c r="O417" s="10">
        <v>-77.651300196170595</v>
      </c>
      <c r="P417" s="22">
        <v>2201</v>
      </c>
      <c r="Q417" s="23">
        <v>44251</v>
      </c>
      <c r="R417" s="22" t="s">
        <v>27</v>
      </c>
      <c r="S417" s="22" t="s">
        <v>38</v>
      </c>
      <c r="T417" s="24">
        <f t="shared" si="8"/>
        <v>2751.25</v>
      </c>
    </row>
    <row r="418" spans="1:20" x14ac:dyDescent="0.25">
      <c r="A418" s="8">
        <v>517</v>
      </c>
      <c r="B418" s="8" t="s">
        <v>19</v>
      </c>
      <c r="C418" s="8">
        <v>8</v>
      </c>
      <c r="D418" s="8" t="s">
        <v>1010</v>
      </c>
      <c r="E418" s="8" t="s">
        <v>1037</v>
      </c>
      <c r="F418" s="18" t="s">
        <v>596</v>
      </c>
      <c r="G418" s="18" t="s">
        <v>1038</v>
      </c>
      <c r="H418" s="19">
        <v>70</v>
      </c>
      <c r="I418" s="19">
        <v>312</v>
      </c>
      <c r="J418" s="20" t="s">
        <v>1039</v>
      </c>
      <c r="K418" s="20" t="s">
        <v>25</v>
      </c>
      <c r="L418" s="27" t="s">
        <v>26</v>
      </c>
      <c r="M418" s="27" t="s">
        <v>26</v>
      </c>
      <c r="N418" s="21">
        <v>39.756357049995501</v>
      </c>
      <c r="O418" s="10">
        <v>-77.577029067542497</v>
      </c>
      <c r="P418" s="22">
        <v>572</v>
      </c>
      <c r="Q418" s="23">
        <v>44224</v>
      </c>
      <c r="R418" s="22" t="s">
        <v>27</v>
      </c>
      <c r="S418" s="22" t="s">
        <v>517</v>
      </c>
      <c r="T418" s="24">
        <f t="shared" si="8"/>
        <v>715</v>
      </c>
    </row>
    <row r="419" spans="1:20" x14ac:dyDescent="0.25">
      <c r="A419" s="8">
        <v>518</v>
      </c>
      <c r="B419" s="8" t="s">
        <v>19</v>
      </c>
      <c r="C419" s="8">
        <v>8</v>
      </c>
      <c r="D419" s="8" t="s">
        <v>1010</v>
      </c>
      <c r="E419" s="8" t="s">
        <v>1031</v>
      </c>
      <c r="F419" s="18" t="s">
        <v>1040</v>
      </c>
      <c r="G419" s="18" t="s">
        <v>1038</v>
      </c>
      <c r="H419" s="18">
        <v>140</v>
      </c>
      <c r="I419" s="18">
        <v>0</v>
      </c>
      <c r="J419" s="20" t="s">
        <v>1041</v>
      </c>
      <c r="K419" s="20" t="s">
        <v>25</v>
      </c>
      <c r="L419" s="27" t="s">
        <v>26</v>
      </c>
      <c r="M419" s="27" t="s">
        <v>26</v>
      </c>
      <c r="N419" s="21">
        <v>39.789317698280897</v>
      </c>
      <c r="O419" s="10">
        <v>-77.575222749058796</v>
      </c>
      <c r="P419" s="22">
        <v>794</v>
      </c>
      <c r="Q419" s="23">
        <v>44224</v>
      </c>
      <c r="R419" s="22" t="s">
        <v>27</v>
      </c>
      <c r="S419" s="22" t="s">
        <v>517</v>
      </c>
      <c r="T419" s="24">
        <f t="shared" si="8"/>
        <v>992.5</v>
      </c>
    </row>
    <row r="420" spans="1:20" x14ac:dyDescent="0.25">
      <c r="A420" s="8">
        <v>519</v>
      </c>
      <c r="B420" s="8" t="s">
        <v>19</v>
      </c>
      <c r="C420" s="8">
        <v>8</v>
      </c>
      <c r="D420" s="8" t="s">
        <v>1010</v>
      </c>
      <c r="E420" s="8" t="s">
        <v>1011</v>
      </c>
      <c r="F420" s="18" t="s">
        <v>48</v>
      </c>
      <c r="G420" s="18" t="s">
        <v>249</v>
      </c>
      <c r="H420" s="19">
        <v>30</v>
      </c>
      <c r="I420" s="19">
        <v>1674</v>
      </c>
      <c r="J420" s="20" t="s">
        <v>315</v>
      </c>
      <c r="K420" s="20" t="s">
        <v>25</v>
      </c>
      <c r="L420" s="27" t="s">
        <v>26</v>
      </c>
      <c r="M420" s="27" t="s">
        <v>26</v>
      </c>
      <c r="N420" s="21">
        <v>39.788379120245303</v>
      </c>
      <c r="O420" s="10">
        <v>-77.726400187774104</v>
      </c>
      <c r="P420" s="22">
        <v>664</v>
      </c>
      <c r="Q420" s="23">
        <v>44251</v>
      </c>
      <c r="R420" s="22" t="s">
        <v>27</v>
      </c>
      <c r="S420" s="22" t="s">
        <v>517</v>
      </c>
      <c r="T420" s="24">
        <f t="shared" si="8"/>
        <v>830</v>
      </c>
    </row>
    <row r="421" spans="1:20" x14ac:dyDescent="0.25">
      <c r="A421" s="8">
        <v>837</v>
      </c>
      <c r="B421" s="8" t="s">
        <v>19</v>
      </c>
      <c r="C421" s="8">
        <v>8</v>
      </c>
      <c r="D421" s="8" t="s">
        <v>1042</v>
      </c>
      <c r="E421" s="8" t="s">
        <v>1043</v>
      </c>
      <c r="F421" s="18" t="s">
        <v>1044</v>
      </c>
      <c r="G421" s="18" t="s">
        <v>897</v>
      </c>
      <c r="H421" s="18">
        <v>190</v>
      </c>
      <c r="I421" s="18">
        <v>0</v>
      </c>
      <c r="J421" s="20" t="s">
        <v>1045</v>
      </c>
      <c r="K421" s="20" t="s">
        <v>25</v>
      </c>
      <c r="L421" s="27" t="s">
        <v>26</v>
      </c>
      <c r="M421" s="27" t="s">
        <v>26</v>
      </c>
      <c r="N421" s="21">
        <v>40.375502755861099</v>
      </c>
      <c r="O421" s="10">
        <v>-77.153782410393205</v>
      </c>
      <c r="P421" s="22">
        <v>323</v>
      </c>
      <c r="Q421" s="23">
        <v>44236</v>
      </c>
      <c r="R421" s="22" t="s">
        <v>27</v>
      </c>
      <c r="S421" s="22" t="s">
        <v>28</v>
      </c>
      <c r="T421" s="24">
        <f t="shared" si="8"/>
        <v>403.75</v>
      </c>
    </row>
    <row r="422" spans="1:20" x14ac:dyDescent="0.25">
      <c r="A422" s="8">
        <v>838</v>
      </c>
      <c r="B422" s="8" t="s">
        <v>19</v>
      </c>
      <c r="C422" s="8">
        <v>8</v>
      </c>
      <c r="D422" s="8" t="s">
        <v>1042</v>
      </c>
      <c r="E422" s="8" t="s">
        <v>1046</v>
      </c>
      <c r="F422" s="18" t="s">
        <v>233</v>
      </c>
      <c r="G422" s="18" t="s">
        <v>897</v>
      </c>
      <c r="H422" s="18">
        <v>430</v>
      </c>
      <c r="I422" s="18">
        <v>354</v>
      </c>
      <c r="J422" s="20" t="s">
        <v>1047</v>
      </c>
      <c r="K422" s="20" t="s">
        <v>25</v>
      </c>
      <c r="L422" s="27" t="s">
        <v>26</v>
      </c>
      <c r="M422" s="27" t="s">
        <v>26</v>
      </c>
      <c r="N422" s="21">
        <v>40.477152389098102</v>
      </c>
      <c r="O422" s="10">
        <v>-77.131679998700406</v>
      </c>
      <c r="P422" s="22">
        <v>1155</v>
      </c>
      <c r="Q422" s="23">
        <v>44251</v>
      </c>
      <c r="R422" s="22" t="s">
        <v>27</v>
      </c>
      <c r="S422" s="22" t="s">
        <v>34</v>
      </c>
      <c r="T422" s="24">
        <f t="shared" si="8"/>
        <v>1443.75</v>
      </c>
    </row>
    <row r="423" spans="1:20" x14ac:dyDescent="0.25">
      <c r="A423" s="8">
        <v>839</v>
      </c>
      <c r="B423" s="8" t="s">
        <v>19</v>
      </c>
      <c r="C423" s="8">
        <v>8</v>
      </c>
      <c r="D423" s="8" t="s">
        <v>1042</v>
      </c>
      <c r="E423" s="8" t="s">
        <v>1048</v>
      </c>
      <c r="F423" s="18" t="s">
        <v>1049</v>
      </c>
      <c r="G423" s="18" t="s">
        <v>897</v>
      </c>
      <c r="H423" s="18">
        <v>450</v>
      </c>
      <c r="I423" s="18">
        <v>2295</v>
      </c>
      <c r="J423" s="20" t="s">
        <v>1050</v>
      </c>
      <c r="K423" s="20" t="s">
        <v>25</v>
      </c>
      <c r="L423" s="27" t="s">
        <v>26</v>
      </c>
      <c r="M423" s="27" t="s">
        <v>26</v>
      </c>
      <c r="N423" s="21">
        <v>40.487442643576898</v>
      </c>
      <c r="O423" s="10">
        <v>-77.117943376517204</v>
      </c>
      <c r="P423" s="22">
        <v>907</v>
      </c>
      <c r="Q423" s="23">
        <v>44243</v>
      </c>
      <c r="R423" s="22" t="s">
        <v>27</v>
      </c>
      <c r="S423" s="22" t="s">
        <v>28</v>
      </c>
      <c r="T423" s="24">
        <f t="shared" si="8"/>
        <v>1133.75</v>
      </c>
    </row>
    <row r="424" spans="1:20" x14ac:dyDescent="0.25">
      <c r="A424" s="8">
        <v>840</v>
      </c>
      <c r="B424" s="8" t="s">
        <v>19</v>
      </c>
      <c r="C424" s="8">
        <v>8</v>
      </c>
      <c r="D424" s="8" t="s">
        <v>1042</v>
      </c>
      <c r="E424" s="8" t="s">
        <v>1051</v>
      </c>
      <c r="F424" s="18" t="s">
        <v>1052</v>
      </c>
      <c r="G424" s="18" t="s">
        <v>897</v>
      </c>
      <c r="H424" s="18">
        <v>610</v>
      </c>
      <c r="I424" s="18">
        <v>155</v>
      </c>
      <c r="J424" s="20" t="s">
        <v>1053</v>
      </c>
      <c r="K424" s="20" t="s">
        <v>25</v>
      </c>
      <c r="L424" s="27" t="s">
        <v>26</v>
      </c>
      <c r="M424" s="27" t="s">
        <v>26</v>
      </c>
      <c r="N424" s="21">
        <v>40.536524011303399</v>
      </c>
      <c r="O424" s="10">
        <v>-77.0156355969429</v>
      </c>
      <c r="P424" s="22">
        <v>16</v>
      </c>
      <c r="Q424" s="23">
        <v>44243</v>
      </c>
      <c r="R424" s="22" t="s">
        <v>27</v>
      </c>
      <c r="S424" s="22" t="s">
        <v>28</v>
      </c>
      <c r="T424" s="24">
        <f t="shared" si="8"/>
        <v>20</v>
      </c>
    </row>
    <row r="425" spans="1:20" x14ac:dyDescent="0.25">
      <c r="A425" s="8">
        <v>841</v>
      </c>
      <c r="B425" s="8" t="s">
        <v>19</v>
      </c>
      <c r="C425" s="8">
        <v>8</v>
      </c>
      <c r="D425" s="8" t="s">
        <v>1042</v>
      </c>
      <c r="E425" s="8" t="s">
        <v>286</v>
      </c>
      <c r="F425" s="18" t="s">
        <v>1054</v>
      </c>
      <c r="G425" s="18" t="s">
        <v>1055</v>
      </c>
      <c r="H425" s="18">
        <v>500</v>
      </c>
      <c r="I425" s="18">
        <v>2165</v>
      </c>
      <c r="J425" s="20" t="s">
        <v>1056</v>
      </c>
      <c r="K425" s="20" t="s">
        <v>25</v>
      </c>
      <c r="L425" s="27" t="s">
        <v>26</v>
      </c>
      <c r="M425" s="27" t="s">
        <v>26</v>
      </c>
      <c r="N425" s="21">
        <v>40.388794025607901</v>
      </c>
      <c r="O425" s="10">
        <v>-77.288956462437994</v>
      </c>
      <c r="P425" s="22">
        <v>176</v>
      </c>
      <c r="Q425" s="23">
        <v>44243</v>
      </c>
      <c r="R425" s="22" t="s">
        <v>27</v>
      </c>
      <c r="S425" s="22" t="s">
        <v>28</v>
      </c>
      <c r="T425" s="24">
        <f t="shared" si="8"/>
        <v>220</v>
      </c>
    </row>
    <row r="426" spans="1:20" x14ac:dyDescent="0.25">
      <c r="A426" s="8">
        <v>842</v>
      </c>
      <c r="B426" s="8" t="s">
        <v>19</v>
      </c>
      <c r="C426" s="8">
        <v>8</v>
      </c>
      <c r="D426" s="8" t="s">
        <v>1042</v>
      </c>
      <c r="E426" s="8" t="s">
        <v>1057</v>
      </c>
      <c r="F426" s="18" t="s">
        <v>1058</v>
      </c>
      <c r="G426" s="18" t="s">
        <v>1055</v>
      </c>
      <c r="H426" s="18">
        <v>610</v>
      </c>
      <c r="I426" s="18">
        <v>2134</v>
      </c>
      <c r="J426" s="20" t="s">
        <v>1059</v>
      </c>
      <c r="K426" s="20" t="s">
        <v>25</v>
      </c>
      <c r="L426" s="27" t="s">
        <v>26</v>
      </c>
      <c r="M426" s="27" t="s">
        <v>26</v>
      </c>
      <c r="N426" s="21">
        <v>40.417682205825599</v>
      </c>
      <c r="O426" s="10">
        <v>-77.192605000983505</v>
      </c>
      <c r="P426" s="22">
        <v>14</v>
      </c>
      <c r="Q426" s="23">
        <v>44243</v>
      </c>
      <c r="R426" s="22" t="s">
        <v>27</v>
      </c>
      <c r="S426" s="22" t="s">
        <v>28</v>
      </c>
      <c r="T426" s="24">
        <f t="shared" si="8"/>
        <v>17.5</v>
      </c>
    </row>
    <row r="427" spans="1:20" x14ac:dyDescent="0.25">
      <c r="A427" s="8">
        <v>843</v>
      </c>
      <c r="B427" s="8" t="s">
        <v>19</v>
      </c>
      <c r="C427" s="8">
        <v>8</v>
      </c>
      <c r="D427" s="8" t="s">
        <v>1042</v>
      </c>
      <c r="E427" s="8" t="s">
        <v>1060</v>
      </c>
      <c r="F427" s="18" t="s">
        <v>1061</v>
      </c>
      <c r="G427" s="18" t="s">
        <v>1055</v>
      </c>
      <c r="H427" s="18">
        <v>670</v>
      </c>
      <c r="I427" s="18">
        <v>0</v>
      </c>
      <c r="J427" s="20" t="s">
        <v>854</v>
      </c>
      <c r="K427" s="20" t="s">
        <v>25</v>
      </c>
      <c r="L427" s="27" t="s">
        <v>26</v>
      </c>
      <c r="M427" s="27" t="s">
        <v>26</v>
      </c>
      <c r="N427" s="21">
        <v>40.400328944578902</v>
      </c>
      <c r="O427" s="10">
        <v>-77.113153965475206</v>
      </c>
      <c r="P427" s="22">
        <v>128</v>
      </c>
      <c r="Q427" s="23">
        <v>44236</v>
      </c>
      <c r="R427" s="22" t="s">
        <v>27</v>
      </c>
      <c r="S427" s="22" t="s">
        <v>28</v>
      </c>
      <c r="T427" s="24">
        <f t="shared" si="8"/>
        <v>160</v>
      </c>
    </row>
    <row r="428" spans="1:20" x14ac:dyDescent="0.25">
      <c r="A428" s="8">
        <v>844</v>
      </c>
      <c r="B428" s="8" t="s">
        <v>19</v>
      </c>
      <c r="C428" s="8">
        <v>8</v>
      </c>
      <c r="D428" s="8" t="s">
        <v>1042</v>
      </c>
      <c r="E428" s="8" t="s">
        <v>1060</v>
      </c>
      <c r="F428" s="18" t="s">
        <v>1061</v>
      </c>
      <c r="G428" s="18" t="s">
        <v>1055</v>
      </c>
      <c r="H428" s="18">
        <v>700</v>
      </c>
      <c r="I428" s="18">
        <v>0</v>
      </c>
      <c r="J428" s="20" t="s">
        <v>1062</v>
      </c>
      <c r="K428" s="20" t="s">
        <v>25</v>
      </c>
      <c r="L428" s="27" t="s">
        <v>26</v>
      </c>
      <c r="M428" s="27" t="s">
        <v>26</v>
      </c>
      <c r="N428" s="21">
        <v>40.403712294803803</v>
      </c>
      <c r="O428" s="10">
        <v>-77.086412581025897</v>
      </c>
      <c r="P428" s="22">
        <v>221</v>
      </c>
      <c r="Q428" s="23">
        <v>44236</v>
      </c>
      <c r="R428" s="22" t="s">
        <v>27</v>
      </c>
      <c r="S428" s="22" t="s">
        <v>28</v>
      </c>
      <c r="T428" s="24">
        <f t="shared" si="8"/>
        <v>276.25</v>
      </c>
    </row>
    <row r="429" spans="1:20" x14ac:dyDescent="0.25">
      <c r="A429" s="8">
        <v>845</v>
      </c>
      <c r="B429" s="8" t="s">
        <v>19</v>
      </c>
      <c r="C429" s="8">
        <v>8</v>
      </c>
      <c r="D429" s="8" t="s">
        <v>1042</v>
      </c>
      <c r="E429" s="8" t="s">
        <v>1063</v>
      </c>
      <c r="F429" s="18" t="s">
        <v>1061</v>
      </c>
      <c r="G429" s="18" t="s">
        <v>1055</v>
      </c>
      <c r="H429" s="18">
        <v>760</v>
      </c>
      <c r="I429" s="18">
        <v>516</v>
      </c>
      <c r="J429" s="20" t="s">
        <v>1064</v>
      </c>
      <c r="K429" s="20" t="s">
        <v>25</v>
      </c>
      <c r="L429" s="27" t="s">
        <v>26</v>
      </c>
      <c r="M429" s="27" t="s">
        <v>26</v>
      </c>
      <c r="N429" s="21">
        <v>40.390902662405203</v>
      </c>
      <c r="O429" s="10">
        <v>-77.042002136981395</v>
      </c>
      <c r="P429" s="22">
        <v>2308</v>
      </c>
      <c r="Q429" s="23">
        <v>44236</v>
      </c>
      <c r="R429" s="22" t="s">
        <v>27</v>
      </c>
      <c r="S429" s="22" t="s">
        <v>28</v>
      </c>
      <c r="T429" s="24">
        <f t="shared" si="8"/>
        <v>2885</v>
      </c>
    </row>
    <row r="430" spans="1:20" x14ac:dyDescent="0.25">
      <c r="A430" s="8">
        <v>846</v>
      </c>
      <c r="B430" s="8" t="s">
        <v>19</v>
      </c>
      <c r="C430" s="8">
        <v>8</v>
      </c>
      <c r="D430" s="8" t="s">
        <v>1042</v>
      </c>
      <c r="E430" s="8" t="s">
        <v>1063</v>
      </c>
      <c r="F430" s="18" t="s">
        <v>1061</v>
      </c>
      <c r="G430" s="18" t="s">
        <v>1055</v>
      </c>
      <c r="H430" s="18">
        <v>760</v>
      </c>
      <c r="I430" s="18">
        <v>1284</v>
      </c>
      <c r="J430" s="20" t="s">
        <v>1065</v>
      </c>
      <c r="K430" s="20" t="s">
        <v>25</v>
      </c>
      <c r="L430" s="27" t="s">
        <v>26</v>
      </c>
      <c r="M430" s="27" t="s">
        <v>26</v>
      </c>
      <c r="N430" s="21">
        <v>40.389619674379503</v>
      </c>
      <c r="O430" s="10">
        <v>-77.039710480177305</v>
      </c>
      <c r="P430" s="22">
        <v>117</v>
      </c>
      <c r="Q430" s="23">
        <v>44236</v>
      </c>
      <c r="R430" s="22" t="s">
        <v>27</v>
      </c>
      <c r="S430" s="22" t="s">
        <v>34</v>
      </c>
      <c r="T430" s="24">
        <f t="shared" si="8"/>
        <v>146.25</v>
      </c>
    </row>
    <row r="431" spans="1:20" x14ac:dyDescent="0.25">
      <c r="A431" s="8">
        <v>847</v>
      </c>
      <c r="B431" s="8" t="s">
        <v>19</v>
      </c>
      <c r="C431" s="8">
        <v>8</v>
      </c>
      <c r="D431" s="8" t="s">
        <v>1042</v>
      </c>
      <c r="E431" s="8" t="s">
        <v>1046</v>
      </c>
      <c r="F431" s="18" t="s">
        <v>391</v>
      </c>
      <c r="G431" s="18" t="s">
        <v>1066</v>
      </c>
      <c r="H431" s="18">
        <v>300</v>
      </c>
      <c r="I431" s="18">
        <v>700</v>
      </c>
      <c r="J431" s="20" t="s">
        <v>1067</v>
      </c>
      <c r="K431" s="20" t="s">
        <v>25</v>
      </c>
      <c r="L431" s="27" t="s">
        <v>26</v>
      </c>
      <c r="M431" s="27" t="s">
        <v>26</v>
      </c>
      <c r="N431" s="21">
        <v>40.480193277650301</v>
      </c>
      <c r="O431" s="10">
        <v>-77.135570567712193</v>
      </c>
      <c r="P431" s="22">
        <v>215</v>
      </c>
      <c r="Q431" s="23">
        <v>44243</v>
      </c>
      <c r="R431" s="22" t="s">
        <v>27</v>
      </c>
      <c r="S431" s="22" t="s">
        <v>34</v>
      </c>
      <c r="T431" s="24">
        <f t="shared" si="8"/>
        <v>268.75</v>
      </c>
    </row>
    <row r="432" spans="1:20" x14ac:dyDescent="0.25">
      <c r="A432" s="8">
        <v>848</v>
      </c>
      <c r="B432" s="8" t="s">
        <v>19</v>
      </c>
      <c r="C432" s="8">
        <v>8</v>
      </c>
      <c r="D432" s="8" t="s">
        <v>1042</v>
      </c>
      <c r="E432" s="8" t="s">
        <v>1046</v>
      </c>
      <c r="F432" s="18" t="s">
        <v>391</v>
      </c>
      <c r="G432" s="18" t="s">
        <v>1066</v>
      </c>
      <c r="H432" s="18">
        <v>300</v>
      </c>
      <c r="I432" s="18">
        <v>1694</v>
      </c>
      <c r="J432" s="20" t="s">
        <v>93</v>
      </c>
      <c r="K432" s="20" t="s">
        <v>25</v>
      </c>
      <c r="L432" s="27" t="s">
        <v>26</v>
      </c>
      <c r="M432" s="27" t="s">
        <v>26</v>
      </c>
      <c r="N432" s="21">
        <v>40.477844659992797</v>
      </c>
      <c r="O432" s="10">
        <v>-77.133877816153998</v>
      </c>
      <c r="P432" s="22">
        <v>1846</v>
      </c>
      <c r="Q432" s="23">
        <v>44243</v>
      </c>
      <c r="R432" s="22" t="s">
        <v>27</v>
      </c>
      <c r="S432" s="22" t="s">
        <v>34</v>
      </c>
      <c r="T432" s="24">
        <f t="shared" si="8"/>
        <v>2307.5</v>
      </c>
    </row>
    <row r="433" spans="1:20" x14ac:dyDescent="0.25">
      <c r="A433" s="8">
        <v>849</v>
      </c>
      <c r="B433" s="8" t="s">
        <v>19</v>
      </c>
      <c r="C433" s="8">
        <v>8</v>
      </c>
      <c r="D433" s="8" t="s">
        <v>1042</v>
      </c>
      <c r="E433" s="8" t="s">
        <v>1068</v>
      </c>
      <c r="F433" s="18" t="s">
        <v>1069</v>
      </c>
      <c r="G433" s="18" t="s">
        <v>160</v>
      </c>
      <c r="H433" s="18">
        <v>230</v>
      </c>
      <c r="I433" s="18">
        <v>2004</v>
      </c>
      <c r="J433" s="20" t="s">
        <v>1070</v>
      </c>
      <c r="K433" s="20" t="s">
        <v>25</v>
      </c>
      <c r="L433" s="27" t="s">
        <v>26</v>
      </c>
      <c r="M433" s="27" t="s">
        <v>26</v>
      </c>
      <c r="N433" s="21">
        <v>40.477033961331401</v>
      </c>
      <c r="O433" s="10">
        <v>-77.139834409727499</v>
      </c>
      <c r="P433" s="22">
        <v>197</v>
      </c>
      <c r="Q433" s="23">
        <v>44243</v>
      </c>
      <c r="R433" s="22" t="s">
        <v>27</v>
      </c>
      <c r="S433" s="22" t="s">
        <v>28</v>
      </c>
      <c r="T433" s="24">
        <f t="shared" si="8"/>
        <v>246.25</v>
      </c>
    </row>
    <row r="434" spans="1:20" x14ac:dyDescent="0.25">
      <c r="A434" s="8">
        <v>1090</v>
      </c>
      <c r="B434" s="8" t="s">
        <v>19</v>
      </c>
      <c r="C434" s="8">
        <v>8</v>
      </c>
      <c r="D434" s="8" t="s">
        <v>1071</v>
      </c>
      <c r="E434" s="8" t="s">
        <v>1072</v>
      </c>
      <c r="F434" s="18" t="s">
        <v>955</v>
      </c>
      <c r="G434" s="18" t="s">
        <v>964</v>
      </c>
      <c r="H434" s="18">
        <v>880</v>
      </c>
      <c r="I434" s="18">
        <v>0</v>
      </c>
      <c r="J434" s="20" t="s">
        <v>1073</v>
      </c>
      <c r="K434" s="20" t="s">
        <v>25</v>
      </c>
      <c r="L434" s="27" t="s">
        <v>26</v>
      </c>
      <c r="M434" s="27" t="s">
        <v>26</v>
      </c>
      <c r="N434" s="21">
        <v>40.038240903734</v>
      </c>
      <c r="O434" s="10">
        <v>-76.888746096538796</v>
      </c>
      <c r="P434" s="22">
        <v>669</v>
      </c>
      <c r="Q434" s="23">
        <v>44243</v>
      </c>
      <c r="R434" s="22" t="s">
        <v>27</v>
      </c>
      <c r="S434" s="22" t="s">
        <v>517</v>
      </c>
      <c r="T434" s="24">
        <f t="shared" si="8"/>
        <v>836.25</v>
      </c>
    </row>
    <row r="435" spans="1:20" x14ac:dyDescent="0.25">
      <c r="A435" s="8">
        <v>1091</v>
      </c>
      <c r="B435" s="8" t="s">
        <v>19</v>
      </c>
      <c r="C435" s="8">
        <v>8</v>
      </c>
      <c r="D435" s="8" t="s">
        <v>1071</v>
      </c>
      <c r="E435" s="8" t="s">
        <v>1043</v>
      </c>
      <c r="F435" s="18" t="s">
        <v>955</v>
      </c>
      <c r="G435" s="18" t="s">
        <v>964</v>
      </c>
      <c r="H435" s="18">
        <v>1050</v>
      </c>
      <c r="I435" s="18">
        <v>2810</v>
      </c>
      <c r="J435" s="20" t="s">
        <v>1074</v>
      </c>
      <c r="K435" s="20" t="s">
        <v>25</v>
      </c>
      <c r="L435" s="27" t="s">
        <v>26</v>
      </c>
      <c r="M435" s="27" t="s">
        <v>26</v>
      </c>
      <c r="N435" s="21">
        <v>40.088215051936501</v>
      </c>
      <c r="O435" s="10">
        <v>-77.022196442811094</v>
      </c>
      <c r="P435" s="22">
        <v>525</v>
      </c>
      <c r="Q435" s="23">
        <v>44243</v>
      </c>
      <c r="R435" s="22" t="s">
        <v>27</v>
      </c>
      <c r="S435" s="22" t="s">
        <v>517</v>
      </c>
      <c r="T435" s="24">
        <f t="shared" si="8"/>
        <v>656.25</v>
      </c>
    </row>
    <row r="436" spans="1:20" x14ac:dyDescent="0.25">
      <c r="A436" s="8">
        <v>1092</v>
      </c>
      <c r="B436" s="8" t="s">
        <v>19</v>
      </c>
      <c r="C436" s="8">
        <v>8</v>
      </c>
      <c r="D436" s="8" t="s">
        <v>1071</v>
      </c>
      <c r="E436" s="8" t="s">
        <v>1075</v>
      </c>
      <c r="F436" s="18" t="s">
        <v>1076</v>
      </c>
      <c r="G436" s="18" t="s">
        <v>901</v>
      </c>
      <c r="H436" s="19">
        <v>150</v>
      </c>
      <c r="I436" s="19">
        <v>790</v>
      </c>
      <c r="J436" s="20" t="s">
        <v>1077</v>
      </c>
      <c r="K436" s="20" t="s">
        <v>25</v>
      </c>
      <c r="L436" s="27" t="s">
        <v>26</v>
      </c>
      <c r="M436" s="27" t="s">
        <v>26</v>
      </c>
      <c r="N436" s="21">
        <v>39.8021331884445</v>
      </c>
      <c r="O436" s="10">
        <v>-76.985090047933099</v>
      </c>
      <c r="P436" s="22">
        <v>1812</v>
      </c>
      <c r="Q436" s="23">
        <v>44243</v>
      </c>
      <c r="R436" s="22" t="s">
        <v>27</v>
      </c>
      <c r="S436" s="22" t="s">
        <v>38</v>
      </c>
      <c r="T436" s="24">
        <f t="shared" si="8"/>
        <v>2265</v>
      </c>
    </row>
    <row r="437" spans="1:20" x14ac:dyDescent="0.25">
      <c r="A437" s="8">
        <v>1093</v>
      </c>
      <c r="B437" s="8" t="s">
        <v>19</v>
      </c>
      <c r="C437" s="8">
        <v>8</v>
      </c>
      <c r="D437" s="8" t="s">
        <v>1071</v>
      </c>
      <c r="E437" s="8" t="s">
        <v>1078</v>
      </c>
      <c r="F437" s="18" t="s">
        <v>918</v>
      </c>
      <c r="G437" s="18" t="s">
        <v>911</v>
      </c>
      <c r="H437" s="19">
        <v>270</v>
      </c>
      <c r="I437" s="19">
        <v>1209</v>
      </c>
      <c r="J437" s="20" t="s">
        <v>1079</v>
      </c>
      <c r="K437" s="20" t="s">
        <v>25</v>
      </c>
      <c r="L437" s="27" t="s">
        <v>26</v>
      </c>
      <c r="M437" s="27" t="s">
        <v>26</v>
      </c>
      <c r="N437" s="21">
        <v>39.886450862717403</v>
      </c>
      <c r="O437" s="10">
        <v>-76.860820126753794</v>
      </c>
      <c r="P437" s="22">
        <v>3152</v>
      </c>
      <c r="Q437" s="23">
        <v>44243</v>
      </c>
      <c r="R437" s="22" t="s">
        <v>27</v>
      </c>
      <c r="S437" s="22" t="s">
        <v>517</v>
      </c>
      <c r="T437" s="24">
        <f t="shared" si="8"/>
        <v>3940</v>
      </c>
    </row>
    <row r="438" spans="1:20" x14ac:dyDescent="0.25">
      <c r="A438" s="8">
        <v>1094</v>
      </c>
      <c r="B438" s="8" t="s">
        <v>19</v>
      </c>
      <c r="C438" s="8">
        <v>8</v>
      </c>
      <c r="D438" s="8" t="s">
        <v>1071</v>
      </c>
      <c r="E438" s="8" t="s">
        <v>1075</v>
      </c>
      <c r="F438" s="18" t="s">
        <v>1080</v>
      </c>
      <c r="G438" s="18" t="s">
        <v>924</v>
      </c>
      <c r="H438" s="19">
        <v>60</v>
      </c>
      <c r="I438" s="19">
        <v>2204</v>
      </c>
      <c r="J438" s="20" t="s">
        <v>1081</v>
      </c>
      <c r="K438" s="20" t="s">
        <v>25</v>
      </c>
      <c r="L438" s="27" t="s">
        <v>26</v>
      </c>
      <c r="M438" s="27" t="s">
        <v>26</v>
      </c>
      <c r="N438" s="21">
        <v>39.825938309057797</v>
      </c>
      <c r="O438" s="10">
        <v>-76.972685438940701</v>
      </c>
      <c r="P438" s="22">
        <v>851</v>
      </c>
      <c r="Q438" s="23">
        <v>44243</v>
      </c>
      <c r="R438" s="22" t="s">
        <v>27</v>
      </c>
      <c r="S438" s="22" t="s">
        <v>517</v>
      </c>
      <c r="T438" s="24">
        <f t="shared" si="8"/>
        <v>1063.75</v>
      </c>
    </row>
    <row r="439" spans="1:20" x14ac:dyDescent="0.25">
      <c r="A439" s="8">
        <v>1095</v>
      </c>
      <c r="B439" s="8" t="s">
        <v>19</v>
      </c>
      <c r="C439" s="8">
        <v>8</v>
      </c>
      <c r="D439" s="8" t="s">
        <v>1071</v>
      </c>
      <c r="E439" s="8" t="s">
        <v>776</v>
      </c>
      <c r="F439" s="18" t="s">
        <v>932</v>
      </c>
      <c r="G439" s="18" t="s">
        <v>929</v>
      </c>
      <c r="H439" s="18">
        <v>90</v>
      </c>
      <c r="I439" s="18">
        <v>2107</v>
      </c>
      <c r="J439" s="20" t="s">
        <v>1082</v>
      </c>
      <c r="K439" s="20" t="s">
        <v>1083</v>
      </c>
      <c r="L439" s="27" t="s">
        <v>26</v>
      </c>
      <c r="M439" s="27" t="s">
        <v>26</v>
      </c>
      <c r="N439" s="21">
        <v>39.939240481388197</v>
      </c>
      <c r="O439" s="10">
        <v>-76.890431910028994</v>
      </c>
      <c r="P439" s="22">
        <v>242</v>
      </c>
      <c r="Q439" s="23">
        <v>44243</v>
      </c>
      <c r="R439" s="22" t="s">
        <v>27</v>
      </c>
      <c r="S439" s="22" t="s">
        <v>38</v>
      </c>
      <c r="T439" s="24">
        <f t="shared" si="8"/>
        <v>302.5</v>
      </c>
    </row>
    <row r="440" spans="1:20" x14ac:dyDescent="0.25">
      <c r="A440" s="8">
        <v>1096</v>
      </c>
      <c r="B440" s="8" t="s">
        <v>19</v>
      </c>
      <c r="C440" s="8">
        <v>8</v>
      </c>
      <c r="D440" s="8" t="s">
        <v>1071</v>
      </c>
      <c r="E440" s="8" t="s">
        <v>1084</v>
      </c>
      <c r="F440" s="18" t="s">
        <v>1085</v>
      </c>
      <c r="G440" s="18" t="s">
        <v>1086</v>
      </c>
      <c r="H440" s="18">
        <v>10</v>
      </c>
      <c r="I440" s="18">
        <v>1713</v>
      </c>
      <c r="J440" s="20" t="s">
        <v>1087</v>
      </c>
      <c r="K440" s="20" t="s">
        <v>25</v>
      </c>
      <c r="L440" s="27" t="s">
        <v>26</v>
      </c>
      <c r="M440" s="27" t="s">
        <v>26</v>
      </c>
      <c r="N440" s="21">
        <v>39.797625451975797</v>
      </c>
      <c r="O440" s="10">
        <v>-76.358014978651994</v>
      </c>
      <c r="P440" s="22">
        <v>1276</v>
      </c>
      <c r="Q440" s="23">
        <v>44243</v>
      </c>
      <c r="R440" s="22" t="s">
        <v>27</v>
      </c>
      <c r="S440" s="22" t="s">
        <v>34</v>
      </c>
      <c r="T440" s="24">
        <f t="shared" si="8"/>
        <v>1595</v>
      </c>
    </row>
    <row r="441" spans="1:20" x14ac:dyDescent="0.25">
      <c r="A441" s="8">
        <v>1097</v>
      </c>
      <c r="B441" s="8" t="s">
        <v>19</v>
      </c>
      <c r="C441" s="8">
        <v>8</v>
      </c>
      <c r="D441" s="8" t="s">
        <v>1071</v>
      </c>
      <c r="E441" s="8" t="s">
        <v>1088</v>
      </c>
      <c r="F441" s="18" t="s">
        <v>1089</v>
      </c>
      <c r="G441" s="18" t="s">
        <v>1090</v>
      </c>
      <c r="H441" s="18">
        <v>60</v>
      </c>
      <c r="I441" s="18">
        <v>1233</v>
      </c>
      <c r="J441" s="20" t="s">
        <v>1091</v>
      </c>
      <c r="K441" s="20" t="s">
        <v>25</v>
      </c>
      <c r="L441" s="27" t="s">
        <v>26</v>
      </c>
      <c r="M441" s="27" t="s">
        <v>26</v>
      </c>
      <c r="N441" s="21">
        <v>39.7260703152185</v>
      </c>
      <c r="O441" s="10">
        <v>-76.766146444362903</v>
      </c>
      <c r="P441" s="22">
        <v>627</v>
      </c>
      <c r="Q441" s="23">
        <v>44243</v>
      </c>
      <c r="R441" s="22" t="s">
        <v>27</v>
      </c>
      <c r="S441" s="22" t="s">
        <v>517</v>
      </c>
      <c r="T441" s="24">
        <f t="shared" si="8"/>
        <v>783.75</v>
      </c>
    </row>
    <row r="442" spans="1:20" x14ac:dyDescent="0.25">
      <c r="A442" s="8">
        <v>1098</v>
      </c>
      <c r="B442" s="8" t="s">
        <v>19</v>
      </c>
      <c r="C442" s="8">
        <v>8</v>
      </c>
      <c r="D442" s="8" t="s">
        <v>1071</v>
      </c>
      <c r="E442" s="8" t="s">
        <v>1092</v>
      </c>
      <c r="F442" s="18" t="s">
        <v>1093</v>
      </c>
      <c r="G442" s="18" t="s">
        <v>1094</v>
      </c>
      <c r="H442" s="19">
        <v>120</v>
      </c>
      <c r="I442" s="19">
        <v>0</v>
      </c>
      <c r="J442" s="20" t="s">
        <v>1095</v>
      </c>
      <c r="K442" s="20" t="s">
        <v>25</v>
      </c>
      <c r="L442" s="27" t="s">
        <v>26</v>
      </c>
      <c r="M442" s="27" t="s">
        <v>26</v>
      </c>
      <c r="N442" s="21">
        <v>39.977151558843701</v>
      </c>
      <c r="O442" s="10">
        <v>-76.756754647464604</v>
      </c>
      <c r="P442" s="22">
        <v>2209</v>
      </c>
      <c r="Q442" s="23">
        <v>44243</v>
      </c>
      <c r="R442" s="22" t="s">
        <v>27</v>
      </c>
      <c r="S442" s="22" t="s">
        <v>517</v>
      </c>
      <c r="T442" s="24">
        <f t="shared" si="8"/>
        <v>2761.25</v>
      </c>
    </row>
    <row r="443" spans="1:20" x14ac:dyDescent="0.25">
      <c r="A443" s="8">
        <v>1099</v>
      </c>
      <c r="B443" s="8" t="s">
        <v>19</v>
      </c>
      <c r="C443" s="8">
        <v>8</v>
      </c>
      <c r="D443" s="8" t="s">
        <v>1071</v>
      </c>
      <c r="E443" s="8" t="s">
        <v>1096</v>
      </c>
      <c r="F443" s="18" t="s">
        <v>970</v>
      </c>
      <c r="G443" s="18" t="s">
        <v>1097</v>
      </c>
      <c r="H443" s="18">
        <v>160</v>
      </c>
      <c r="I443" s="18">
        <v>1343</v>
      </c>
      <c r="J443" s="20" t="s">
        <v>997</v>
      </c>
      <c r="K443" s="20" t="s">
        <v>25</v>
      </c>
      <c r="L443" s="27" t="s">
        <v>26</v>
      </c>
      <c r="M443" s="27" t="s">
        <v>26</v>
      </c>
      <c r="N443" s="21">
        <v>40.0779624604018</v>
      </c>
      <c r="O443" s="10">
        <v>-76.928373335111601</v>
      </c>
      <c r="P443" s="22">
        <v>296</v>
      </c>
      <c r="Q443" s="23">
        <v>44243</v>
      </c>
      <c r="R443" s="22" t="s">
        <v>27</v>
      </c>
      <c r="S443" s="22" t="s">
        <v>28</v>
      </c>
      <c r="T443" s="24">
        <f t="shared" si="8"/>
        <v>370</v>
      </c>
    </row>
    <row r="444" spans="1:20" x14ac:dyDescent="0.25">
      <c r="A444" s="8">
        <v>1100</v>
      </c>
      <c r="B444" s="8" t="s">
        <v>19</v>
      </c>
      <c r="C444" s="8">
        <v>8</v>
      </c>
      <c r="D444" s="8" t="s">
        <v>1071</v>
      </c>
      <c r="E444" s="8" t="s">
        <v>1098</v>
      </c>
      <c r="F444" s="18" t="s">
        <v>993</v>
      </c>
      <c r="G444" s="18" t="s">
        <v>1099</v>
      </c>
      <c r="H444" s="18">
        <v>70</v>
      </c>
      <c r="I444" s="18">
        <v>919</v>
      </c>
      <c r="J444" s="20" t="s">
        <v>1100</v>
      </c>
      <c r="K444" s="20" t="s">
        <v>25</v>
      </c>
      <c r="L444" s="27" t="s">
        <v>26</v>
      </c>
      <c r="M444" s="27" t="s">
        <v>26</v>
      </c>
      <c r="N444" s="21">
        <v>40.078729052987804</v>
      </c>
      <c r="O444" s="10">
        <v>-77.075107990179106</v>
      </c>
      <c r="P444" s="22">
        <v>288</v>
      </c>
      <c r="Q444" s="23">
        <v>44243</v>
      </c>
      <c r="R444" s="22" t="s">
        <v>27</v>
      </c>
      <c r="S444" s="22" t="s">
        <v>28</v>
      </c>
      <c r="T444" s="24">
        <f t="shared" si="8"/>
        <v>360</v>
      </c>
    </row>
    <row r="445" spans="1:20" x14ac:dyDescent="0.25">
      <c r="A445" s="8">
        <v>99</v>
      </c>
      <c r="B445" s="8" t="s">
        <v>19</v>
      </c>
      <c r="C445" s="8">
        <v>9</v>
      </c>
      <c r="D445" s="8" t="s">
        <v>1101</v>
      </c>
      <c r="E445" s="8" t="s">
        <v>1102</v>
      </c>
      <c r="F445" s="18" t="s">
        <v>1103</v>
      </c>
      <c r="G445" s="18" t="s">
        <v>1104</v>
      </c>
      <c r="H445" s="18">
        <v>60</v>
      </c>
      <c r="I445" s="18">
        <v>1567</v>
      </c>
      <c r="J445" s="20" t="s">
        <v>1105</v>
      </c>
      <c r="K445" s="20" t="s">
        <v>25</v>
      </c>
      <c r="L445" s="27" t="s">
        <v>26</v>
      </c>
      <c r="M445" s="27" t="s">
        <v>26</v>
      </c>
      <c r="N445" s="21">
        <v>40.313062708440803</v>
      </c>
      <c r="O445" s="10">
        <v>-78.392713551121105</v>
      </c>
      <c r="P445" s="22">
        <v>422</v>
      </c>
      <c r="Q445" s="23">
        <v>44250</v>
      </c>
      <c r="R445" s="22" t="s">
        <v>27</v>
      </c>
      <c r="S445" s="22" t="s">
        <v>517</v>
      </c>
      <c r="T445" s="24">
        <f t="shared" ref="T445:T477" si="9">P445*$X$10</f>
        <v>452.38400000000001</v>
      </c>
    </row>
    <row r="446" spans="1:20" x14ac:dyDescent="0.25">
      <c r="A446" s="8">
        <v>100</v>
      </c>
      <c r="B446" s="8" t="s">
        <v>19</v>
      </c>
      <c r="C446" s="8">
        <v>9</v>
      </c>
      <c r="D446" s="8" t="s">
        <v>1101</v>
      </c>
      <c r="E446" s="8" t="s">
        <v>1102</v>
      </c>
      <c r="F446" s="18" t="s">
        <v>1103</v>
      </c>
      <c r="G446" s="18" t="s">
        <v>1104</v>
      </c>
      <c r="H446" s="19">
        <v>74</v>
      </c>
      <c r="I446" s="19">
        <v>468</v>
      </c>
      <c r="J446" s="20" t="s">
        <v>1106</v>
      </c>
      <c r="K446" s="20" t="s">
        <v>25</v>
      </c>
      <c r="L446" s="27" t="s">
        <v>26</v>
      </c>
      <c r="M446" s="27" t="s">
        <v>26</v>
      </c>
      <c r="N446" s="21">
        <v>40.321062728199202</v>
      </c>
      <c r="O446" s="10">
        <v>-78.391044625546002</v>
      </c>
      <c r="P446" s="22">
        <v>585</v>
      </c>
      <c r="Q446" s="23">
        <v>44250</v>
      </c>
      <c r="R446" s="22" t="s">
        <v>27</v>
      </c>
      <c r="S446" s="22" t="s">
        <v>517</v>
      </c>
      <c r="T446" s="24">
        <f t="shared" si="9"/>
        <v>627.12</v>
      </c>
    </row>
    <row r="447" spans="1:20" x14ac:dyDescent="0.25">
      <c r="A447" s="8">
        <v>101</v>
      </c>
      <c r="B447" s="8" t="s">
        <v>19</v>
      </c>
      <c r="C447" s="8">
        <v>9</v>
      </c>
      <c r="D447" s="8" t="s">
        <v>1101</v>
      </c>
      <c r="E447" s="8" t="s">
        <v>1107</v>
      </c>
      <c r="F447" s="18" t="s">
        <v>1103</v>
      </c>
      <c r="G447" s="18" t="s">
        <v>1104</v>
      </c>
      <c r="H447" s="19">
        <v>150</v>
      </c>
      <c r="I447" s="19">
        <v>504</v>
      </c>
      <c r="J447" s="20" t="s">
        <v>1108</v>
      </c>
      <c r="K447" s="20" t="s">
        <v>25</v>
      </c>
      <c r="L447" s="27" t="s">
        <v>26</v>
      </c>
      <c r="M447" s="27" t="s">
        <v>26</v>
      </c>
      <c r="N447" s="21">
        <v>40.361995910829002</v>
      </c>
      <c r="O447" s="10">
        <v>-78.420340717330205</v>
      </c>
      <c r="P447" s="22">
        <v>539</v>
      </c>
      <c r="Q447" s="23">
        <v>44250</v>
      </c>
      <c r="R447" s="22" t="s">
        <v>27</v>
      </c>
      <c r="S447" s="22" t="s">
        <v>517</v>
      </c>
      <c r="T447" s="24">
        <f t="shared" si="9"/>
        <v>577.80799999999999</v>
      </c>
    </row>
    <row r="448" spans="1:20" x14ac:dyDescent="0.25">
      <c r="A448" s="8">
        <v>102</v>
      </c>
      <c r="B448" s="8" t="s">
        <v>19</v>
      </c>
      <c r="C448" s="8">
        <v>9</v>
      </c>
      <c r="D448" s="8" t="s">
        <v>1101</v>
      </c>
      <c r="E448" s="8" t="s">
        <v>1102</v>
      </c>
      <c r="F448" s="18" t="s">
        <v>1109</v>
      </c>
      <c r="G448" s="18" t="s">
        <v>1110</v>
      </c>
      <c r="H448" s="18">
        <v>280</v>
      </c>
      <c r="I448" s="18">
        <v>2295</v>
      </c>
      <c r="J448" s="20" t="s">
        <v>1111</v>
      </c>
      <c r="K448" s="20" t="s">
        <v>25</v>
      </c>
      <c r="L448" s="27" t="s">
        <v>26</v>
      </c>
      <c r="M448" s="27" t="s">
        <v>26</v>
      </c>
      <c r="N448" s="21">
        <v>40.326509296793198</v>
      </c>
      <c r="O448" s="10">
        <v>-78.360219682298705</v>
      </c>
      <c r="P448" s="22">
        <v>463</v>
      </c>
      <c r="Q448" s="23">
        <v>44250</v>
      </c>
      <c r="R448" s="22" t="s">
        <v>27</v>
      </c>
      <c r="S448" s="22" t="s">
        <v>517</v>
      </c>
      <c r="T448" s="24">
        <f t="shared" si="9"/>
        <v>496.33600000000001</v>
      </c>
    </row>
    <row r="449" spans="1:20" x14ac:dyDescent="0.25">
      <c r="A449" s="8">
        <v>103</v>
      </c>
      <c r="B449" s="8" t="s">
        <v>19</v>
      </c>
      <c r="C449" s="8">
        <v>9</v>
      </c>
      <c r="D449" s="8" t="s">
        <v>1101</v>
      </c>
      <c r="E449" s="8" t="s">
        <v>1112</v>
      </c>
      <c r="F449" s="18" t="s">
        <v>1109</v>
      </c>
      <c r="G449" s="18" t="s">
        <v>1110</v>
      </c>
      <c r="H449" s="18">
        <v>300</v>
      </c>
      <c r="I449" s="18">
        <v>2998</v>
      </c>
      <c r="J449" s="20" t="s">
        <v>1113</v>
      </c>
      <c r="K449" s="20" t="s">
        <v>25</v>
      </c>
      <c r="L449" s="27" t="s">
        <v>26</v>
      </c>
      <c r="M449" s="27" t="s">
        <v>26</v>
      </c>
      <c r="N449" s="21">
        <v>40.317937610227197</v>
      </c>
      <c r="O449" s="10">
        <v>-78.335377103679505</v>
      </c>
      <c r="P449" s="22">
        <v>321</v>
      </c>
      <c r="Q449" s="23">
        <v>44250</v>
      </c>
      <c r="R449" s="22" t="s">
        <v>27</v>
      </c>
      <c r="S449" s="22" t="s">
        <v>34</v>
      </c>
      <c r="T449" s="24">
        <f t="shared" si="9"/>
        <v>344.11200000000002</v>
      </c>
    </row>
    <row r="450" spans="1:20" x14ac:dyDescent="0.25">
      <c r="A450" s="8">
        <v>104</v>
      </c>
      <c r="B450" s="8" t="s">
        <v>19</v>
      </c>
      <c r="C450" s="8">
        <v>9</v>
      </c>
      <c r="D450" s="8" t="s">
        <v>1101</v>
      </c>
      <c r="E450" s="8" t="s">
        <v>1114</v>
      </c>
      <c r="F450" s="18" t="s">
        <v>1115</v>
      </c>
      <c r="G450" s="18" t="s">
        <v>1110</v>
      </c>
      <c r="H450" s="18">
        <v>310</v>
      </c>
      <c r="I450" s="18">
        <v>1500</v>
      </c>
      <c r="J450" s="20" t="s">
        <v>1116</v>
      </c>
      <c r="K450" s="20" t="s">
        <v>25</v>
      </c>
      <c r="L450" s="27" t="s">
        <v>26</v>
      </c>
      <c r="M450" s="27" t="s">
        <v>26</v>
      </c>
      <c r="N450" s="21">
        <v>40.314005558905301</v>
      </c>
      <c r="O450" s="10">
        <v>-78.329901774182204</v>
      </c>
      <c r="P450" s="22">
        <v>444</v>
      </c>
      <c r="Q450" s="23">
        <v>44250</v>
      </c>
      <c r="R450" s="22" t="s">
        <v>27</v>
      </c>
      <c r="S450" s="22" t="s">
        <v>34</v>
      </c>
      <c r="T450" s="24">
        <f t="shared" si="9"/>
        <v>475.96800000000002</v>
      </c>
    </row>
    <row r="451" spans="1:20" x14ac:dyDescent="0.25">
      <c r="A451" s="8">
        <v>105</v>
      </c>
      <c r="B451" s="8" t="s">
        <v>19</v>
      </c>
      <c r="C451" s="8">
        <v>9</v>
      </c>
      <c r="D451" s="8" t="s">
        <v>1101</v>
      </c>
      <c r="E451" s="8" t="s">
        <v>1117</v>
      </c>
      <c r="F451" s="18" t="s">
        <v>1118</v>
      </c>
      <c r="G451" s="18" t="s">
        <v>1119</v>
      </c>
      <c r="H451" s="19">
        <v>120</v>
      </c>
      <c r="I451" s="19">
        <v>2858</v>
      </c>
      <c r="J451" s="20" t="s">
        <v>1120</v>
      </c>
      <c r="K451" s="20" t="s">
        <v>25</v>
      </c>
      <c r="L451" s="27" t="s">
        <v>26</v>
      </c>
      <c r="M451" s="27" t="s">
        <v>26</v>
      </c>
      <c r="N451" s="21">
        <v>40.507236572396103</v>
      </c>
      <c r="O451" s="10">
        <v>-78.4008269827183</v>
      </c>
      <c r="P451" s="22">
        <v>925</v>
      </c>
      <c r="Q451" s="23">
        <v>44250</v>
      </c>
      <c r="R451" s="22" t="s">
        <v>27</v>
      </c>
      <c r="S451" s="22" t="s">
        <v>38</v>
      </c>
      <c r="T451" s="24">
        <f t="shared" si="9"/>
        <v>991.6</v>
      </c>
    </row>
    <row r="452" spans="1:20" x14ac:dyDescent="0.25">
      <c r="A452" s="8">
        <v>106</v>
      </c>
      <c r="B452" s="8" t="s">
        <v>19</v>
      </c>
      <c r="C452" s="8">
        <v>9</v>
      </c>
      <c r="D452" s="8" t="s">
        <v>1101</v>
      </c>
      <c r="E452" s="8" t="s">
        <v>1112</v>
      </c>
      <c r="F452" s="18" t="s">
        <v>1121</v>
      </c>
      <c r="G452" s="18" t="s">
        <v>1122</v>
      </c>
      <c r="H452" s="18">
        <v>60</v>
      </c>
      <c r="I452" s="18">
        <v>0</v>
      </c>
      <c r="J452" s="20" t="s">
        <v>1123</v>
      </c>
      <c r="K452" s="20" t="s">
        <v>25</v>
      </c>
      <c r="L452" s="27" t="s">
        <v>26</v>
      </c>
      <c r="M452" s="27" t="s">
        <v>26</v>
      </c>
      <c r="N452" s="21">
        <v>40.294476760730298</v>
      </c>
      <c r="O452" s="10">
        <v>-78.3320243199217</v>
      </c>
      <c r="P452" s="22">
        <v>407</v>
      </c>
      <c r="Q452" s="23">
        <v>44250</v>
      </c>
      <c r="R452" s="22" t="s">
        <v>27</v>
      </c>
      <c r="S452" s="22" t="s">
        <v>38</v>
      </c>
      <c r="T452" s="24">
        <f t="shared" si="9"/>
        <v>436.30400000000003</v>
      </c>
    </row>
    <row r="453" spans="1:20" x14ac:dyDescent="0.25">
      <c r="A453" s="8">
        <v>107</v>
      </c>
      <c r="B453" s="8" t="s">
        <v>19</v>
      </c>
      <c r="C453" s="8">
        <v>9</v>
      </c>
      <c r="D453" s="8" t="s">
        <v>1101</v>
      </c>
      <c r="E453" s="8" t="s">
        <v>1112</v>
      </c>
      <c r="F453" s="18" t="s">
        <v>1121</v>
      </c>
      <c r="G453" s="18" t="s">
        <v>1122</v>
      </c>
      <c r="H453" s="18">
        <v>60</v>
      </c>
      <c r="I453" s="18">
        <v>2352</v>
      </c>
      <c r="J453" s="20" t="s">
        <v>1124</v>
      </c>
      <c r="K453" s="20" t="s">
        <v>25</v>
      </c>
      <c r="L453" s="27" t="s">
        <v>26</v>
      </c>
      <c r="M453" s="27" t="s">
        <v>26</v>
      </c>
      <c r="N453" s="21">
        <v>40.300754427950402</v>
      </c>
      <c r="O453" s="10">
        <v>-78.330118019804601</v>
      </c>
      <c r="P453" s="22">
        <v>657</v>
      </c>
      <c r="Q453" s="23">
        <v>44278</v>
      </c>
      <c r="R453" s="22" t="s">
        <v>33</v>
      </c>
      <c r="S453" s="22" t="s">
        <v>38</v>
      </c>
      <c r="T453" s="24">
        <f t="shared" si="9"/>
        <v>704.30400000000009</v>
      </c>
    </row>
    <row r="454" spans="1:20" x14ac:dyDescent="0.25">
      <c r="A454" s="8">
        <v>108</v>
      </c>
      <c r="B454" s="8" t="s">
        <v>19</v>
      </c>
      <c r="C454" s="8">
        <v>9</v>
      </c>
      <c r="D454" s="8" t="s">
        <v>1101</v>
      </c>
      <c r="E454" s="8" t="s">
        <v>1114</v>
      </c>
      <c r="F454" s="18" t="s">
        <v>233</v>
      </c>
      <c r="G454" s="18" t="s">
        <v>1122</v>
      </c>
      <c r="H454" s="18">
        <v>70</v>
      </c>
      <c r="I454" s="18">
        <v>1167</v>
      </c>
      <c r="J454" s="20" t="s">
        <v>1125</v>
      </c>
      <c r="K454" s="20" t="s">
        <v>25</v>
      </c>
      <c r="L454" s="27" t="s">
        <v>26</v>
      </c>
      <c r="M454" s="27" t="s">
        <v>26</v>
      </c>
      <c r="N454" s="21">
        <v>40.305057871943603</v>
      </c>
      <c r="O454" s="10">
        <v>-78.328495708768997</v>
      </c>
      <c r="P454" s="22">
        <v>720</v>
      </c>
      <c r="Q454" s="23">
        <v>44250</v>
      </c>
      <c r="R454" s="22" t="s">
        <v>27</v>
      </c>
      <c r="S454" s="22" t="s">
        <v>517</v>
      </c>
      <c r="T454" s="24">
        <f t="shared" si="9"/>
        <v>771.84</v>
      </c>
    </row>
    <row r="455" spans="1:20" x14ac:dyDescent="0.25">
      <c r="A455" s="8">
        <v>109</v>
      </c>
      <c r="B455" s="8" t="s">
        <v>19</v>
      </c>
      <c r="C455" s="8">
        <v>9</v>
      </c>
      <c r="D455" s="8" t="s">
        <v>1101</v>
      </c>
      <c r="E455" s="8" t="s">
        <v>1126</v>
      </c>
      <c r="F455" s="18" t="s">
        <v>1127</v>
      </c>
      <c r="G455" s="18" t="s">
        <v>84</v>
      </c>
      <c r="H455" s="19">
        <v>10</v>
      </c>
      <c r="I455" s="19">
        <v>1648</v>
      </c>
      <c r="J455" s="20" t="s">
        <v>1128</v>
      </c>
      <c r="K455" s="20" t="s">
        <v>25</v>
      </c>
      <c r="L455" s="20" t="s">
        <v>26</v>
      </c>
      <c r="M455" s="20" t="s">
        <v>26</v>
      </c>
      <c r="N455" s="21">
        <v>40.432400588411198</v>
      </c>
      <c r="O455" s="10">
        <v>-78.416127679089797</v>
      </c>
      <c r="P455" s="22">
        <v>3925</v>
      </c>
      <c r="Q455" s="23">
        <v>44250</v>
      </c>
      <c r="R455" s="22" t="s">
        <v>27</v>
      </c>
      <c r="S455" s="22" t="s">
        <v>38</v>
      </c>
      <c r="T455" s="24">
        <f t="shared" si="9"/>
        <v>4207.6000000000004</v>
      </c>
    </row>
    <row r="456" spans="1:20" x14ac:dyDescent="0.25">
      <c r="A456" s="8">
        <v>110</v>
      </c>
      <c r="B456" s="8" t="s">
        <v>19</v>
      </c>
      <c r="C456" s="8">
        <v>9</v>
      </c>
      <c r="D456" s="8" t="s">
        <v>1101</v>
      </c>
      <c r="E456" s="8" t="s">
        <v>1126</v>
      </c>
      <c r="F456" s="18" t="s">
        <v>1127</v>
      </c>
      <c r="G456" s="18" t="s">
        <v>84</v>
      </c>
      <c r="H456" s="19" t="s">
        <v>1129</v>
      </c>
      <c r="I456" s="19">
        <v>0</v>
      </c>
      <c r="J456" s="20" t="s">
        <v>1130</v>
      </c>
      <c r="K456" s="20" t="s">
        <v>25</v>
      </c>
      <c r="L456" s="20" t="s">
        <v>26</v>
      </c>
      <c r="M456" s="20" t="s">
        <v>26</v>
      </c>
      <c r="N456" s="21">
        <v>40.455448596005603</v>
      </c>
      <c r="O456" s="10">
        <v>-78.409792300517907</v>
      </c>
      <c r="P456" s="22">
        <v>1174</v>
      </c>
      <c r="Q456" s="23">
        <v>44258</v>
      </c>
      <c r="R456" s="22" t="s">
        <v>33</v>
      </c>
      <c r="S456" s="22" t="s">
        <v>38</v>
      </c>
      <c r="T456" s="24">
        <f t="shared" si="9"/>
        <v>1258.528</v>
      </c>
    </row>
    <row r="457" spans="1:20" x14ac:dyDescent="0.25">
      <c r="A457" s="8">
        <v>111</v>
      </c>
      <c r="B457" s="8" t="s">
        <v>19</v>
      </c>
      <c r="C457" s="8">
        <v>9</v>
      </c>
      <c r="D457" s="8" t="s">
        <v>1101</v>
      </c>
      <c r="E457" s="8" t="s">
        <v>1126</v>
      </c>
      <c r="F457" s="18" t="s">
        <v>1127</v>
      </c>
      <c r="G457" s="18" t="s">
        <v>84</v>
      </c>
      <c r="H457" s="19" t="s">
        <v>1131</v>
      </c>
      <c r="I457" s="19">
        <v>0</v>
      </c>
      <c r="J457" s="20" t="s">
        <v>1132</v>
      </c>
      <c r="K457" s="20" t="s">
        <v>25</v>
      </c>
      <c r="L457" s="20" t="s">
        <v>26</v>
      </c>
      <c r="M457" s="20" t="s">
        <v>26</v>
      </c>
      <c r="N457" s="21">
        <v>40.4588019710053</v>
      </c>
      <c r="O457" s="10">
        <v>-78.409346019281401</v>
      </c>
      <c r="P457" s="22">
        <v>7740</v>
      </c>
      <c r="Q457" s="23">
        <v>44258</v>
      </c>
      <c r="R457" s="22" t="s">
        <v>33</v>
      </c>
      <c r="S457" s="22" t="s">
        <v>38</v>
      </c>
      <c r="T457" s="24">
        <f t="shared" si="9"/>
        <v>8297.2800000000007</v>
      </c>
    </row>
    <row r="458" spans="1:20" x14ac:dyDescent="0.25">
      <c r="A458" s="8">
        <v>112</v>
      </c>
      <c r="B458" s="8" t="s">
        <v>19</v>
      </c>
      <c r="C458" s="8">
        <v>9</v>
      </c>
      <c r="D458" s="8" t="s">
        <v>1101</v>
      </c>
      <c r="E458" s="8" t="s">
        <v>1126</v>
      </c>
      <c r="F458" s="18" t="s">
        <v>1127</v>
      </c>
      <c r="G458" s="18" t="s">
        <v>84</v>
      </c>
      <c r="H458" s="19">
        <v>70</v>
      </c>
      <c r="I458" s="19">
        <v>877</v>
      </c>
      <c r="J458" s="20" t="s">
        <v>1133</v>
      </c>
      <c r="K458" s="20" t="s">
        <v>25</v>
      </c>
      <c r="L458" s="20" t="s">
        <v>26</v>
      </c>
      <c r="M458" s="20" t="s">
        <v>26</v>
      </c>
      <c r="N458" s="21">
        <v>40.461224689980597</v>
      </c>
      <c r="O458" s="10">
        <v>-78.409104662807593</v>
      </c>
      <c r="P458" s="22">
        <v>882</v>
      </c>
      <c r="Q458" s="23">
        <v>44272</v>
      </c>
      <c r="R458" s="22" t="s">
        <v>33</v>
      </c>
      <c r="S458" s="22" t="s">
        <v>38</v>
      </c>
      <c r="T458" s="24">
        <f t="shared" si="9"/>
        <v>945.50400000000002</v>
      </c>
    </row>
    <row r="459" spans="1:20" x14ac:dyDescent="0.25">
      <c r="A459" s="8">
        <v>113</v>
      </c>
      <c r="B459" s="8" t="s">
        <v>19</v>
      </c>
      <c r="C459" s="8">
        <v>9</v>
      </c>
      <c r="D459" s="8" t="s">
        <v>1101</v>
      </c>
      <c r="E459" s="8" t="s">
        <v>1117</v>
      </c>
      <c r="F459" s="18" t="s">
        <v>1134</v>
      </c>
      <c r="G459" s="18" t="s">
        <v>84</v>
      </c>
      <c r="H459" s="19">
        <v>160</v>
      </c>
      <c r="I459" s="19">
        <v>1274</v>
      </c>
      <c r="J459" s="20" t="s">
        <v>1135</v>
      </c>
      <c r="K459" s="20" t="s">
        <v>25</v>
      </c>
      <c r="L459" s="20" t="s">
        <v>26</v>
      </c>
      <c r="M459" s="20" t="s">
        <v>26</v>
      </c>
      <c r="N459" s="21">
        <v>40.502600855243998</v>
      </c>
      <c r="O459" s="10">
        <v>-78.386323383065104</v>
      </c>
      <c r="P459" s="22">
        <v>666</v>
      </c>
      <c r="Q459" s="23">
        <v>44250</v>
      </c>
      <c r="R459" s="22" t="s">
        <v>27</v>
      </c>
      <c r="S459" s="22" t="s">
        <v>517</v>
      </c>
      <c r="T459" s="24">
        <f t="shared" si="9"/>
        <v>713.952</v>
      </c>
    </row>
    <row r="460" spans="1:20" x14ac:dyDescent="0.25">
      <c r="A460" s="8">
        <v>114</v>
      </c>
      <c r="B460" s="8" t="s">
        <v>19</v>
      </c>
      <c r="C460" s="8">
        <v>9</v>
      </c>
      <c r="D460" s="8" t="s">
        <v>1101</v>
      </c>
      <c r="E460" s="8" t="s">
        <v>1117</v>
      </c>
      <c r="F460" s="18" t="s">
        <v>1136</v>
      </c>
      <c r="G460" s="18" t="s">
        <v>84</v>
      </c>
      <c r="H460" s="19">
        <v>161</v>
      </c>
      <c r="I460" s="19">
        <v>1295</v>
      </c>
      <c r="J460" s="20" t="s">
        <v>1135</v>
      </c>
      <c r="K460" s="20" t="s">
        <v>25</v>
      </c>
      <c r="L460" s="20" t="s">
        <v>26</v>
      </c>
      <c r="M460" s="20" t="s">
        <v>26</v>
      </c>
      <c r="N460" s="21">
        <v>40.504280776721899</v>
      </c>
      <c r="O460" s="10">
        <v>-78.388617898836003</v>
      </c>
      <c r="P460" s="22">
        <v>573</v>
      </c>
      <c r="Q460" s="23">
        <v>44250</v>
      </c>
      <c r="R460" s="22" t="s">
        <v>27</v>
      </c>
      <c r="S460" s="22" t="s">
        <v>517</v>
      </c>
      <c r="T460" s="24">
        <f t="shared" si="9"/>
        <v>614.25600000000009</v>
      </c>
    </row>
    <row r="461" spans="1:20" x14ac:dyDescent="0.25">
      <c r="A461" s="8">
        <v>115</v>
      </c>
      <c r="B461" s="8" t="s">
        <v>19</v>
      </c>
      <c r="C461" s="8">
        <v>9</v>
      </c>
      <c r="D461" s="8" t="s">
        <v>1101</v>
      </c>
      <c r="E461" s="8" t="s">
        <v>1137</v>
      </c>
      <c r="F461" s="18" t="s">
        <v>1138</v>
      </c>
      <c r="G461" s="18" t="s">
        <v>1139</v>
      </c>
      <c r="H461" s="18">
        <v>60</v>
      </c>
      <c r="I461" s="18">
        <v>0</v>
      </c>
      <c r="J461" s="20" t="s">
        <v>1140</v>
      </c>
      <c r="K461" s="20" t="s">
        <v>25</v>
      </c>
      <c r="L461" s="27" t="s">
        <v>26</v>
      </c>
      <c r="M461" s="27" t="s">
        <v>26</v>
      </c>
      <c r="N461" s="21">
        <v>40.507271047953303</v>
      </c>
      <c r="O461" s="10">
        <v>-78.338035130744004</v>
      </c>
      <c r="P461" s="22">
        <v>153</v>
      </c>
      <c r="Q461" s="23">
        <v>44272</v>
      </c>
      <c r="R461" s="22" t="s">
        <v>27</v>
      </c>
      <c r="S461" s="22" t="s">
        <v>28</v>
      </c>
      <c r="T461" s="24">
        <f t="shared" si="9"/>
        <v>164.01600000000002</v>
      </c>
    </row>
    <row r="462" spans="1:20" x14ac:dyDescent="0.25">
      <c r="A462" s="8">
        <v>116</v>
      </c>
      <c r="B462" s="8" t="s">
        <v>19</v>
      </c>
      <c r="C462" s="8">
        <v>9</v>
      </c>
      <c r="D462" s="8" t="s">
        <v>1101</v>
      </c>
      <c r="E462" s="8" t="s">
        <v>1117</v>
      </c>
      <c r="F462" s="18" t="s">
        <v>1141</v>
      </c>
      <c r="G462" s="18" t="s">
        <v>1142</v>
      </c>
      <c r="H462" s="19">
        <v>30</v>
      </c>
      <c r="I462" s="19">
        <v>306</v>
      </c>
      <c r="J462" s="20" t="s">
        <v>1143</v>
      </c>
      <c r="K462" s="20" t="s">
        <v>25</v>
      </c>
      <c r="L462" s="20" t="s">
        <v>26</v>
      </c>
      <c r="M462" s="20" t="s">
        <v>26</v>
      </c>
      <c r="N462" s="21">
        <v>40.506863481049201</v>
      </c>
      <c r="O462" s="10">
        <v>-78.398689756442707</v>
      </c>
      <c r="P462" s="22">
        <v>1335</v>
      </c>
      <c r="Q462" s="23">
        <v>44250</v>
      </c>
      <c r="R462" s="22" t="s">
        <v>27</v>
      </c>
      <c r="S462" s="22" t="s">
        <v>34</v>
      </c>
      <c r="T462" s="24">
        <f t="shared" si="9"/>
        <v>1431.1200000000001</v>
      </c>
    </row>
    <row r="463" spans="1:20" x14ac:dyDescent="0.25">
      <c r="A463" s="8">
        <v>117</v>
      </c>
      <c r="B463" s="8" t="s">
        <v>19</v>
      </c>
      <c r="C463" s="8">
        <v>9</v>
      </c>
      <c r="D463" s="8" t="s">
        <v>1101</v>
      </c>
      <c r="E463" s="8" t="s">
        <v>1144</v>
      </c>
      <c r="F463" s="18" t="s">
        <v>1141</v>
      </c>
      <c r="G463" s="18" t="s">
        <v>1142</v>
      </c>
      <c r="H463" s="19">
        <v>40</v>
      </c>
      <c r="I463" s="19">
        <v>997</v>
      </c>
      <c r="J463" s="20" t="s">
        <v>1145</v>
      </c>
      <c r="K463" s="20" t="s">
        <v>25</v>
      </c>
      <c r="L463" s="20" t="s">
        <v>26</v>
      </c>
      <c r="M463" s="20" t="s">
        <v>26</v>
      </c>
      <c r="N463" s="21">
        <v>40.497657719732601</v>
      </c>
      <c r="O463" s="10">
        <v>-78.387570993672696</v>
      </c>
      <c r="P463" s="22">
        <v>5410</v>
      </c>
      <c r="Q463" s="23">
        <v>44250</v>
      </c>
      <c r="R463" s="22" t="s">
        <v>27</v>
      </c>
      <c r="S463" s="22" t="s">
        <v>28</v>
      </c>
      <c r="T463" s="24">
        <f t="shared" si="9"/>
        <v>5799.52</v>
      </c>
    </row>
    <row r="464" spans="1:20" x14ac:dyDescent="0.25">
      <c r="A464" s="8">
        <v>118</v>
      </c>
      <c r="B464" s="8" t="s">
        <v>19</v>
      </c>
      <c r="C464" s="8">
        <v>9</v>
      </c>
      <c r="D464" s="8" t="s">
        <v>1101</v>
      </c>
      <c r="E464" s="8" t="s">
        <v>1117</v>
      </c>
      <c r="F464" s="18" t="s">
        <v>1146</v>
      </c>
      <c r="G464" s="18" t="s">
        <v>503</v>
      </c>
      <c r="H464" s="19">
        <v>30</v>
      </c>
      <c r="I464" s="19">
        <v>1354</v>
      </c>
      <c r="J464" s="20" t="s">
        <v>339</v>
      </c>
      <c r="K464" s="20" t="s">
        <v>25</v>
      </c>
      <c r="L464" s="20" t="s">
        <v>26</v>
      </c>
      <c r="M464" s="20" t="s">
        <v>26</v>
      </c>
      <c r="N464" s="21">
        <v>40.525267465329101</v>
      </c>
      <c r="O464" s="10">
        <v>-78.391811256687703</v>
      </c>
      <c r="P464" s="22">
        <v>3197</v>
      </c>
      <c r="Q464" s="23">
        <v>44250</v>
      </c>
      <c r="R464" s="22" t="s">
        <v>27</v>
      </c>
      <c r="S464" s="22" t="s">
        <v>517</v>
      </c>
      <c r="T464" s="24">
        <f t="shared" si="9"/>
        <v>3427.1840000000002</v>
      </c>
    </row>
    <row r="465" spans="1:20" x14ac:dyDescent="0.25">
      <c r="A465" s="8">
        <v>119</v>
      </c>
      <c r="B465" s="8" t="s">
        <v>19</v>
      </c>
      <c r="C465" s="8">
        <v>9</v>
      </c>
      <c r="D465" s="8" t="s">
        <v>1101</v>
      </c>
      <c r="E465" s="8" t="s">
        <v>1144</v>
      </c>
      <c r="F465" s="18" t="s">
        <v>1147</v>
      </c>
      <c r="G465" s="18" t="s">
        <v>1148</v>
      </c>
      <c r="H465" s="18">
        <v>90</v>
      </c>
      <c r="I465" s="18">
        <v>1562</v>
      </c>
      <c r="J465" s="20" t="s">
        <v>1149</v>
      </c>
      <c r="K465" s="20" t="s">
        <v>25</v>
      </c>
      <c r="L465" s="27" t="s">
        <v>26</v>
      </c>
      <c r="M465" s="27" t="s">
        <v>26</v>
      </c>
      <c r="N465" s="21">
        <v>40.558425888208603</v>
      </c>
      <c r="O465" s="10">
        <v>-78.391085743631507</v>
      </c>
      <c r="P465" s="22">
        <v>829</v>
      </c>
      <c r="Q465" s="23">
        <v>44250</v>
      </c>
      <c r="R465" s="22" t="s">
        <v>27</v>
      </c>
      <c r="S465" s="22" t="s">
        <v>517</v>
      </c>
      <c r="T465" s="24">
        <f t="shared" si="9"/>
        <v>888.6880000000001</v>
      </c>
    </row>
    <row r="466" spans="1:20" x14ac:dyDescent="0.25">
      <c r="A466" s="8">
        <v>120</v>
      </c>
      <c r="B466" s="8" t="s">
        <v>19</v>
      </c>
      <c r="C466" s="8">
        <v>9</v>
      </c>
      <c r="D466" s="8" t="s">
        <v>1101</v>
      </c>
      <c r="E466" s="8" t="s">
        <v>1150</v>
      </c>
      <c r="F466" s="18" t="s">
        <v>1147</v>
      </c>
      <c r="G466" s="18" t="s">
        <v>1148</v>
      </c>
      <c r="H466" s="18">
        <v>170</v>
      </c>
      <c r="I466" s="18">
        <v>2931</v>
      </c>
      <c r="J466" s="20" t="s">
        <v>1151</v>
      </c>
      <c r="K466" s="20" t="s">
        <v>25</v>
      </c>
      <c r="L466" s="27" t="s">
        <v>26</v>
      </c>
      <c r="M466" s="27" t="s">
        <v>26</v>
      </c>
      <c r="N466" s="21">
        <v>40.5941039178362</v>
      </c>
      <c r="O466" s="10">
        <v>-78.369220927005799</v>
      </c>
      <c r="P466" s="22">
        <v>1593</v>
      </c>
      <c r="Q466" s="23">
        <v>44250</v>
      </c>
      <c r="R466" s="22" t="s">
        <v>27</v>
      </c>
      <c r="S466" s="22" t="s">
        <v>38</v>
      </c>
      <c r="T466" s="24">
        <f t="shared" si="9"/>
        <v>1707.6960000000001</v>
      </c>
    </row>
    <row r="467" spans="1:20" x14ac:dyDescent="0.25">
      <c r="A467" s="8">
        <v>121</v>
      </c>
      <c r="B467" s="8" t="s">
        <v>19</v>
      </c>
      <c r="C467" s="8">
        <v>9</v>
      </c>
      <c r="D467" s="8" t="s">
        <v>1101</v>
      </c>
      <c r="E467" s="8" t="s">
        <v>1152</v>
      </c>
      <c r="F467" s="18" t="s">
        <v>1153</v>
      </c>
      <c r="G467" s="18" t="s">
        <v>1154</v>
      </c>
      <c r="H467" s="18">
        <v>40</v>
      </c>
      <c r="I467" s="18">
        <v>0</v>
      </c>
      <c r="J467" s="20" t="s">
        <v>1155</v>
      </c>
      <c r="K467" s="20" t="s">
        <v>25</v>
      </c>
      <c r="L467" s="27" t="s">
        <v>26</v>
      </c>
      <c r="M467" s="27" t="s">
        <v>26</v>
      </c>
      <c r="N467" s="21">
        <v>40.703892954588298</v>
      </c>
      <c r="O467" s="10">
        <v>-78.219027248965205</v>
      </c>
      <c r="P467" s="22">
        <v>172</v>
      </c>
      <c r="Q467" s="23">
        <v>44272</v>
      </c>
      <c r="R467" s="22" t="s">
        <v>27</v>
      </c>
      <c r="S467" s="22" t="s">
        <v>517</v>
      </c>
      <c r="T467" s="24">
        <f t="shared" si="9"/>
        <v>184.38400000000001</v>
      </c>
    </row>
    <row r="468" spans="1:20" x14ac:dyDescent="0.25">
      <c r="A468" s="8">
        <v>531</v>
      </c>
      <c r="B468" s="8" t="s">
        <v>19</v>
      </c>
      <c r="C468" s="8">
        <v>9</v>
      </c>
      <c r="D468" s="8" t="s">
        <v>1156</v>
      </c>
      <c r="E468" s="8" t="s">
        <v>1157</v>
      </c>
      <c r="F468" s="18" t="s">
        <v>1158</v>
      </c>
      <c r="G468" s="18" t="s">
        <v>25</v>
      </c>
      <c r="H468" s="18" t="s">
        <v>26</v>
      </c>
      <c r="I468" s="18" t="s">
        <v>26</v>
      </c>
      <c r="J468" s="20" t="s">
        <v>22</v>
      </c>
      <c r="K468" s="20" t="s">
        <v>1159</v>
      </c>
      <c r="L468" s="27">
        <v>10</v>
      </c>
      <c r="M468" s="27">
        <v>490</v>
      </c>
      <c r="N468" s="21">
        <v>40.386092177832097</v>
      </c>
      <c r="O468" s="10">
        <v>-77.881489565648906</v>
      </c>
      <c r="P468" s="22">
        <v>1378</v>
      </c>
      <c r="Q468" s="23">
        <v>44257</v>
      </c>
      <c r="R468" s="22" t="s">
        <v>27</v>
      </c>
      <c r="S468" s="22" t="s">
        <v>517</v>
      </c>
      <c r="T468" s="24">
        <f t="shared" si="9"/>
        <v>1477.2160000000001</v>
      </c>
    </row>
    <row r="469" spans="1:20" x14ac:dyDescent="0.25">
      <c r="A469" s="8">
        <v>532</v>
      </c>
      <c r="B469" s="8" t="s">
        <v>19</v>
      </c>
      <c r="C469" s="8">
        <v>9</v>
      </c>
      <c r="D469" s="8" t="s">
        <v>1156</v>
      </c>
      <c r="E469" s="8" t="s">
        <v>1160</v>
      </c>
      <c r="F469" s="18" t="s">
        <v>1161</v>
      </c>
      <c r="G469" s="18" t="s">
        <v>1162</v>
      </c>
      <c r="H469" s="19">
        <v>260</v>
      </c>
      <c r="I469" s="19">
        <v>832</v>
      </c>
      <c r="J469" s="20" t="s">
        <v>1163</v>
      </c>
      <c r="K469" s="30" t="s">
        <v>1164</v>
      </c>
      <c r="L469" s="30" t="s">
        <v>1165</v>
      </c>
      <c r="M469" s="30" t="s">
        <v>1166</v>
      </c>
      <c r="N469" s="21">
        <v>40.482176490745204</v>
      </c>
      <c r="O469" s="10">
        <v>-78.0202487422453</v>
      </c>
      <c r="P469" s="22">
        <v>1633</v>
      </c>
      <c r="Q469" s="23">
        <v>44272</v>
      </c>
      <c r="R469" s="22" t="s">
        <v>27</v>
      </c>
      <c r="S469" s="22" t="s">
        <v>34</v>
      </c>
      <c r="T469" s="24">
        <f t="shared" si="9"/>
        <v>1750.576</v>
      </c>
    </row>
    <row r="470" spans="1:20" x14ac:dyDescent="0.25">
      <c r="A470" s="8">
        <v>533</v>
      </c>
      <c r="B470" s="8" t="s">
        <v>19</v>
      </c>
      <c r="C470" s="8">
        <v>9</v>
      </c>
      <c r="D470" s="8" t="s">
        <v>1156</v>
      </c>
      <c r="E470" s="8" t="s">
        <v>1167</v>
      </c>
      <c r="F470" s="18" t="s">
        <v>1161</v>
      </c>
      <c r="G470" s="18" t="s">
        <v>1162</v>
      </c>
      <c r="H470" s="18">
        <v>350</v>
      </c>
      <c r="I470" s="18">
        <v>3180</v>
      </c>
      <c r="J470" s="20" t="s">
        <v>1168</v>
      </c>
      <c r="K470" s="20" t="s">
        <v>25</v>
      </c>
      <c r="L470" s="27" t="s">
        <v>26</v>
      </c>
      <c r="M470" s="27" t="s">
        <v>26</v>
      </c>
      <c r="N470" s="21">
        <v>40.444429354860297</v>
      </c>
      <c r="O470" s="10">
        <v>-77.948969506039504</v>
      </c>
      <c r="P470" s="22">
        <v>330</v>
      </c>
      <c r="Q470" s="23">
        <v>44272</v>
      </c>
      <c r="R470" s="22" t="s">
        <v>27</v>
      </c>
      <c r="S470" s="22" t="s">
        <v>28</v>
      </c>
      <c r="T470" s="24">
        <f t="shared" si="9"/>
        <v>353.76000000000005</v>
      </c>
    </row>
    <row r="471" spans="1:20" x14ac:dyDescent="0.25">
      <c r="A471" s="8">
        <v>534</v>
      </c>
      <c r="B471" s="8" t="s">
        <v>19</v>
      </c>
      <c r="C471" s="8">
        <v>9</v>
      </c>
      <c r="D471" s="8" t="s">
        <v>1156</v>
      </c>
      <c r="E471" s="8" t="s">
        <v>1160</v>
      </c>
      <c r="F471" s="18" t="s">
        <v>1169</v>
      </c>
      <c r="G471" s="18" t="s">
        <v>254</v>
      </c>
      <c r="H471" s="18">
        <v>340</v>
      </c>
      <c r="I471" s="18">
        <v>3260</v>
      </c>
      <c r="J471" s="20" t="s">
        <v>1170</v>
      </c>
      <c r="K471" s="20" t="s">
        <v>25</v>
      </c>
      <c r="L471" s="27" t="s">
        <v>26</v>
      </c>
      <c r="M471" s="27" t="s">
        <v>26</v>
      </c>
      <c r="N471" s="21">
        <v>40.489480500207499</v>
      </c>
      <c r="O471" s="10">
        <v>-78.042375434725201</v>
      </c>
      <c r="P471" s="22">
        <v>6139</v>
      </c>
      <c r="Q471" s="23">
        <v>44285</v>
      </c>
      <c r="R471" s="22" t="s">
        <v>27</v>
      </c>
      <c r="S471" s="22" t="s">
        <v>34</v>
      </c>
      <c r="T471" s="24">
        <f t="shared" si="9"/>
        <v>6581.0080000000007</v>
      </c>
    </row>
    <row r="472" spans="1:20" x14ac:dyDescent="0.25">
      <c r="A472" s="8">
        <v>535</v>
      </c>
      <c r="B472" s="8" t="s">
        <v>19</v>
      </c>
      <c r="C472" s="8">
        <v>9</v>
      </c>
      <c r="D472" s="8" t="s">
        <v>1156</v>
      </c>
      <c r="E472" s="8" t="s">
        <v>1160</v>
      </c>
      <c r="F472" s="18" t="s">
        <v>231</v>
      </c>
      <c r="G472" s="18" t="s">
        <v>254</v>
      </c>
      <c r="H472" s="19">
        <v>360</v>
      </c>
      <c r="I472" s="19">
        <v>1748</v>
      </c>
      <c r="J472" s="20" t="s">
        <v>1171</v>
      </c>
      <c r="K472" s="20" t="s">
        <v>25</v>
      </c>
      <c r="L472" s="20" t="s">
        <v>26</v>
      </c>
      <c r="M472" s="20" t="s">
        <v>26</v>
      </c>
      <c r="N472" s="21">
        <v>40.490970030256797</v>
      </c>
      <c r="O472" s="10">
        <v>-78.032577557319797</v>
      </c>
      <c r="P472" s="22">
        <v>431</v>
      </c>
      <c r="Q472" s="23">
        <v>44258</v>
      </c>
      <c r="R472" s="22" t="s">
        <v>27</v>
      </c>
      <c r="S472" s="22" t="s">
        <v>28</v>
      </c>
      <c r="T472" s="24">
        <f t="shared" si="9"/>
        <v>462.03200000000004</v>
      </c>
    </row>
    <row r="473" spans="1:20" x14ac:dyDescent="0.25">
      <c r="A473" s="8">
        <v>536</v>
      </c>
      <c r="B473" s="8" t="s">
        <v>19</v>
      </c>
      <c r="C473" s="8">
        <v>9</v>
      </c>
      <c r="D473" s="8" t="s">
        <v>1156</v>
      </c>
      <c r="E473" s="8" t="s">
        <v>1172</v>
      </c>
      <c r="F473" s="18" t="s">
        <v>1173</v>
      </c>
      <c r="G473" s="18" t="s">
        <v>254</v>
      </c>
      <c r="H473" s="19">
        <v>380</v>
      </c>
      <c r="I473" s="19">
        <v>860</v>
      </c>
      <c r="J473" s="20" t="s">
        <v>216</v>
      </c>
      <c r="K473" s="20" t="s">
        <v>25</v>
      </c>
      <c r="L473" s="20" t="s">
        <v>26</v>
      </c>
      <c r="M473" s="20" t="s">
        <v>26</v>
      </c>
      <c r="N473" s="21">
        <v>40.484877913636701</v>
      </c>
      <c r="O473" s="10">
        <v>-78.012062067667003</v>
      </c>
      <c r="P473" s="22">
        <v>1851</v>
      </c>
      <c r="Q473" s="23">
        <v>44272</v>
      </c>
      <c r="R473" s="22" t="s">
        <v>27</v>
      </c>
      <c r="S473" s="22" t="s">
        <v>34</v>
      </c>
      <c r="T473" s="24">
        <f t="shared" si="9"/>
        <v>1984.2720000000002</v>
      </c>
    </row>
    <row r="474" spans="1:20" x14ac:dyDescent="0.25">
      <c r="A474" s="8">
        <v>537</v>
      </c>
      <c r="B474" s="8" t="s">
        <v>19</v>
      </c>
      <c r="C474" s="8">
        <v>9</v>
      </c>
      <c r="D474" s="8" t="s">
        <v>1156</v>
      </c>
      <c r="E474" s="8" t="s">
        <v>1174</v>
      </c>
      <c r="F474" s="18" t="s">
        <v>1175</v>
      </c>
      <c r="G474" s="18" t="s">
        <v>254</v>
      </c>
      <c r="H474" s="18">
        <v>780</v>
      </c>
      <c r="I474" s="18">
        <v>1130</v>
      </c>
      <c r="J474" s="20" t="s">
        <v>1176</v>
      </c>
      <c r="K474" s="20" t="s">
        <v>25</v>
      </c>
      <c r="L474" s="27" t="s">
        <v>26</v>
      </c>
      <c r="M474" s="27" t="s">
        <v>26</v>
      </c>
      <c r="N474" s="21">
        <v>40.703629626702998</v>
      </c>
      <c r="O474" s="10">
        <v>-77.902943905429495</v>
      </c>
      <c r="P474" s="22">
        <v>13</v>
      </c>
      <c r="Q474" s="23">
        <v>44272</v>
      </c>
      <c r="R474" s="22" t="s">
        <v>33</v>
      </c>
      <c r="S474" s="22" t="s">
        <v>517</v>
      </c>
      <c r="T474" s="24">
        <f t="shared" si="9"/>
        <v>13.936</v>
      </c>
    </row>
    <row r="475" spans="1:20" x14ac:dyDescent="0.25">
      <c r="A475" s="8">
        <v>538</v>
      </c>
      <c r="B475" s="8" t="s">
        <v>19</v>
      </c>
      <c r="C475" s="8">
        <v>9</v>
      </c>
      <c r="D475" s="8" t="s">
        <v>1156</v>
      </c>
      <c r="E475" s="8" t="s">
        <v>370</v>
      </c>
      <c r="F475" s="18" t="s">
        <v>1177</v>
      </c>
      <c r="G475" s="18" t="s">
        <v>1178</v>
      </c>
      <c r="H475" s="18">
        <v>30</v>
      </c>
      <c r="I475" s="18">
        <v>443</v>
      </c>
      <c r="J475" s="20" t="s">
        <v>1179</v>
      </c>
      <c r="K475" s="20" t="s">
        <v>25</v>
      </c>
      <c r="L475" s="27" t="s">
        <v>26</v>
      </c>
      <c r="M475" s="27" t="s">
        <v>26</v>
      </c>
      <c r="N475" s="21">
        <v>40.556237864360703</v>
      </c>
      <c r="O475" s="10">
        <v>-78.0938346376808</v>
      </c>
      <c r="P475" s="22">
        <v>189</v>
      </c>
      <c r="Q475" s="23">
        <v>44258</v>
      </c>
      <c r="R475" s="22" t="s">
        <v>27</v>
      </c>
      <c r="S475" s="22" t="s">
        <v>517</v>
      </c>
      <c r="T475" s="24">
        <f t="shared" si="9"/>
        <v>202.608</v>
      </c>
    </row>
    <row r="476" spans="1:20" x14ac:dyDescent="0.25">
      <c r="A476" s="8">
        <v>539</v>
      </c>
      <c r="B476" s="8" t="s">
        <v>19</v>
      </c>
      <c r="C476" s="8">
        <v>9</v>
      </c>
      <c r="D476" s="8" t="s">
        <v>1156</v>
      </c>
      <c r="E476" s="8" t="s">
        <v>1180</v>
      </c>
      <c r="F476" s="18" t="s">
        <v>1181</v>
      </c>
      <c r="G476" s="18" t="s">
        <v>469</v>
      </c>
      <c r="H476" s="18">
        <v>150</v>
      </c>
      <c r="I476" s="18">
        <v>889</v>
      </c>
      <c r="J476" s="20" t="s">
        <v>1182</v>
      </c>
      <c r="K476" s="20" t="s">
        <v>25</v>
      </c>
      <c r="L476" s="27" t="s">
        <v>26</v>
      </c>
      <c r="M476" s="27" t="s">
        <v>26</v>
      </c>
      <c r="N476" s="21">
        <v>40.194659303373498</v>
      </c>
      <c r="O476" s="10">
        <v>-77.884928113757098</v>
      </c>
      <c r="P476" s="22">
        <v>5</v>
      </c>
      <c r="Q476" s="23">
        <v>44272</v>
      </c>
      <c r="R476" s="22" t="s">
        <v>27</v>
      </c>
      <c r="S476" s="22" t="s">
        <v>517</v>
      </c>
      <c r="T476" s="24">
        <f t="shared" si="9"/>
        <v>5.36</v>
      </c>
    </row>
    <row r="477" spans="1:20" x14ac:dyDescent="0.25">
      <c r="A477" s="8">
        <v>540</v>
      </c>
      <c r="B477" s="8" t="s">
        <v>19</v>
      </c>
      <c r="C477" s="8">
        <v>9</v>
      </c>
      <c r="D477" s="8" t="s">
        <v>1156</v>
      </c>
      <c r="E477" s="8" t="s">
        <v>1180</v>
      </c>
      <c r="F477" s="18" t="s">
        <v>1181</v>
      </c>
      <c r="G477" s="18" t="s">
        <v>469</v>
      </c>
      <c r="H477" s="18">
        <v>250</v>
      </c>
      <c r="I477" s="18">
        <v>0</v>
      </c>
      <c r="J477" s="20" t="s">
        <v>1183</v>
      </c>
      <c r="K477" s="20" t="s">
        <v>25</v>
      </c>
      <c r="L477" s="27" t="s">
        <v>26</v>
      </c>
      <c r="M477" s="27" t="s">
        <v>26</v>
      </c>
      <c r="N477" s="21">
        <v>40.253333405403197</v>
      </c>
      <c r="O477" s="10">
        <v>-77.894850028580606</v>
      </c>
      <c r="P477" s="22">
        <v>624</v>
      </c>
      <c r="Q477" s="23">
        <v>44258</v>
      </c>
      <c r="R477" s="22" t="s">
        <v>27</v>
      </c>
      <c r="S477" s="22" t="s">
        <v>517</v>
      </c>
      <c r="T477" s="24">
        <f t="shared" si="9"/>
        <v>668.928</v>
      </c>
    </row>
    <row r="478" spans="1:20" x14ac:dyDescent="0.25">
      <c r="A478" s="8">
        <v>43</v>
      </c>
      <c r="B478" s="8" t="s">
        <v>19</v>
      </c>
      <c r="C478" s="8">
        <v>10</v>
      </c>
      <c r="D478" s="8" t="s">
        <v>1184</v>
      </c>
      <c r="E478" s="8" t="s">
        <v>1185</v>
      </c>
      <c r="F478" s="18" t="s">
        <v>1186</v>
      </c>
      <c r="G478" s="18" t="s">
        <v>1187</v>
      </c>
      <c r="H478" s="19">
        <v>360</v>
      </c>
      <c r="I478" s="19">
        <v>3029</v>
      </c>
      <c r="J478" s="20" t="s">
        <v>1188</v>
      </c>
      <c r="K478" s="20" t="s">
        <v>25</v>
      </c>
      <c r="L478" s="20" t="s">
        <v>26</v>
      </c>
      <c r="M478" s="20" t="s">
        <v>26</v>
      </c>
      <c r="N478" s="21">
        <v>40.753429946776599</v>
      </c>
      <c r="O478" s="10">
        <v>-79.527601444193607</v>
      </c>
      <c r="P478" s="22">
        <v>883</v>
      </c>
      <c r="Q478" s="23">
        <v>44249</v>
      </c>
      <c r="R478" s="22" t="s">
        <v>27</v>
      </c>
      <c r="S478" s="22" t="s">
        <v>517</v>
      </c>
      <c r="T478" s="24">
        <f t="shared" ref="T478:T528" si="10">P478*$X$11</f>
        <v>920.08600000000001</v>
      </c>
    </row>
    <row r="479" spans="1:20" x14ac:dyDescent="0.25">
      <c r="A479" s="8">
        <v>44</v>
      </c>
      <c r="B479" s="8" t="s">
        <v>19</v>
      </c>
      <c r="C479" s="8">
        <v>10</v>
      </c>
      <c r="D479" s="8" t="s">
        <v>1184</v>
      </c>
      <c r="E479" s="8" t="s">
        <v>1185</v>
      </c>
      <c r="F479" s="18" t="s">
        <v>77</v>
      </c>
      <c r="G479" s="18" t="s">
        <v>1187</v>
      </c>
      <c r="H479" s="19">
        <v>380</v>
      </c>
      <c r="I479" s="19">
        <v>201</v>
      </c>
      <c r="J479" s="20" t="s">
        <v>1189</v>
      </c>
      <c r="K479" s="20" t="s">
        <v>25</v>
      </c>
      <c r="L479" s="20" t="s">
        <v>26</v>
      </c>
      <c r="M479" s="20" t="s">
        <v>26</v>
      </c>
      <c r="N479" s="21">
        <v>40.761491560306801</v>
      </c>
      <c r="O479" s="10">
        <v>-79.527703003258907</v>
      </c>
      <c r="P479" s="22">
        <v>274</v>
      </c>
      <c r="Q479" s="23">
        <v>44265</v>
      </c>
      <c r="R479" s="22" t="s">
        <v>27</v>
      </c>
      <c r="S479" s="22" t="s">
        <v>38</v>
      </c>
      <c r="T479" s="24">
        <f t="shared" si="10"/>
        <v>285.50800000000004</v>
      </c>
    </row>
    <row r="480" spans="1:20" x14ac:dyDescent="0.25">
      <c r="A480" s="8">
        <v>47</v>
      </c>
      <c r="B480" s="8" t="s">
        <v>19</v>
      </c>
      <c r="C480" s="8">
        <v>10</v>
      </c>
      <c r="D480" s="8" t="s">
        <v>1184</v>
      </c>
      <c r="E480" s="8" t="s">
        <v>1190</v>
      </c>
      <c r="F480" s="18" t="s">
        <v>1191</v>
      </c>
      <c r="G480" s="18" t="s">
        <v>1192</v>
      </c>
      <c r="H480" s="18">
        <v>400</v>
      </c>
      <c r="I480" s="18">
        <v>758</v>
      </c>
      <c r="J480" s="20" t="s">
        <v>1193</v>
      </c>
      <c r="K480" s="20" t="s">
        <v>25</v>
      </c>
      <c r="L480" s="27" t="s">
        <v>26</v>
      </c>
      <c r="M480" s="27" t="s">
        <v>26</v>
      </c>
      <c r="N480" s="21">
        <v>40.750549513086803</v>
      </c>
      <c r="O480" s="10">
        <v>-79.401190340242707</v>
      </c>
      <c r="P480" s="22">
        <v>97</v>
      </c>
      <c r="Q480" s="23">
        <v>44249</v>
      </c>
      <c r="R480" s="22" t="s">
        <v>27</v>
      </c>
      <c r="S480" s="22" t="s">
        <v>517</v>
      </c>
      <c r="T480" s="24">
        <f t="shared" si="10"/>
        <v>101.074</v>
      </c>
    </row>
    <row r="481" spans="1:20" x14ac:dyDescent="0.25">
      <c r="A481" s="8">
        <v>51</v>
      </c>
      <c r="B481" s="8" t="s">
        <v>19</v>
      </c>
      <c r="C481" s="8">
        <v>10</v>
      </c>
      <c r="D481" s="8" t="s">
        <v>1184</v>
      </c>
      <c r="E481" s="8" t="s">
        <v>1185</v>
      </c>
      <c r="F481" s="18" t="s">
        <v>1194</v>
      </c>
      <c r="G481" s="18" t="s">
        <v>1195</v>
      </c>
      <c r="H481" s="19">
        <v>70</v>
      </c>
      <c r="I481" s="19">
        <v>868</v>
      </c>
      <c r="J481" s="20" t="s">
        <v>1196</v>
      </c>
      <c r="K481" s="20" t="s">
        <v>25</v>
      </c>
      <c r="L481" s="20" t="s">
        <v>26</v>
      </c>
      <c r="M481" s="20" t="s">
        <v>26</v>
      </c>
      <c r="N481" s="21">
        <v>40.808983104166103</v>
      </c>
      <c r="O481" s="10">
        <v>-79.498345024313096</v>
      </c>
      <c r="P481" s="22">
        <v>1698</v>
      </c>
      <c r="Q481" s="23">
        <v>44249</v>
      </c>
      <c r="R481" s="22" t="s">
        <v>27</v>
      </c>
      <c r="S481" s="22" t="s">
        <v>28</v>
      </c>
      <c r="T481" s="24">
        <f t="shared" si="10"/>
        <v>1769.316</v>
      </c>
    </row>
    <row r="482" spans="1:20" x14ac:dyDescent="0.25">
      <c r="A482" s="8">
        <v>156</v>
      </c>
      <c r="B482" s="8" t="s">
        <v>19</v>
      </c>
      <c r="C482" s="8">
        <v>10</v>
      </c>
      <c r="D482" s="8" t="s">
        <v>1197</v>
      </c>
      <c r="E482" s="8" t="s">
        <v>983</v>
      </c>
      <c r="F482" s="18" t="s">
        <v>1198</v>
      </c>
      <c r="G482" s="18" t="s">
        <v>43</v>
      </c>
      <c r="H482" s="19">
        <v>20</v>
      </c>
      <c r="I482" s="19">
        <v>1266</v>
      </c>
      <c r="J482" s="20" t="s">
        <v>1199</v>
      </c>
      <c r="K482" s="20" t="s">
        <v>25</v>
      </c>
      <c r="L482" s="20" t="s">
        <v>26</v>
      </c>
      <c r="M482" s="20" t="s">
        <v>26</v>
      </c>
      <c r="N482" s="21">
        <v>40.6826678781661</v>
      </c>
      <c r="O482" s="10">
        <v>-79.935265245729497</v>
      </c>
      <c r="P482" s="22">
        <v>1731</v>
      </c>
      <c r="Q482" s="23">
        <v>44222</v>
      </c>
      <c r="R482" s="22" t="s">
        <v>27</v>
      </c>
      <c r="S482" s="22" t="s">
        <v>517</v>
      </c>
      <c r="T482" s="24">
        <f t="shared" si="10"/>
        <v>1803.702</v>
      </c>
    </row>
    <row r="483" spans="1:20" x14ac:dyDescent="0.25">
      <c r="A483" s="8">
        <v>157</v>
      </c>
      <c r="B483" s="8" t="s">
        <v>19</v>
      </c>
      <c r="C483" s="8">
        <v>10</v>
      </c>
      <c r="D483" s="8" t="s">
        <v>1197</v>
      </c>
      <c r="E483" s="8" t="s">
        <v>983</v>
      </c>
      <c r="F483" s="18" t="s">
        <v>1198</v>
      </c>
      <c r="G483" s="18" t="s">
        <v>43</v>
      </c>
      <c r="H483" s="18">
        <v>80</v>
      </c>
      <c r="I483" s="18">
        <v>0</v>
      </c>
      <c r="J483" s="20" t="s">
        <v>1200</v>
      </c>
      <c r="K483" s="20" t="s">
        <v>25</v>
      </c>
      <c r="L483" s="27" t="s">
        <v>26</v>
      </c>
      <c r="M483" s="27" t="s">
        <v>26</v>
      </c>
      <c r="N483" s="21">
        <v>40.723176941053602</v>
      </c>
      <c r="O483" s="10">
        <v>-79.926766882387</v>
      </c>
      <c r="P483" s="22">
        <v>759</v>
      </c>
      <c r="Q483" s="23">
        <v>44222</v>
      </c>
      <c r="R483" s="22" t="s">
        <v>27</v>
      </c>
      <c r="S483" s="22" t="s">
        <v>517</v>
      </c>
      <c r="T483" s="24">
        <f t="shared" si="10"/>
        <v>790.87800000000004</v>
      </c>
    </row>
    <row r="484" spans="1:20" x14ac:dyDescent="0.25">
      <c r="A484" s="8">
        <v>158</v>
      </c>
      <c r="B484" s="8" t="s">
        <v>19</v>
      </c>
      <c r="C484" s="8">
        <v>10</v>
      </c>
      <c r="D484" s="8" t="s">
        <v>1197</v>
      </c>
      <c r="E484" s="8" t="s">
        <v>1201</v>
      </c>
      <c r="F484" s="18" t="s">
        <v>1202</v>
      </c>
      <c r="G484" s="18" t="s">
        <v>43</v>
      </c>
      <c r="H484" s="19">
        <v>420</v>
      </c>
      <c r="I484" s="19">
        <v>1318</v>
      </c>
      <c r="J484" s="20" t="s">
        <v>1203</v>
      </c>
      <c r="K484" s="20" t="s">
        <v>25</v>
      </c>
      <c r="L484" s="20" t="s">
        <v>26</v>
      </c>
      <c r="M484" s="20" t="s">
        <v>26</v>
      </c>
      <c r="N484" s="21">
        <v>40.8963695677432</v>
      </c>
      <c r="O484" s="10">
        <v>-79.907615831409103</v>
      </c>
      <c r="P484" s="22">
        <v>4657</v>
      </c>
      <c r="Q484" s="23">
        <v>44256</v>
      </c>
      <c r="R484" s="22" t="s">
        <v>33</v>
      </c>
      <c r="S484" s="22" t="s">
        <v>38</v>
      </c>
      <c r="T484" s="24">
        <f t="shared" si="10"/>
        <v>4852.5940000000001</v>
      </c>
    </row>
    <row r="485" spans="1:20" x14ac:dyDescent="0.25">
      <c r="A485" s="8">
        <v>159</v>
      </c>
      <c r="B485" s="8" t="s">
        <v>19</v>
      </c>
      <c r="C485" s="8">
        <v>10</v>
      </c>
      <c r="D485" s="8" t="s">
        <v>1197</v>
      </c>
      <c r="E485" s="8" t="s">
        <v>1204</v>
      </c>
      <c r="F485" s="18" t="s">
        <v>1205</v>
      </c>
      <c r="G485" s="18" t="s">
        <v>43</v>
      </c>
      <c r="H485" s="18">
        <v>640</v>
      </c>
      <c r="I485" s="18">
        <v>1706</v>
      </c>
      <c r="J485" s="20" t="s">
        <v>1206</v>
      </c>
      <c r="K485" s="20" t="s">
        <v>25</v>
      </c>
      <c r="L485" s="27" t="s">
        <v>26</v>
      </c>
      <c r="M485" s="27" t="s">
        <v>26</v>
      </c>
      <c r="N485" s="21">
        <v>41.016819327175597</v>
      </c>
      <c r="O485" s="10">
        <v>-80.005247358270097</v>
      </c>
      <c r="P485" s="22">
        <v>535</v>
      </c>
      <c r="Q485" s="23">
        <v>44249</v>
      </c>
      <c r="R485" s="22" t="s">
        <v>27</v>
      </c>
      <c r="S485" s="22" t="s">
        <v>517</v>
      </c>
      <c r="T485" s="24">
        <f t="shared" si="10"/>
        <v>557.47</v>
      </c>
    </row>
    <row r="486" spans="1:20" x14ac:dyDescent="0.25">
      <c r="A486" s="8">
        <v>160</v>
      </c>
      <c r="B486" s="8" t="s">
        <v>19</v>
      </c>
      <c r="C486" s="8">
        <v>10</v>
      </c>
      <c r="D486" s="8" t="s">
        <v>1197</v>
      </c>
      <c r="E486" s="8" t="s">
        <v>189</v>
      </c>
      <c r="F486" s="18" t="s">
        <v>1207</v>
      </c>
      <c r="G486" s="18" t="s">
        <v>125</v>
      </c>
      <c r="H486" s="19">
        <v>60</v>
      </c>
      <c r="I486" s="19">
        <v>0</v>
      </c>
      <c r="J486" s="20" t="s">
        <v>1208</v>
      </c>
      <c r="K486" s="20" t="s">
        <v>25</v>
      </c>
      <c r="L486" s="20" t="s">
        <v>26</v>
      </c>
      <c r="M486" s="20" t="s">
        <v>26</v>
      </c>
      <c r="N486" s="21">
        <v>40.708169686985897</v>
      </c>
      <c r="O486" s="10">
        <v>-80.103882437439395</v>
      </c>
      <c r="P486" s="22">
        <v>1723</v>
      </c>
      <c r="Q486" s="23">
        <v>44222</v>
      </c>
      <c r="R486" s="22" t="s">
        <v>27</v>
      </c>
      <c r="S486" s="22" t="s">
        <v>517</v>
      </c>
      <c r="T486" s="24">
        <f t="shared" si="10"/>
        <v>1795.366</v>
      </c>
    </row>
    <row r="487" spans="1:20" x14ac:dyDescent="0.25">
      <c r="A487" s="8">
        <v>161</v>
      </c>
      <c r="B487" s="8" t="s">
        <v>19</v>
      </c>
      <c r="C487" s="8">
        <v>10</v>
      </c>
      <c r="D487" s="8" t="s">
        <v>1197</v>
      </c>
      <c r="E487" s="8" t="s">
        <v>1209</v>
      </c>
      <c r="F487" s="18" t="s">
        <v>77</v>
      </c>
      <c r="G487" s="18" t="s">
        <v>1210</v>
      </c>
      <c r="H487" s="18">
        <v>200</v>
      </c>
      <c r="I487" s="18">
        <v>816</v>
      </c>
      <c r="J487" s="20" t="s">
        <v>1211</v>
      </c>
      <c r="K487" s="20" t="s">
        <v>25</v>
      </c>
      <c r="L487" s="27" t="s">
        <v>26</v>
      </c>
      <c r="M487" s="27" t="s">
        <v>26</v>
      </c>
      <c r="N487" s="21">
        <v>40.774140671125302</v>
      </c>
      <c r="O487" s="10">
        <v>-80.054190689299006</v>
      </c>
      <c r="P487" s="22">
        <v>203</v>
      </c>
      <c r="Q487" s="23">
        <v>44222</v>
      </c>
      <c r="R487" s="22" t="s">
        <v>27</v>
      </c>
      <c r="S487" s="22" t="s">
        <v>38</v>
      </c>
      <c r="T487" s="24">
        <f t="shared" si="10"/>
        <v>211.52600000000001</v>
      </c>
    </row>
    <row r="488" spans="1:20" x14ac:dyDescent="0.25">
      <c r="A488" s="8">
        <v>162</v>
      </c>
      <c r="B488" s="8" t="s">
        <v>19</v>
      </c>
      <c r="C488" s="8">
        <v>10</v>
      </c>
      <c r="D488" s="8" t="s">
        <v>1197</v>
      </c>
      <c r="E488" s="8" t="s">
        <v>1212</v>
      </c>
      <c r="F488" s="18" t="s">
        <v>1213</v>
      </c>
      <c r="G488" s="18" t="s">
        <v>1214</v>
      </c>
      <c r="H488" s="18">
        <v>150</v>
      </c>
      <c r="I488" s="18">
        <v>1265</v>
      </c>
      <c r="J488" s="20" t="s">
        <v>1215</v>
      </c>
      <c r="K488" s="20" t="s">
        <v>25</v>
      </c>
      <c r="L488" s="27" t="s">
        <v>26</v>
      </c>
      <c r="M488" s="27" t="s">
        <v>26</v>
      </c>
      <c r="N488" s="21">
        <v>41.077131470597003</v>
      </c>
      <c r="O488" s="10">
        <v>-80.035018588701305</v>
      </c>
      <c r="P488" s="22">
        <v>711</v>
      </c>
      <c r="Q488" s="23">
        <v>44249</v>
      </c>
      <c r="R488" s="22" t="s">
        <v>27</v>
      </c>
      <c r="S488" s="22" t="s">
        <v>28</v>
      </c>
      <c r="T488" s="24">
        <f t="shared" si="10"/>
        <v>740.86200000000008</v>
      </c>
    </row>
    <row r="489" spans="1:20" x14ac:dyDescent="0.25">
      <c r="A489" s="8">
        <v>163</v>
      </c>
      <c r="B489" s="8" t="s">
        <v>19</v>
      </c>
      <c r="C489" s="8">
        <v>10</v>
      </c>
      <c r="D489" s="8" t="s">
        <v>1197</v>
      </c>
      <c r="E489" s="8" t="s">
        <v>189</v>
      </c>
      <c r="F489" s="18" t="s">
        <v>1216</v>
      </c>
      <c r="G489" s="18" t="s">
        <v>1217</v>
      </c>
      <c r="H489" s="19">
        <v>20</v>
      </c>
      <c r="I489" s="19">
        <v>1454</v>
      </c>
      <c r="J489" s="20" t="s">
        <v>1218</v>
      </c>
      <c r="K489" s="20" t="s">
        <v>25</v>
      </c>
      <c r="L489" s="20" t="s">
        <v>26</v>
      </c>
      <c r="M489" s="20" t="s">
        <v>26</v>
      </c>
      <c r="N489" s="21">
        <v>40.685486074455497</v>
      </c>
      <c r="O489" s="10">
        <v>-80.087564064568895</v>
      </c>
      <c r="P489" s="22">
        <v>6335</v>
      </c>
      <c r="Q489" s="23">
        <v>44222</v>
      </c>
      <c r="R489" s="22" t="s">
        <v>27</v>
      </c>
      <c r="S489" s="22" t="s">
        <v>34</v>
      </c>
      <c r="T489" s="24">
        <f t="shared" si="10"/>
        <v>6601.0700000000006</v>
      </c>
    </row>
    <row r="490" spans="1:20" x14ac:dyDescent="0.25">
      <c r="A490" s="8">
        <v>164</v>
      </c>
      <c r="B490" s="8" t="s">
        <v>19</v>
      </c>
      <c r="C490" s="8">
        <v>10</v>
      </c>
      <c r="D490" s="8" t="s">
        <v>1197</v>
      </c>
      <c r="E490" s="8" t="s">
        <v>1219</v>
      </c>
      <c r="F490" s="18" t="s">
        <v>1216</v>
      </c>
      <c r="G490" s="18" t="s">
        <v>1217</v>
      </c>
      <c r="H490" s="19">
        <v>60</v>
      </c>
      <c r="I490" s="19">
        <v>186</v>
      </c>
      <c r="J490" s="20" t="s">
        <v>1220</v>
      </c>
      <c r="K490" s="20" t="s">
        <v>25</v>
      </c>
      <c r="L490" s="20" t="s">
        <v>26</v>
      </c>
      <c r="M490" s="20" t="s">
        <v>26</v>
      </c>
      <c r="N490" s="21">
        <v>40.688177422377798</v>
      </c>
      <c r="O490" s="10">
        <v>-80.056609607885704</v>
      </c>
      <c r="P490" s="22">
        <v>4744</v>
      </c>
      <c r="Q490" s="23">
        <v>44222</v>
      </c>
      <c r="R490" s="22" t="s">
        <v>27</v>
      </c>
      <c r="S490" s="22" t="s">
        <v>34</v>
      </c>
      <c r="T490" s="24">
        <f t="shared" si="10"/>
        <v>4943.2480000000005</v>
      </c>
    </row>
    <row r="491" spans="1:20" x14ac:dyDescent="0.25">
      <c r="A491" s="8">
        <v>165</v>
      </c>
      <c r="B491" s="8" t="s">
        <v>19</v>
      </c>
      <c r="C491" s="8">
        <v>10</v>
      </c>
      <c r="D491" s="8" t="s">
        <v>1197</v>
      </c>
      <c r="E491" s="8" t="s">
        <v>1221</v>
      </c>
      <c r="F491" s="18" t="s">
        <v>1216</v>
      </c>
      <c r="G491" s="18" t="s">
        <v>1217</v>
      </c>
      <c r="H491" s="19">
        <v>60</v>
      </c>
      <c r="I491" s="19">
        <v>860</v>
      </c>
      <c r="J491" s="20" t="s">
        <v>1222</v>
      </c>
      <c r="K491" s="20" t="s">
        <v>25</v>
      </c>
      <c r="L491" s="20" t="s">
        <v>26</v>
      </c>
      <c r="M491" s="20" t="s">
        <v>26</v>
      </c>
      <c r="N491" s="21">
        <v>40.689191157478497</v>
      </c>
      <c r="O491" s="10">
        <v>-80.054590615898604</v>
      </c>
      <c r="P491" s="22">
        <v>7010</v>
      </c>
      <c r="Q491" s="23">
        <v>44222</v>
      </c>
      <c r="R491" s="22" t="s">
        <v>27</v>
      </c>
      <c r="S491" s="22" t="s">
        <v>28</v>
      </c>
      <c r="T491" s="24">
        <f t="shared" si="10"/>
        <v>7304.42</v>
      </c>
    </row>
    <row r="492" spans="1:20" x14ac:dyDescent="0.25">
      <c r="A492" s="8">
        <v>166</v>
      </c>
      <c r="B492" s="8" t="s">
        <v>19</v>
      </c>
      <c r="C492" s="8">
        <v>10</v>
      </c>
      <c r="D492" s="8" t="s">
        <v>1197</v>
      </c>
      <c r="E492" s="8" t="s">
        <v>983</v>
      </c>
      <c r="F492" s="18" t="s">
        <v>1216</v>
      </c>
      <c r="G492" s="18" t="s">
        <v>1217</v>
      </c>
      <c r="H492" s="18">
        <v>190</v>
      </c>
      <c r="I492" s="18">
        <v>1206</v>
      </c>
      <c r="J492" s="20" t="s">
        <v>1223</v>
      </c>
      <c r="K492" s="20" t="s">
        <v>25</v>
      </c>
      <c r="L492" s="27" t="s">
        <v>26</v>
      </c>
      <c r="M492" s="27" t="s">
        <v>26</v>
      </c>
      <c r="N492" s="21">
        <v>40.698083437910597</v>
      </c>
      <c r="O492" s="10">
        <v>-79.948078409861097</v>
      </c>
      <c r="P492" s="22">
        <v>3048</v>
      </c>
      <c r="Q492" s="23">
        <v>44230</v>
      </c>
      <c r="R492" s="22" t="s">
        <v>27</v>
      </c>
      <c r="S492" s="22" t="s">
        <v>28</v>
      </c>
      <c r="T492" s="24">
        <f t="shared" si="10"/>
        <v>3176.0160000000001</v>
      </c>
    </row>
    <row r="493" spans="1:20" x14ac:dyDescent="0.25">
      <c r="A493" s="8">
        <v>167</v>
      </c>
      <c r="B493" s="8" t="s">
        <v>19</v>
      </c>
      <c r="C493" s="8">
        <v>10</v>
      </c>
      <c r="D493" s="8" t="s">
        <v>1197</v>
      </c>
      <c r="E493" s="8" t="s">
        <v>665</v>
      </c>
      <c r="F493" s="18" t="s">
        <v>1224</v>
      </c>
      <c r="G493" s="18" t="s">
        <v>1225</v>
      </c>
      <c r="H493" s="18">
        <v>240</v>
      </c>
      <c r="I493" s="18">
        <v>529</v>
      </c>
      <c r="J493" s="20" t="s">
        <v>1226</v>
      </c>
      <c r="K493" s="20" t="s">
        <v>25</v>
      </c>
      <c r="L493" s="27" t="s">
        <v>26</v>
      </c>
      <c r="M493" s="27" t="s">
        <v>26</v>
      </c>
      <c r="N493" s="21">
        <v>40.783789700059501</v>
      </c>
      <c r="O493" s="10">
        <v>-79.798784939944596</v>
      </c>
      <c r="P493" s="22">
        <v>3592</v>
      </c>
      <c r="Q493" s="23">
        <v>44249</v>
      </c>
      <c r="R493" s="22" t="s">
        <v>27</v>
      </c>
      <c r="S493" s="22" t="s">
        <v>38</v>
      </c>
      <c r="T493" s="24">
        <f t="shared" si="10"/>
        <v>3742.864</v>
      </c>
    </row>
    <row r="494" spans="1:20" x14ac:dyDescent="0.25">
      <c r="A494" s="8">
        <v>168</v>
      </c>
      <c r="B494" s="8" t="s">
        <v>19</v>
      </c>
      <c r="C494" s="8">
        <v>10</v>
      </c>
      <c r="D494" s="8" t="s">
        <v>1197</v>
      </c>
      <c r="E494" s="8" t="s">
        <v>895</v>
      </c>
      <c r="F494" s="18" t="s">
        <v>1227</v>
      </c>
      <c r="G494" s="18" t="s">
        <v>1225</v>
      </c>
      <c r="H494" s="19">
        <v>450</v>
      </c>
      <c r="I494" s="19">
        <v>1276</v>
      </c>
      <c r="J494" s="20" t="s">
        <v>1228</v>
      </c>
      <c r="K494" s="20" t="s">
        <v>25</v>
      </c>
      <c r="L494" s="20" t="s">
        <v>26</v>
      </c>
      <c r="M494" s="20" t="s">
        <v>26</v>
      </c>
      <c r="N494" s="21">
        <v>40.869956382021201</v>
      </c>
      <c r="O494" s="10">
        <v>-79.929099155627497</v>
      </c>
      <c r="P494" s="22">
        <v>2158</v>
      </c>
      <c r="Q494" s="23">
        <v>44256</v>
      </c>
      <c r="R494" s="22" t="s">
        <v>33</v>
      </c>
      <c r="S494" s="22" t="s">
        <v>28</v>
      </c>
      <c r="T494" s="24">
        <f t="shared" si="10"/>
        <v>2248.636</v>
      </c>
    </row>
    <row r="495" spans="1:20" x14ac:dyDescent="0.25">
      <c r="A495" s="8">
        <v>169</v>
      </c>
      <c r="B495" s="8" t="s">
        <v>19</v>
      </c>
      <c r="C495" s="8">
        <v>10</v>
      </c>
      <c r="D495" s="8" t="s">
        <v>1197</v>
      </c>
      <c r="E495" s="8" t="s">
        <v>895</v>
      </c>
      <c r="F495" s="18" t="s">
        <v>1227</v>
      </c>
      <c r="G495" s="18" t="s">
        <v>1225</v>
      </c>
      <c r="H495" s="19">
        <v>450</v>
      </c>
      <c r="I495" s="19">
        <v>2067</v>
      </c>
      <c r="J495" s="20" t="s">
        <v>1229</v>
      </c>
      <c r="K495" s="20" t="s">
        <v>25</v>
      </c>
      <c r="L495" s="20" t="s">
        <v>26</v>
      </c>
      <c r="M495" s="20" t="s">
        <v>26</v>
      </c>
      <c r="N495" s="21">
        <v>40.870624728938701</v>
      </c>
      <c r="O495" s="10">
        <v>-79.931791947708206</v>
      </c>
      <c r="P495" s="22">
        <v>2828</v>
      </c>
      <c r="Q495" s="23">
        <v>44230</v>
      </c>
      <c r="R495" s="22" t="s">
        <v>27</v>
      </c>
      <c r="S495" s="22" t="s">
        <v>34</v>
      </c>
      <c r="T495" s="24">
        <f t="shared" si="10"/>
        <v>2946.7760000000003</v>
      </c>
    </row>
    <row r="496" spans="1:20" x14ac:dyDescent="0.25">
      <c r="A496" s="8">
        <v>170</v>
      </c>
      <c r="B496" s="8" t="s">
        <v>19</v>
      </c>
      <c r="C496" s="8">
        <v>10</v>
      </c>
      <c r="D496" s="8" t="s">
        <v>1197</v>
      </c>
      <c r="E496" s="8" t="s">
        <v>895</v>
      </c>
      <c r="F496" s="18" t="s">
        <v>1227</v>
      </c>
      <c r="G496" s="18" t="s">
        <v>1225</v>
      </c>
      <c r="H496" s="19">
        <v>470</v>
      </c>
      <c r="I496" s="19">
        <v>156</v>
      </c>
      <c r="J496" s="20" t="s">
        <v>1230</v>
      </c>
      <c r="K496" s="20" t="s">
        <v>25</v>
      </c>
      <c r="L496" s="20" t="s">
        <v>26</v>
      </c>
      <c r="M496" s="20" t="s">
        <v>26</v>
      </c>
      <c r="N496" s="21">
        <v>40.874888494378702</v>
      </c>
      <c r="O496" s="10">
        <v>-79.944022176734507</v>
      </c>
      <c r="P496" s="22">
        <v>8150</v>
      </c>
      <c r="Q496" s="23">
        <v>44256</v>
      </c>
      <c r="R496" s="22" t="s">
        <v>33</v>
      </c>
      <c r="S496" s="22" t="s">
        <v>34</v>
      </c>
      <c r="T496" s="24">
        <f t="shared" si="10"/>
        <v>8492.3000000000011</v>
      </c>
    </row>
    <row r="497" spans="1:20" x14ac:dyDescent="0.25">
      <c r="A497" s="8">
        <v>171</v>
      </c>
      <c r="B497" s="8" t="s">
        <v>19</v>
      </c>
      <c r="C497" s="8">
        <v>10</v>
      </c>
      <c r="D497" s="8" t="s">
        <v>1197</v>
      </c>
      <c r="E497" s="8" t="s">
        <v>1231</v>
      </c>
      <c r="F497" s="18" t="s">
        <v>1191</v>
      </c>
      <c r="G497" s="18" t="s">
        <v>1192</v>
      </c>
      <c r="H497" s="18">
        <v>570</v>
      </c>
      <c r="I497" s="18">
        <v>0</v>
      </c>
      <c r="J497" s="20" t="s">
        <v>1232</v>
      </c>
      <c r="K497" s="20" t="s">
        <v>25</v>
      </c>
      <c r="L497" s="27" t="s">
        <v>1233</v>
      </c>
      <c r="M497" s="27" t="s">
        <v>26</v>
      </c>
      <c r="N497" s="21">
        <v>40.847996690434499</v>
      </c>
      <c r="O497" s="10">
        <v>-79.744550756931702</v>
      </c>
      <c r="P497" s="22">
        <v>179</v>
      </c>
      <c r="Q497" s="23">
        <v>44249</v>
      </c>
      <c r="R497" s="22" t="s">
        <v>27</v>
      </c>
      <c r="S497" s="22" t="s">
        <v>34</v>
      </c>
      <c r="T497" s="24">
        <f t="shared" si="10"/>
        <v>186.518</v>
      </c>
    </row>
    <row r="498" spans="1:20" x14ac:dyDescent="0.25">
      <c r="A498" s="8">
        <v>172</v>
      </c>
      <c r="B498" s="8" t="s">
        <v>19</v>
      </c>
      <c r="C498" s="8">
        <v>10</v>
      </c>
      <c r="D498" s="8" t="s">
        <v>1197</v>
      </c>
      <c r="E498" s="8" t="s">
        <v>776</v>
      </c>
      <c r="F498" s="18" t="s">
        <v>1234</v>
      </c>
      <c r="G498" s="18" t="s">
        <v>1235</v>
      </c>
      <c r="H498" s="18">
        <v>50</v>
      </c>
      <c r="I498" s="18">
        <v>0</v>
      </c>
      <c r="J498" s="20" t="s">
        <v>1236</v>
      </c>
      <c r="K498" s="20" t="s">
        <v>25</v>
      </c>
      <c r="L498" s="27" t="s">
        <v>26</v>
      </c>
      <c r="M498" s="27" t="s">
        <v>26</v>
      </c>
      <c r="N498" s="21">
        <v>40.764756455957198</v>
      </c>
      <c r="O498" s="10">
        <v>-80.095749901137296</v>
      </c>
      <c r="P498" s="22">
        <v>322</v>
      </c>
      <c r="Q498" s="23">
        <v>44222</v>
      </c>
      <c r="R498" s="22" t="s">
        <v>27</v>
      </c>
      <c r="S498" s="22" t="s">
        <v>28</v>
      </c>
      <c r="T498" s="24">
        <f t="shared" si="10"/>
        <v>335.524</v>
      </c>
    </row>
    <row r="499" spans="1:20" x14ac:dyDescent="0.25">
      <c r="A499" s="8">
        <v>173</v>
      </c>
      <c r="B499" s="8" t="s">
        <v>19</v>
      </c>
      <c r="C499" s="8">
        <v>10</v>
      </c>
      <c r="D499" s="8" t="s">
        <v>1197</v>
      </c>
      <c r="E499" s="8" t="s">
        <v>189</v>
      </c>
      <c r="F499" s="18" t="s">
        <v>1237</v>
      </c>
      <c r="G499" s="18" t="s">
        <v>1238</v>
      </c>
      <c r="H499" s="19">
        <v>60</v>
      </c>
      <c r="I499" s="19">
        <v>612</v>
      </c>
      <c r="J499" s="20" t="s">
        <v>1239</v>
      </c>
      <c r="K499" s="20" t="s">
        <v>25</v>
      </c>
      <c r="L499" s="20" t="s">
        <v>26</v>
      </c>
      <c r="M499" s="20" t="s">
        <v>26</v>
      </c>
      <c r="N499" s="21">
        <v>40.684668661964999</v>
      </c>
      <c r="O499" s="10">
        <v>-80.109929507787896</v>
      </c>
      <c r="P499" s="22">
        <v>7992</v>
      </c>
      <c r="Q499" s="23">
        <v>44222</v>
      </c>
      <c r="R499" s="22" t="s">
        <v>27</v>
      </c>
      <c r="S499" s="22" t="s">
        <v>34</v>
      </c>
      <c r="T499" s="24">
        <f t="shared" si="10"/>
        <v>8327.6640000000007</v>
      </c>
    </row>
    <row r="500" spans="1:20" x14ac:dyDescent="0.25">
      <c r="A500" s="8">
        <v>174</v>
      </c>
      <c r="B500" s="8" t="s">
        <v>19</v>
      </c>
      <c r="C500" s="8">
        <v>10</v>
      </c>
      <c r="D500" s="8" t="s">
        <v>1197</v>
      </c>
      <c r="E500" s="8" t="s">
        <v>1240</v>
      </c>
      <c r="F500" s="18" t="s">
        <v>1241</v>
      </c>
      <c r="G500" s="18" t="s">
        <v>1142</v>
      </c>
      <c r="H500" s="18">
        <v>90</v>
      </c>
      <c r="I500" s="18">
        <v>0</v>
      </c>
      <c r="J500" s="20" t="s">
        <v>1242</v>
      </c>
      <c r="K500" s="20" t="s">
        <v>25</v>
      </c>
      <c r="L500" s="27" t="s">
        <v>26</v>
      </c>
      <c r="M500" s="27" t="s">
        <v>26</v>
      </c>
      <c r="N500" s="21">
        <v>41.075947237226501</v>
      </c>
      <c r="O500" s="10">
        <v>-79.972785904424299</v>
      </c>
      <c r="P500" s="22">
        <v>1056</v>
      </c>
      <c r="Q500" s="23">
        <v>44249</v>
      </c>
      <c r="R500" s="22" t="s">
        <v>27</v>
      </c>
      <c r="S500" s="22" t="s">
        <v>28</v>
      </c>
      <c r="T500" s="24">
        <f t="shared" si="10"/>
        <v>1100.3520000000001</v>
      </c>
    </row>
    <row r="501" spans="1:20" x14ac:dyDescent="0.25">
      <c r="A501" s="8">
        <v>273</v>
      </c>
      <c r="B501" s="8" t="s">
        <v>19</v>
      </c>
      <c r="C501" s="8">
        <v>10</v>
      </c>
      <c r="D501" s="8" t="s">
        <v>1243</v>
      </c>
      <c r="E501" s="8" t="s">
        <v>1244</v>
      </c>
      <c r="F501" s="18" t="s">
        <v>1186</v>
      </c>
      <c r="G501" s="18" t="s">
        <v>1187</v>
      </c>
      <c r="H501" s="18">
        <v>230</v>
      </c>
      <c r="I501" s="18">
        <v>1673</v>
      </c>
      <c r="J501" s="20" t="s">
        <v>1245</v>
      </c>
      <c r="K501" s="20" t="s">
        <v>25</v>
      </c>
      <c r="L501" s="27" t="s">
        <v>26</v>
      </c>
      <c r="M501" s="27" t="s">
        <v>26</v>
      </c>
      <c r="N501" s="21">
        <v>41.1415265695044</v>
      </c>
      <c r="O501" s="10">
        <v>-79.323385489000898</v>
      </c>
      <c r="P501" s="22">
        <v>42</v>
      </c>
      <c r="Q501" s="23">
        <v>44257</v>
      </c>
      <c r="R501" s="22" t="s">
        <v>27</v>
      </c>
      <c r="S501" s="22" t="s">
        <v>517</v>
      </c>
      <c r="T501" s="24">
        <f t="shared" si="10"/>
        <v>43.764000000000003</v>
      </c>
    </row>
    <row r="502" spans="1:20" x14ac:dyDescent="0.25">
      <c r="A502" s="8">
        <v>274</v>
      </c>
      <c r="B502" s="8" t="s">
        <v>19</v>
      </c>
      <c r="C502" s="8">
        <v>10</v>
      </c>
      <c r="D502" s="8" t="s">
        <v>1243</v>
      </c>
      <c r="E502" s="8" t="s">
        <v>1246</v>
      </c>
      <c r="F502" s="18" t="s">
        <v>1247</v>
      </c>
      <c r="G502" s="18" t="s">
        <v>1187</v>
      </c>
      <c r="H502" s="19">
        <v>400</v>
      </c>
      <c r="I502" s="19">
        <v>199</v>
      </c>
      <c r="J502" s="20" t="s">
        <v>1248</v>
      </c>
      <c r="K502" s="20" t="s">
        <v>25</v>
      </c>
      <c r="L502" s="20" t="s">
        <v>26</v>
      </c>
      <c r="M502" s="20" t="s">
        <v>26</v>
      </c>
      <c r="N502" s="21">
        <v>41.238128182857601</v>
      </c>
      <c r="O502" s="10">
        <v>-79.428567599992704</v>
      </c>
      <c r="P502" s="22">
        <v>523</v>
      </c>
      <c r="Q502" s="23">
        <v>44256</v>
      </c>
      <c r="R502" s="22" t="s">
        <v>27</v>
      </c>
      <c r="S502" s="22" t="s">
        <v>517</v>
      </c>
      <c r="T502" s="24">
        <f t="shared" si="10"/>
        <v>544.96600000000001</v>
      </c>
    </row>
    <row r="503" spans="1:20" x14ac:dyDescent="0.25">
      <c r="A503" s="8">
        <v>275</v>
      </c>
      <c r="B503" s="8" t="s">
        <v>19</v>
      </c>
      <c r="C503" s="8">
        <v>10</v>
      </c>
      <c r="D503" s="8" t="s">
        <v>1243</v>
      </c>
      <c r="E503" s="8" t="s">
        <v>1246</v>
      </c>
      <c r="F503" s="18" t="s">
        <v>1247</v>
      </c>
      <c r="G503" s="18" t="s">
        <v>1187</v>
      </c>
      <c r="H503" s="19">
        <v>400</v>
      </c>
      <c r="I503" s="19">
        <v>1662</v>
      </c>
      <c r="J503" s="20" t="s">
        <v>1249</v>
      </c>
      <c r="K503" s="20" t="s">
        <v>25</v>
      </c>
      <c r="L503" s="20" t="s">
        <v>26</v>
      </c>
      <c r="M503" s="20" t="s">
        <v>26</v>
      </c>
      <c r="N503" s="21">
        <v>41.242134132776698</v>
      </c>
      <c r="O503" s="10">
        <v>-79.427002484699599</v>
      </c>
      <c r="P503" s="22">
        <v>7664</v>
      </c>
      <c r="Q503" s="23">
        <v>44256</v>
      </c>
      <c r="R503" s="22" t="s">
        <v>27</v>
      </c>
      <c r="S503" s="22" t="s">
        <v>38</v>
      </c>
      <c r="T503" s="24">
        <f t="shared" si="10"/>
        <v>7985.8879999999999</v>
      </c>
    </row>
    <row r="504" spans="1:20" x14ac:dyDescent="0.25">
      <c r="A504" s="8">
        <v>276</v>
      </c>
      <c r="B504" s="8" t="s">
        <v>19</v>
      </c>
      <c r="C504" s="8">
        <v>10</v>
      </c>
      <c r="D504" s="8" t="s">
        <v>1243</v>
      </c>
      <c r="E504" s="8" t="s">
        <v>1250</v>
      </c>
      <c r="F504" s="18" t="s">
        <v>1186</v>
      </c>
      <c r="G504" s="18" t="s">
        <v>1187</v>
      </c>
      <c r="H504" s="18">
        <v>520</v>
      </c>
      <c r="I504" s="18">
        <v>2917</v>
      </c>
      <c r="J504" s="20" t="s">
        <v>1251</v>
      </c>
      <c r="K504" s="20" t="s">
        <v>25</v>
      </c>
      <c r="L504" s="27" t="s">
        <v>26</v>
      </c>
      <c r="M504" s="27" t="s">
        <v>26</v>
      </c>
      <c r="N504" s="21">
        <v>41.307889933857297</v>
      </c>
      <c r="O504" s="10">
        <v>-79.369812097024905</v>
      </c>
      <c r="P504" s="22">
        <v>209</v>
      </c>
      <c r="Q504" s="23">
        <v>44256</v>
      </c>
      <c r="R504" s="22" t="s">
        <v>27</v>
      </c>
      <c r="S504" s="22" t="s">
        <v>28</v>
      </c>
      <c r="T504" s="24">
        <f t="shared" si="10"/>
        <v>217.77800000000002</v>
      </c>
    </row>
    <row r="505" spans="1:20" x14ac:dyDescent="0.25">
      <c r="A505" s="8">
        <v>277</v>
      </c>
      <c r="B505" s="8" t="s">
        <v>19</v>
      </c>
      <c r="C505" s="8">
        <v>10</v>
      </c>
      <c r="D505" s="8" t="s">
        <v>1243</v>
      </c>
      <c r="E505" s="8" t="s">
        <v>1252</v>
      </c>
      <c r="F505" s="18" t="s">
        <v>1253</v>
      </c>
      <c r="G505" s="18" t="s">
        <v>1210</v>
      </c>
      <c r="H505" s="18">
        <v>380</v>
      </c>
      <c r="I505" s="18">
        <v>0</v>
      </c>
      <c r="J505" s="20" t="s">
        <v>1254</v>
      </c>
      <c r="K505" s="20" t="s">
        <v>25</v>
      </c>
      <c r="L505" s="27" t="s">
        <v>26</v>
      </c>
      <c r="M505" s="27" t="s">
        <v>26</v>
      </c>
      <c r="N505" s="21">
        <v>41.110573999631903</v>
      </c>
      <c r="O505" s="10">
        <v>-79.477568101080493</v>
      </c>
      <c r="P505" s="22">
        <v>230</v>
      </c>
      <c r="Q505" s="23">
        <v>44256</v>
      </c>
      <c r="R505" s="22" t="s">
        <v>27</v>
      </c>
      <c r="S505" s="22" t="s">
        <v>34</v>
      </c>
      <c r="T505" s="24">
        <f t="shared" si="10"/>
        <v>239.66</v>
      </c>
    </row>
    <row r="506" spans="1:20" x14ac:dyDescent="0.25">
      <c r="A506" s="8">
        <v>278</v>
      </c>
      <c r="B506" s="8" t="s">
        <v>19</v>
      </c>
      <c r="C506" s="8">
        <v>10</v>
      </c>
      <c r="D506" s="8" t="s">
        <v>1243</v>
      </c>
      <c r="E506" s="8" t="s">
        <v>1255</v>
      </c>
      <c r="F506" s="18" t="s">
        <v>61</v>
      </c>
      <c r="G506" s="18" t="s">
        <v>1256</v>
      </c>
      <c r="H506" s="18">
        <v>220</v>
      </c>
      <c r="I506" s="18">
        <v>1333</v>
      </c>
      <c r="J506" s="20" t="s">
        <v>1257</v>
      </c>
      <c r="K506" s="20" t="s">
        <v>25</v>
      </c>
      <c r="L506" s="27" t="s">
        <v>26</v>
      </c>
      <c r="M506" s="27" t="s">
        <v>26</v>
      </c>
      <c r="N506" s="21">
        <v>41.234857653468197</v>
      </c>
      <c r="O506" s="10">
        <v>-79.527378610879694</v>
      </c>
      <c r="P506" s="22">
        <v>445</v>
      </c>
      <c r="Q506" s="23">
        <v>44256</v>
      </c>
      <c r="R506" s="22" t="s">
        <v>27</v>
      </c>
      <c r="S506" s="22" t="s">
        <v>28</v>
      </c>
      <c r="T506" s="24">
        <f t="shared" si="10"/>
        <v>463.69</v>
      </c>
    </row>
    <row r="507" spans="1:20" x14ac:dyDescent="0.25">
      <c r="A507" s="8">
        <v>279</v>
      </c>
      <c r="B507" s="8" t="s">
        <v>19</v>
      </c>
      <c r="C507" s="8">
        <v>10</v>
      </c>
      <c r="D507" s="8" t="s">
        <v>1243</v>
      </c>
      <c r="E507" s="8" t="s">
        <v>1258</v>
      </c>
      <c r="F507" s="18" t="s">
        <v>1259</v>
      </c>
      <c r="G507" s="18" t="s">
        <v>1256</v>
      </c>
      <c r="H507" s="18">
        <v>410</v>
      </c>
      <c r="I507" s="18">
        <v>0</v>
      </c>
      <c r="J507" s="20" t="s">
        <v>1260</v>
      </c>
      <c r="K507" s="20" t="s">
        <v>25</v>
      </c>
      <c r="L507" s="27" t="s">
        <v>26</v>
      </c>
      <c r="M507" s="27" t="s">
        <v>26</v>
      </c>
      <c r="N507" s="21">
        <v>41.305910018257201</v>
      </c>
      <c r="O507" s="10">
        <v>-79.452508334995301</v>
      </c>
      <c r="P507" s="22">
        <v>189</v>
      </c>
      <c r="Q507" s="23">
        <v>44256</v>
      </c>
      <c r="R507" s="22" t="s">
        <v>27</v>
      </c>
      <c r="S507" s="22" t="s">
        <v>517</v>
      </c>
      <c r="T507" s="24">
        <f t="shared" si="10"/>
        <v>196.93800000000002</v>
      </c>
    </row>
    <row r="508" spans="1:20" x14ac:dyDescent="0.25">
      <c r="A508" s="8">
        <v>280</v>
      </c>
      <c r="B508" s="8" t="s">
        <v>19</v>
      </c>
      <c r="C508" s="8">
        <v>10</v>
      </c>
      <c r="D508" s="8" t="s">
        <v>1243</v>
      </c>
      <c r="E508" s="8" t="s">
        <v>1246</v>
      </c>
      <c r="F508" s="18" t="s">
        <v>74</v>
      </c>
      <c r="G508" s="18" t="s">
        <v>75</v>
      </c>
      <c r="H508" s="19">
        <v>290</v>
      </c>
      <c r="I508" s="19">
        <v>1142</v>
      </c>
      <c r="J508" s="20" t="s">
        <v>1261</v>
      </c>
      <c r="K508" s="20" t="s">
        <v>25</v>
      </c>
      <c r="L508" s="20" t="s">
        <v>26</v>
      </c>
      <c r="M508" s="20" t="s">
        <v>26</v>
      </c>
      <c r="N508" s="21">
        <v>41.232129898316998</v>
      </c>
      <c r="O508" s="10">
        <v>-79.408621592530594</v>
      </c>
      <c r="P508" s="22">
        <v>320</v>
      </c>
      <c r="Q508" s="23">
        <v>44256</v>
      </c>
      <c r="R508" s="22" t="s">
        <v>27</v>
      </c>
      <c r="S508" s="22" t="s">
        <v>34</v>
      </c>
      <c r="T508" s="24">
        <f t="shared" si="10"/>
        <v>333.44</v>
      </c>
    </row>
    <row r="509" spans="1:20" x14ac:dyDescent="0.25">
      <c r="A509" s="8">
        <v>281</v>
      </c>
      <c r="B509" s="8" t="s">
        <v>19</v>
      </c>
      <c r="C509" s="8">
        <v>10</v>
      </c>
      <c r="D509" s="8" t="s">
        <v>1243</v>
      </c>
      <c r="E509" s="8" t="s">
        <v>1262</v>
      </c>
      <c r="F509" s="18" t="s">
        <v>77</v>
      </c>
      <c r="G509" s="18" t="s">
        <v>75</v>
      </c>
      <c r="H509" s="19">
        <v>340</v>
      </c>
      <c r="I509" s="19">
        <v>561</v>
      </c>
      <c r="J509" s="20" t="s">
        <v>1143</v>
      </c>
      <c r="K509" s="20" t="s">
        <v>25</v>
      </c>
      <c r="L509" s="20" t="s">
        <v>26</v>
      </c>
      <c r="M509" s="20" t="s">
        <v>26</v>
      </c>
      <c r="N509" s="21">
        <v>41.215364390039902</v>
      </c>
      <c r="O509" s="10">
        <v>-79.387270407056207</v>
      </c>
      <c r="P509" s="22">
        <v>2118</v>
      </c>
      <c r="Q509" s="23">
        <v>44257</v>
      </c>
      <c r="R509" s="22" t="s">
        <v>27</v>
      </c>
      <c r="S509" s="22" t="s">
        <v>34</v>
      </c>
      <c r="T509" s="24">
        <f t="shared" si="10"/>
        <v>2206.9560000000001</v>
      </c>
    </row>
    <row r="510" spans="1:20" x14ac:dyDescent="0.25">
      <c r="A510" s="8">
        <v>282</v>
      </c>
      <c r="B510" s="8" t="s">
        <v>19</v>
      </c>
      <c r="C510" s="8">
        <v>10</v>
      </c>
      <c r="D510" s="8" t="s">
        <v>1243</v>
      </c>
      <c r="E510" s="8" t="s">
        <v>1263</v>
      </c>
      <c r="F510" s="18" t="s">
        <v>74</v>
      </c>
      <c r="G510" s="18" t="s">
        <v>75</v>
      </c>
      <c r="H510" s="18">
        <v>460</v>
      </c>
      <c r="I510" s="18">
        <v>0</v>
      </c>
      <c r="J510" s="20" t="s">
        <v>1264</v>
      </c>
      <c r="K510" s="20" t="s">
        <v>25</v>
      </c>
      <c r="L510" s="27" t="s">
        <v>26</v>
      </c>
      <c r="M510" s="27" t="s">
        <v>26</v>
      </c>
      <c r="N510" s="21">
        <v>41.195626980853802</v>
      </c>
      <c r="O510" s="10">
        <v>-79.296394891822302</v>
      </c>
      <c r="P510" s="22">
        <v>107</v>
      </c>
      <c r="Q510" s="23">
        <v>44257</v>
      </c>
      <c r="R510" s="22" t="s">
        <v>27</v>
      </c>
      <c r="S510" s="22" t="s">
        <v>28</v>
      </c>
      <c r="T510" s="24">
        <f t="shared" si="10"/>
        <v>111.494</v>
      </c>
    </row>
    <row r="511" spans="1:20" x14ac:dyDescent="0.25">
      <c r="A511" s="8">
        <v>283</v>
      </c>
      <c r="B511" s="8" t="s">
        <v>19</v>
      </c>
      <c r="C511" s="8">
        <v>10</v>
      </c>
      <c r="D511" s="8" t="s">
        <v>1243</v>
      </c>
      <c r="E511" s="8" t="s">
        <v>1255</v>
      </c>
      <c r="F511" s="18" t="s">
        <v>1265</v>
      </c>
      <c r="G511" s="18" t="s">
        <v>1266</v>
      </c>
      <c r="H511" s="18">
        <v>200</v>
      </c>
      <c r="I511" s="18">
        <v>1328</v>
      </c>
      <c r="J511" s="20" t="s">
        <v>1267</v>
      </c>
      <c r="K511" s="20" t="s">
        <v>25</v>
      </c>
      <c r="L511" s="27" t="s">
        <v>26</v>
      </c>
      <c r="M511" s="27" t="s">
        <v>26</v>
      </c>
      <c r="N511" s="21">
        <v>41.222513250003303</v>
      </c>
      <c r="O511" s="10">
        <v>-79.531335770412298</v>
      </c>
      <c r="P511" s="22">
        <v>365</v>
      </c>
      <c r="Q511" s="23">
        <v>44265</v>
      </c>
      <c r="R511" s="22" t="s">
        <v>27</v>
      </c>
      <c r="S511" s="22" t="s">
        <v>517</v>
      </c>
      <c r="T511" s="24">
        <f t="shared" si="10"/>
        <v>380.33000000000004</v>
      </c>
    </row>
    <row r="512" spans="1:20" x14ac:dyDescent="0.25">
      <c r="A512" s="8">
        <v>284</v>
      </c>
      <c r="B512" s="8" t="s">
        <v>19</v>
      </c>
      <c r="C512" s="8">
        <v>10</v>
      </c>
      <c r="D512" s="8" t="s">
        <v>1243</v>
      </c>
      <c r="E512" s="8" t="s">
        <v>1268</v>
      </c>
      <c r="F512" s="18" t="s">
        <v>1265</v>
      </c>
      <c r="G512" s="18" t="s">
        <v>1266</v>
      </c>
      <c r="H512" s="18">
        <v>300</v>
      </c>
      <c r="I512" s="18">
        <v>0</v>
      </c>
      <c r="J512" s="20" t="s">
        <v>1269</v>
      </c>
      <c r="K512" s="20" t="s">
        <v>25</v>
      </c>
      <c r="L512" s="27" t="s">
        <v>26</v>
      </c>
      <c r="M512" s="27" t="s">
        <v>26</v>
      </c>
      <c r="N512" s="21">
        <v>41.271629872008702</v>
      </c>
      <c r="O512" s="10">
        <v>-79.569205838796506</v>
      </c>
      <c r="P512" s="22">
        <v>307</v>
      </c>
      <c r="Q512" s="23">
        <v>44256</v>
      </c>
      <c r="R512" s="22" t="s">
        <v>27</v>
      </c>
      <c r="S512" s="22" t="s">
        <v>38</v>
      </c>
      <c r="T512" s="24">
        <f t="shared" si="10"/>
        <v>319.89400000000001</v>
      </c>
    </row>
    <row r="513" spans="1:20" x14ac:dyDescent="0.25">
      <c r="A513" s="8">
        <v>285</v>
      </c>
      <c r="B513" s="8" t="s">
        <v>19</v>
      </c>
      <c r="C513" s="8">
        <v>10</v>
      </c>
      <c r="D513" s="8" t="s">
        <v>1243</v>
      </c>
      <c r="E513" s="8" t="s">
        <v>1270</v>
      </c>
      <c r="F513" s="18" t="s">
        <v>1271</v>
      </c>
      <c r="G513" s="18" t="s">
        <v>1272</v>
      </c>
      <c r="H513" s="18">
        <v>30</v>
      </c>
      <c r="I513" s="18">
        <v>0</v>
      </c>
      <c r="J513" s="20" t="s">
        <v>1273</v>
      </c>
      <c r="K513" s="20" t="s">
        <v>25</v>
      </c>
      <c r="L513" s="27" t="s">
        <v>26</v>
      </c>
      <c r="M513" s="27" t="s">
        <v>26</v>
      </c>
      <c r="N513" s="21">
        <v>41.101158899875301</v>
      </c>
      <c r="O513" s="10">
        <v>-79.6660376992658</v>
      </c>
      <c r="P513" s="22">
        <v>524</v>
      </c>
      <c r="Q513" s="23">
        <v>44256</v>
      </c>
      <c r="R513" s="22" t="s">
        <v>27</v>
      </c>
      <c r="S513" s="22" t="s">
        <v>28</v>
      </c>
      <c r="T513" s="24">
        <f t="shared" si="10"/>
        <v>546.00800000000004</v>
      </c>
    </row>
    <row r="514" spans="1:20" x14ac:dyDescent="0.25">
      <c r="A514" s="8">
        <v>286</v>
      </c>
      <c r="B514" s="8" t="s">
        <v>19</v>
      </c>
      <c r="C514" s="8">
        <v>10</v>
      </c>
      <c r="D514" s="8" t="s">
        <v>1243</v>
      </c>
      <c r="E514" s="8" t="s">
        <v>1262</v>
      </c>
      <c r="F514" s="18" t="s">
        <v>1274</v>
      </c>
      <c r="G514" s="18" t="s">
        <v>481</v>
      </c>
      <c r="H514" s="19">
        <v>10</v>
      </c>
      <c r="I514" s="19">
        <v>241</v>
      </c>
      <c r="J514" s="20" t="s">
        <v>1275</v>
      </c>
      <c r="K514" s="20" t="s">
        <v>25</v>
      </c>
      <c r="L514" s="20" t="s">
        <v>26</v>
      </c>
      <c r="M514" s="20" t="s">
        <v>26</v>
      </c>
      <c r="N514" s="21">
        <v>41.215293471186499</v>
      </c>
      <c r="O514" s="10">
        <v>-79.385236673536397</v>
      </c>
      <c r="P514" s="22">
        <v>230</v>
      </c>
      <c r="Q514" s="23">
        <v>44257</v>
      </c>
      <c r="R514" s="22" t="s">
        <v>27</v>
      </c>
      <c r="S514" s="22" t="s">
        <v>38</v>
      </c>
      <c r="T514" s="24">
        <f t="shared" si="10"/>
        <v>239.66</v>
      </c>
    </row>
    <row r="515" spans="1:20" x14ac:dyDescent="0.25">
      <c r="A515" s="8">
        <v>572</v>
      </c>
      <c r="B515" s="8" t="s">
        <v>19</v>
      </c>
      <c r="C515" s="8">
        <v>10</v>
      </c>
      <c r="D515" s="8" t="s">
        <v>1276</v>
      </c>
      <c r="E515" s="8" t="s">
        <v>1277</v>
      </c>
      <c r="F515" s="18" t="s">
        <v>187</v>
      </c>
      <c r="G515" s="18" t="s">
        <v>1278</v>
      </c>
      <c r="H515" s="18">
        <v>190</v>
      </c>
      <c r="I515" s="18">
        <v>709</v>
      </c>
      <c r="J515" s="20" t="s">
        <v>1279</v>
      </c>
      <c r="K515" s="20" t="s">
        <v>25</v>
      </c>
      <c r="L515" s="20" t="s">
        <v>26</v>
      </c>
      <c r="M515" s="20" t="s">
        <v>26</v>
      </c>
      <c r="N515" s="21">
        <v>41.154431840746199</v>
      </c>
      <c r="O515" s="10">
        <v>-79.099498046175299</v>
      </c>
      <c r="P515" s="22">
        <v>1781</v>
      </c>
      <c r="Q515" s="23">
        <v>44258</v>
      </c>
      <c r="R515" s="22" t="s">
        <v>27</v>
      </c>
      <c r="S515" s="22" t="s">
        <v>38</v>
      </c>
      <c r="T515" s="24">
        <f t="shared" si="10"/>
        <v>1855.8020000000001</v>
      </c>
    </row>
    <row r="516" spans="1:20" x14ac:dyDescent="0.25">
      <c r="A516" s="8">
        <v>573</v>
      </c>
      <c r="B516" s="8" t="s">
        <v>19</v>
      </c>
      <c r="C516" s="8">
        <v>10</v>
      </c>
      <c r="D516" s="8" t="s">
        <v>1276</v>
      </c>
      <c r="E516" s="8" t="s">
        <v>1280</v>
      </c>
      <c r="F516" s="18" t="s">
        <v>77</v>
      </c>
      <c r="G516" s="18" t="s">
        <v>1278</v>
      </c>
      <c r="H516" s="18">
        <v>570</v>
      </c>
      <c r="I516" s="18">
        <v>2111</v>
      </c>
      <c r="J516" s="20" t="s">
        <v>1281</v>
      </c>
      <c r="K516" s="20" t="s">
        <v>25</v>
      </c>
      <c r="L516" s="20" t="s">
        <v>26</v>
      </c>
      <c r="M516" s="20" t="s">
        <v>26</v>
      </c>
      <c r="N516" s="21">
        <v>41.248989354173503</v>
      </c>
      <c r="O516" s="10">
        <v>-78.798208822974999</v>
      </c>
      <c r="P516" s="22">
        <v>1088</v>
      </c>
      <c r="Q516" s="23">
        <v>44265</v>
      </c>
      <c r="R516" s="22" t="s">
        <v>27</v>
      </c>
      <c r="S516" s="22" t="s">
        <v>28</v>
      </c>
      <c r="T516" s="24">
        <f t="shared" si="10"/>
        <v>1133.6960000000001</v>
      </c>
    </row>
    <row r="517" spans="1:20" x14ac:dyDescent="0.25">
      <c r="A517" s="8">
        <v>574</v>
      </c>
      <c r="B517" s="8" t="s">
        <v>19</v>
      </c>
      <c r="C517" s="8">
        <v>10</v>
      </c>
      <c r="D517" s="8" t="s">
        <v>1276</v>
      </c>
      <c r="E517" s="8" t="s">
        <v>1280</v>
      </c>
      <c r="F517" s="18" t="s">
        <v>77</v>
      </c>
      <c r="G517" s="18" t="s">
        <v>1278</v>
      </c>
      <c r="H517" s="18">
        <v>600</v>
      </c>
      <c r="I517" s="18">
        <v>732</v>
      </c>
      <c r="J517" s="20" t="s">
        <v>1282</v>
      </c>
      <c r="K517" s="20" t="s">
        <v>25</v>
      </c>
      <c r="L517" s="27" t="s">
        <v>26</v>
      </c>
      <c r="M517" s="27" t="s">
        <v>26</v>
      </c>
      <c r="N517" s="21">
        <v>41.248399517325701</v>
      </c>
      <c r="O517" s="10">
        <v>-78.794980731477594</v>
      </c>
      <c r="P517" s="22">
        <v>851</v>
      </c>
      <c r="Q517" s="23">
        <v>44257</v>
      </c>
      <c r="R517" s="22" t="s">
        <v>27</v>
      </c>
      <c r="S517" s="22" t="s">
        <v>34</v>
      </c>
      <c r="T517" s="24">
        <f t="shared" si="10"/>
        <v>886.74200000000008</v>
      </c>
    </row>
    <row r="518" spans="1:20" x14ac:dyDescent="0.25">
      <c r="A518" s="8">
        <v>575</v>
      </c>
      <c r="B518" s="8" t="s">
        <v>19</v>
      </c>
      <c r="C518" s="8">
        <v>10</v>
      </c>
      <c r="D518" s="8" t="s">
        <v>1276</v>
      </c>
      <c r="E518" s="8" t="s">
        <v>1283</v>
      </c>
      <c r="F518" s="18" t="s">
        <v>1284</v>
      </c>
      <c r="G518" s="18" t="s">
        <v>1104</v>
      </c>
      <c r="H518" s="19">
        <v>260</v>
      </c>
      <c r="I518" s="19">
        <v>310</v>
      </c>
      <c r="J518" s="20" t="s">
        <v>1285</v>
      </c>
      <c r="K518" s="20" t="s">
        <v>25</v>
      </c>
      <c r="L518" s="20" t="s">
        <v>26</v>
      </c>
      <c r="M518" s="20" t="s">
        <v>26</v>
      </c>
      <c r="N518" s="21">
        <v>40.942789814585304</v>
      </c>
      <c r="O518" s="10">
        <v>-78.988906745713706</v>
      </c>
      <c r="P518" s="22">
        <v>470</v>
      </c>
      <c r="Q518" s="23">
        <v>44257</v>
      </c>
      <c r="R518" s="22" t="s">
        <v>27</v>
      </c>
      <c r="S518" s="22" t="s">
        <v>34</v>
      </c>
      <c r="T518" s="24">
        <f t="shared" si="10"/>
        <v>489.74</v>
      </c>
    </row>
    <row r="519" spans="1:20" x14ac:dyDescent="0.25">
      <c r="A519" s="8">
        <v>576</v>
      </c>
      <c r="B519" s="8" t="s">
        <v>19</v>
      </c>
      <c r="C519" s="8">
        <v>10</v>
      </c>
      <c r="D519" s="8" t="s">
        <v>1276</v>
      </c>
      <c r="E519" s="8" t="s">
        <v>1286</v>
      </c>
      <c r="F519" s="18" t="s">
        <v>1287</v>
      </c>
      <c r="G519" s="18" t="s">
        <v>1104</v>
      </c>
      <c r="H519" s="18">
        <v>810</v>
      </c>
      <c r="I519" s="18">
        <v>0</v>
      </c>
      <c r="J519" s="20" t="s">
        <v>1288</v>
      </c>
      <c r="K519" s="20" t="s">
        <v>25</v>
      </c>
      <c r="L519" s="27" t="s">
        <v>26</v>
      </c>
      <c r="M519" s="27" t="s">
        <v>26</v>
      </c>
      <c r="N519" s="21">
        <v>41.220042740144102</v>
      </c>
      <c r="O519" s="10">
        <v>-79.113253066839803</v>
      </c>
      <c r="P519" s="22">
        <v>167</v>
      </c>
      <c r="Q519" s="23">
        <v>44257</v>
      </c>
      <c r="R519" s="22" t="s">
        <v>27</v>
      </c>
      <c r="S519" s="22" t="s">
        <v>517</v>
      </c>
      <c r="T519" s="24">
        <f t="shared" si="10"/>
        <v>174.01400000000001</v>
      </c>
    </row>
    <row r="520" spans="1:20" x14ac:dyDescent="0.25">
      <c r="A520" s="8">
        <v>577</v>
      </c>
      <c r="B520" s="8" t="s">
        <v>19</v>
      </c>
      <c r="C520" s="8">
        <v>10</v>
      </c>
      <c r="D520" s="8" t="s">
        <v>1276</v>
      </c>
      <c r="E520" s="8" t="s">
        <v>1289</v>
      </c>
      <c r="F520" s="18" t="s">
        <v>1290</v>
      </c>
      <c r="G520" s="18" t="s">
        <v>327</v>
      </c>
      <c r="H520" s="18">
        <v>170</v>
      </c>
      <c r="I520" s="18">
        <v>0</v>
      </c>
      <c r="J520" s="20" t="s">
        <v>1291</v>
      </c>
      <c r="K520" s="20" t="s">
        <v>25</v>
      </c>
      <c r="L520" s="27" t="s">
        <v>26</v>
      </c>
      <c r="M520" s="27" t="s">
        <v>26</v>
      </c>
      <c r="N520" s="21">
        <v>40.951291481547102</v>
      </c>
      <c r="O520" s="10">
        <v>-78.939992343470095</v>
      </c>
      <c r="P520" s="22">
        <v>274</v>
      </c>
      <c r="Q520" s="23">
        <v>44257</v>
      </c>
      <c r="R520" s="22" t="s">
        <v>27</v>
      </c>
      <c r="S520" s="22" t="s">
        <v>34</v>
      </c>
      <c r="T520" s="24">
        <f t="shared" si="10"/>
        <v>285.50800000000004</v>
      </c>
    </row>
    <row r="521" spans="1:20" x14ac:dyDescent="0.25">
      <c r="A521" s="8">
        <v>578</v>
      </c>
      <c r="B521" s="8" t="s">
        <v>19</v>
      </c>
      <c r="C521" s="8">
        <v>10</v>
      </c>
      <c r="D521" s="8" t="s">
        <v>1276</v>
      </c>
      <c r="E521" s="8" t="s">
        <v>1167</v>
      </c>
      <c r="F521" s="18" t="s">
        <v>1290</v>
      </c>
      <c r="G521" s="18" t="s">
        <v>327</v>
      </c>
      <c r="H521" s="18">
        <v>320</v>
      </c>
      <c r="I521" s="18">
        <v>0</v>
      </c>
      <c r="J521" s="20" t="s">
        <v>1292</v>
      </c>
      <c r="K521" s="20" t="s">
        <v>25</v>
      </c>
      <c r="L521" s="27" t="s">
        <v>26</v>
      </c>
      <c r="M521" s="27" t="s">
        <v>26</v>
      </c>
      <c r="N521" s="21">
        <v>40.978570415619103</v>
      </c>
      <c r="O521" s="10">
        <v>-78.851467566454104</v>
      </c>
      <c r="P521" s="22">
        <v>38</v>
      </c>
      <c r="Q521" s="23">
        <v>44257</v>
      </c>
      <c r="R521" s="22" t="s">
        <v>27</v>
      </c>
      <c r="S521" s="22" t="s">
        <v>34</v>
      </c>
      <c r="T521" s="24">
        <f t="shared" si="10"/>
        <v>39.596000000000004</v>
      </c>
    </row>
    <row r="522" spans="1:20" x14ac:dyDescent="0.25">
      <c r="A522" s="8">
        <v>579</v>
      </c>
      <c r="B522" s="8" t="s">
        <v>19</v>
      </c>
      <c r="C522" s="8">
        <v>10</v>
      </c>
      <c r="D522" s="8" t="s">
        <v>1276</v>
      </c>
      <c r="E522" s="8" t="s">
        <v>1152</v>
      </c>
      <c r="F522" s="18" t="s">
        <v>1290</v>
      </c>
      <c r="G522" s="18" t="s">
        <v>338</v>
      </c>
      <c r="H522" s="18">
        <v>140</v>
      </c>
      <c r="I522" s="18">
        <v>0</v>
      </c>
      <c r="J522" s="20" t="s">
        <v>1293</v>
      </c>
      <c r="K522" s="20" t="s">
        <v>25</v>
      </c>
      <c r="L522" s="27" t="s">
        <v>26</v>
      </c>
      <c r="M522" s="27" t="s">
        <v>26</v>
      </c>
      <c r="N522" s="21">
        <v>41.2383919652343</v>
      </c>
      <c r="O522" s="10">
        <v>-78.783667364115701</v>
      </c>
      <c r="P522" s="22">
        <v>569</v>
      </c>
      <c r="Q522" s="23">
        <v>44257</v>
      </c>
      <c r="R522" s="22" t="s">
        <v>27</v>
      </c>
      <c r="S522" s="22" t="s">
        <v>517</v>
      </c>
      <c r="T522" s="24">
        <f t="shared" si="10"/>
        <v>592.89800000000002</v>
      </c>
    </row>
    <row r="523" spans="1:20" x14ac:dyDescent="0.25">
      <c r="A523" s="8">
        <v>580</v>
      </c>
      <c r="B523" s="8" t="s">
        <v>19</v>
      </c>
      <c r="C523" s="8">
        <v>10</v>
      </c>
      <c r="D523" s="8" t="s">
        <v>1276</v>
      </c>
      <c r="E523" s="8" t="s">
        <v>1152</v>
      </c>
      <c r="F523" s="18" t="s">
        <v>1290</v>
      </c>
      <c r="G523" s="18" t="s">
        <v>338</v>
      </c>
      <c r="H523" s="18">
        <v>200</v>
      </c>
      <c r="I523" s="18">
        <v>2098</v>
      </c>
      <c r="J523" s="20" t="s">
        <v>1294</v>
      </c>
      <c r="K523" s="20" t="s">
        <v>25</v>
      </c>
      <c r="L523" s="27" t="s">
        <v>26</v>
      </c>
      <c r="M523" s="27" t="s">
        <v>26</v>
      </c>
      <c r="N523" s="21">
        <v>41.247203796438903</v>
      </c>
      <c r="O523" s="10">
        <v>-78.747136978331497</v>
      </c>
      <c r="P523" s="22">
        <v>86</v>
      </c>
      <c r="Q523" s="23">
        <v>44257</v>
      </c>
      <c r="R523" s="22" t="s">
        <v>27</v>
      </c>
      <c r="S523" s="22" t="s">
        <v>28</v>
      </c>
      <c r="T523" s="24">
        <f t="shared" si="10"/>
        <v>89.612000000000009</v>
      </c>
    </row>
    <row r="524" spans="1:20" x14ac:dyDescent="0.25">
      <c r="A524" s="8">
        <v>581</v>
      </c>
      <c r="B524" s="8" t="s">
        <v>19</v>
      </c>
      <c r="C524" s="8">
        <v>10</v>
      </c>
      <c r="D524" s="8" t="s">
        <v>1276</v>
      </c>
      <c r="E524" s="8" t="s">
        <v>1295</v>
      </c>
      <c r="F524" s="18" t="s">
        <v>1296</v>
      </c>
      <c r="G524" s="18" t="s">
        <v>1297</v>
      </c>
      <c r="H524" s="18">
        <v>70</v>
      </c>
      <c r="I524" s="18">
        <v>0</v>
      </c>
      <c r="J524" s="20" t="s">
        <v>1298</v>
      </c>
      <c r="K524" s="20" t="s">
        <v>25</v>
      </c>
      <c r="L524" s="27" t="s">
        <v>26</v>
      </c>
      <c r="M524" s="27" t="s">
        <v>26</v>
      </c>
      <c r="N524" s="21">
        <v>40.982320554477603</v>
      </c>
      <c r="O524" s="10">
        <v>-78.969280392461002</v>
      </c>
      <c r="P524" s="22">
        <v>390</v>
      </c>
      <c r="Q524" s="23">
        <v>44257</v>
      </c>
      <c r="R524" s="22" t="s">
        <v>27</v>
      </c>
      <c r="S524" s="22" t="s">
        <v>38</v>
      </c>
      <c r="T524" s="24">
        <f t="shared" si="10"/>
        <v>406.38</v>
      </c>
    </row>
    <row r="525" spans="1:20" x14ac:dyDescent="0.25">
      <c r="A525" s="8">
        <v>582</v>
      </c>
      <c r="B525" s="8" t="s">
        <v>19</v>
      </c>
      <c r="C525" s="8">
        <v>10</v>
      </c>
      <c r="D525" s="8" t="s">
        <v>1276</v>
      </c>
      <c r="E525" s="8" t="s">
        <v>1299</v>
      </c>
      <c r="F525" s="18" t="s">
        <v>77</v>
      </c>
      <c r="G525" s="18" t="s">
        <v>75</v>
      </c>
      <c r="H525" s="18">
        <v>160</v>
      </c>
      <c r="I525" s="18">
        <v>0</v>
      </c>
      <c r="J525" s="20" t="s">
        <v>1300</v>
      </c>
      <c r="K525" s="20" t="s">
        <v>25</v>
      </c>
      <c r="L525" s="27" t="s">
        <v>26</v>
      </c>
      <c r="M525" s="27" t="s">
        <v>26</v>
      </c>
      <c r="N525" s="21">
        <v>41.1611450533414</v>
      </c>
      <c r="O525" s="10">
        <v>-79.091349234163104</v>
      </c>
      <c r="P525" s="22">
        <v>170</v>
      </c>
      <c r="Q525" s="23">
        <v>44257</v>
      </c>
      <c r="R525" s="22" t="s">
        <v>27</v>
      </c>
      <c r="S525" s="22" t="s">
        <v>34</v>
      </c>
      <c r="T525" s="24">
        <f t="shared" si="10"/>
        <v>177.14000000000001</v>
      </c>
    </row>
    <row r="526" spans="1:20" x14ac:dyDescent="0.25">
      <c r="A526" s="8">
        <v>583</v>
      </c>
      <c r="B526" s="8" t="s">
        <v>19</v>
      </c>
      <c r="C526" s="8">
        <v>10</v>
      </c>
      <c r="D526" s="8" t="s">
        <v>1276</v>
      </c>
      <c r="E526" s="8" t="s">
        <v>1301</v>
      </c>
      <c r="F526" s="18" t="s">
        <v>77</v>
      </c>
      <c r="G526" s="18" t="s">
        <v>75</v>
      </c>
      <c r="H526" s="18">
        <v>460</v>
      </c>
      <c r="I526" s="18">
        <v>0</v>
      </c>
      <c r="J526" s="20" t="s">
        <v>1302</v>
      </c>
      <c r="K526" s="20" t="s">
        <v>25</v>
      </c>
      <c r="L526" s="27" t="s">
        <v>26</v>
      </c>
      <c r="M526" s="27" t="s">
        <v>26</v>
      </c>
      <c r="N526" s="21">
        <v>41.101953543407902</v>
      </c>
      <c r="O526" s="10">
        <v>-78.899140836087199</v>
      </c>
      <c r="P526" s="22">
        <v>42</v>
      </c>
      <c r="Q526" s="23">
        <v>44257</v>
      </c>
      <c r="R526" s="22" t="s">
        <v>27</v>
      </c>
      <c r="S526" s="22" t="s">
        <v>517</v>
      </c>
      <c r="T526" s="24">
        <f t="shared" si="10"/>
        <v>43.764000000000003</v>
      </c>
    </row>
    <row r="527" spans="1:20" x14ac:dyDescent="0.25">
      <c r="A527" s="8">
        <v>584</v>
      </c>
      <c r="B527" s="8" t="s">
        <v>19</v>
      </c>
      <c r="C527" s="8">
        <v>10</v>
      </c>
      <c r="D527" s="8" t="s">
        <v>1276</v>
      </c>
      <c r="E527" s="8" t="s">
        <v>1303</v>
      </c>
      <c r="F527" s="18" t="s">
        <v>1304</v>
      </c>
      <c r="G527" s="18" t="s">
        <v>1305</v>
      </c>
      <c r="H527" s="18">
        <v>70</v>
      </c>
      <c r="I527" s="18">
        <v>0</v>
      </c>
      <c r="J527" s="20" t="s">
        <v>1306</v>
      </c>
      <c r="K527" s="20" t="s">
        <v>25</v>
      </c>
      <c r="L527" s="27" t="s">
        <v>26</v>
      </c>
      <c r="M527" s="27" t="s">
        <v>26</v>
      </c>
      <c r="N527" s="21">
        <v>41.081006251005199</v>
      </c>
      <c r="O527" s="10">
        <v>-78.854395884735794</v>
      </c>
      <c r="P527" s="22">
        <v>66</v>
      </c>
      <c r="Q527" s="23">
        <v>44257</v>
      </c>
      <c r="R527" s="22" t="s">
        <v>27</v>
      </c>
      <c r="S527" s="22" t="s">
        <v>38</v>
      </c>
      <c r="T527" s="24">
        <f t="shared" si="10"/>
        <v>68.772000000000006</v>
      </c>
    </row>
    <row r="528" spans="1:20" x14ac:dyDescent="0.25">
      <c r="A528" s="8">
        <v>585</v>
      </c>
      <c r="B528" s="8" t="s">
        <v>19</v>
      </c>
      <c r="C528" s="8">
        <v>10</v>
      </c>
      <c r="D528" s="8" t="s">
        <v>1276</v>
      </c>
      <c r="E528" s="8" t="s">
        <v>1295</v>
      </c>
      <c r="F528" s="18" t="s">
        <v>1307</v>
      </c>
      <c r="G528" s="18" t="s">
        <v>1308</v>
      </c>
      <c r="H528" s="18">
        <v>50</v>
      </c>
      <c r="I528" s="18">
        <v>0</v>
      </c>
      <c r="J528" s="20" t="s">
        <v>1309</v>
      </c>
      <c r="K528" s="20" t="s">
        <v>25</v>
      </c>
      <c r="L528" s="27" t="s">
        <v>26</v>
      </c>
      <c r="M528" s="27" t="s">
        <v>26</v>
      </c>
      <c r="N528" s="21">
        <v>40.964856637342997</v>
      </c>
      <c r="O528" s="10">
        <v>-78.994874467494</v>
      </c>
      <c r="P528" s="22">
        <v>269</v>
      </c>
      <c r="Q528" s="23">
        <v>44257</v>
      </c>
      <c r="R528" s="22" t="s">
        <v>27</v>
      </c>
      <c r="S528" s="22" t="s">
        <v>34</v>
      </c>
      <c r="T528" s="24">
        <f t="shared" si="10"/>
        <v>280.298</v>
      </c>
    </row>
    <row r="529" spans="1:20" x14ac:dyDescent="0.25">
      <c r="A529" s="8">
        <v>28</v>
      </c>
      <c r="B529" s="8" t="s">
        <v>19</v>
      </c>
      <c r="C529" s="8">
        <v>11</v>
      </c>
      <c r="D529" s="8" t="s">
        <v>1310</v>
      </c>
      <c r="E529" s="8" t="s">
        <v>1311</v>
      </c>
      <c r="F529" s="18" t="s">
        <v>1312</v>
      </c>
      <c r="G529" s="18" t="s">
        <v>43</v>
      </c>
      <c r="H529" s="19">
        <v>60</v>
      </c>
      <c r="I529" s="19">
        <v>0</v>
      </c>
      <c r="J529" s="20" t="s">
        <v>1313</v>
      </c>
      <c r="K529" s="20" t="s">
        <v>25</v>
      </c>
      <c r="L529" s="20" t="s">
        <v>26</v>
      </c>
      <c r="M529" s="20" t="s">
        <v>26</v>
      </c>
      <c r="N529" s="21">
        <v>40.446740638724201</v>
      </c>
      <c r="O529" s="10">
        <v>-79.8939553228481</v>
      </c>
      <c r="P529" s="22">
        <v>1830</v>
      </c>
      <c r="Q529" s="23">
        <v>44224</v>
      </c>
      <c r="R529" s="22" t="s">
        <v>27</v>
      </c>
      <c r="S529" s="22" t="s">
        <v>34</v>
      </c>
      <c r="T529" s="24">
        <f t="shared" ref="T529:T592" si="11">P529*$X$12</f>
        <v>2122.7999999999997</v>
      </c>
    </row>
    <row r="530" spans="1:20" x14ac:dyDescent="0.25">
      <c r="A530" s="8">
        <v>29</v>
      </c>
      <c r="B530" s="8" t="s">
        <v>19</v>
      </c>
      <c r="C530" s="8">
        <v>11</v>
      </c>
      <c r="D530" s="8" t="s">
        <v>1310</v>
      </c>
      <c r="E530" s="8" t="s">
        <v>1311</v>
      </c>
      <c r="F530" s="18" t="s">
        <v>1312</v>
      </c>
      <c r="G530" s="18" t="s">
        <v>43</v>
      </c>
      <c r="H530" s="19">
        <v>60</v>
      </c>
      <c r="I530" s="19">
        <v>92</v>
      </c>
      <c r="J530" s="20" t="s">
        <v>1314</v>
      </c>
      <c r="K530" s="20" t="s">
        <v>25</v>
      </c>
      <c r="L530" s="20" t="s">
        <v>26</v>
      </c>
      <c r="M530" s="20" t="s">
        <v>26</v>
      </c>
      <c r="N530" s="21">
        <v>40.446863131827897</v>
      </c>
      <c r="O530" s="10">
        <v>-79.894240910633599</v>
      </c>
      <c r="P530" s="22">
        <v>765</v>
      </c>
      <c r="Q530" s="23">
        <v>44224</v>
      </c>
      <c r="R530" s="22" t="s">
        <v>27</v>
      </c>
      <c r="S530" s="22" t="s">
        <v>28</v>
      </c>
      <c r="T530" s="24">
        <f t="shared" si="11"/>
        <v>887.4</v>
      </c>
    </row>
    <row r="531" spans="1:20" x14ac:dyDescent="0.25">
      <c r="A531" s="8">
        <v>30</v>
      </c>
      <c r="B531" s="8" t="s">
        <v>19</v>
      </c>
      <c r="C531" s="8">
        <v>11</v>
      </c>
      <c r="D531" s="8" t="s">
        <v>1310</v>
      </c>
      <c r="E531" s="8" t="s">
        <v>1315</v>
      </c>
      <c r="F531" s="18" t="s">
        <v>1205</v>
      </c>
      <c r="G531" s="18" t="s">
        <v>43</v>
      </c>
      <c r="H531" s="19">
        <v>310</v>
      </c>
      <c r="I531" s="19">
        <v>1110</v>
      </c>
      <c r="J531" s="20" t="s">
        <v>1316</v>
      </c>
      <c r="K531" s="20" t="s">
        <v>25</v>
      </c>
      <c r="L531" s="20" t="s">
        <v>26</v>
      </c>
      <c r="M531" s="20" t="s">
        <v>26</v>
      </c>
      <c r="N531" s="21">
        <v>40.564793646494302</v>
      </c>
      <c r="O531" s="10">
        <v>-79.957020405130393</v>
      </c>
      <c r="P531" s="22">
        <v>1116</v>
      </c>
      <c r="Q531" s="23">
        <v>44223</v>
      </c>
      <c r="R531" s="22" t="s">
        <v>27</v>
      </c>
      <c r="S531" s="22" t="s">
        <v>38</v>
      </c>
      <c r="T531" s="24">
        <f t="shared" si="11"/>
        <v>1294.56</v>
      </c>
    </row>
    <row r="532" spans="1:20" x14ac:dyDescent="0.25">
      <c r="A532" s="8">
        <v>31</v>
      </c>
      <c r="B532" s="8" t="s">
        <v>19</v>
      </c>
      <c r="C532" s="8">
        <v>11</v>
      </c>
      <c r="D532" s="8" t="s">
        <v>1310</v>
      </c>
      <c r="E532" s="8" t="s">
        <v>1317</v>
      </c>
      <c r="F532" s="18" t="s">
        <v>1318</v>
      </c>
      <c r="G532" s="18" t="s">
        <v>125</v>
      </c>
      <c r="H532" s="19">
        <v>70</v>
      </c>
      <c r="I532" s="19">
        <v>1578</v>
      </c>
      <c r="J532" s="20" t="s">
        <v>1319</v>
      </c>
      <c r="K532" s="20" t="s">
        <v>25</v>
      </c>
      <c r="L532" s="20" t="s">
        <v>26</v>
      </c>
      <c r="M532" s="20" t="s">
        <v>26</v>
      </c>
      <c r="N532" s="21">
        <v>40.3389660214199</v>
      </c>
      <c r="O532" s="10">
        <v>-80.065704470782606</v>
      </c>
      <c r="P532" s="22">
        <v>1931</v>
      </c>
      <c r="Q532" s="23">
        <v>44222</v>
      </c>
      <c r="R532" s="22" t="s">
        <v>27</v>
      </c>
      <c r="S532" s="22" t="s">
        <v>517</v>
      </c>
      <c r="T532" s="24">
        <f t="shared" si="11"/>
        <v>2239.96</v>
      </c>
    </row>
    <row r="533" spans="1:20" x14ac:dyDescent="0.25">
      <c r="A533" s="8">
        <v>32</v>
      </c>
      <c r="B533" s="8" t="s">
        <v>19</v>
      </c>
      <c r="C533" s="8">
        <v>11</v>
      </c>
      <c r="D533" s="8" t="s">
        <v>1310</v>
      </c>
      <c r="E533" s="8" t="s">
        <v>1320</v>
      </c>
      <c r="F533" s="18" t="s">
        <v>1207</v>
      </c>
      <c r="G533" s="18" t="s">
        <v>125</v>
      </c>
      <c r="H533" s="19">
        <v>610</v>
      </c>
      <c r="I533" s="19">
        <v>0</v>
      </c>
      <c r="J533" s="20" t="s">
        <v>1321</v>
      </c>
      <c r="K533" s="20" t="s">
        <v>25</v>
      </c>
      <c r="L533" s="20" t="s">
        <v>26</v>
      </c>
      <c r="M533" s="20" t="s">
        <v>26</v>
      </c>
      <c r="N533" s="21">
        <v>40.621812140468002</v>
      </c>
      <c r="O533" s="10">
        <v>-80.054204931186007</v>
      </c>
      <c r="P533" s="22">
        <v>2730</v>
      </c>
      <c r="Q533" s="23">
        <v>44224</v>
      </c>
      <c r="R533" s="22" t="s">
        <v>27</v>
      </c>
      <c r="S533" s="22" t="s">
        <v>38</v>
      </c>
      <c r="T533" s="24">
        <f t="shared" si="11"/>
        <v>3166.7999999999997</v>
      </c>
    </row>
    <row r="534" spans="1:20" x14ac:dyDescent="0.25">
      <c r="A534" s="8">
        <v>33</v>
      </c>
      <c r="B534" s="8" t="s">
        <v>19</v>
      </c>
      <c r="C534" s="8">
        <v>11</v>
      </c>
      <c r="D534" s="8" t="s">
        <v>1310</v>
      </c>
      <c r="E534" s="8" t="s">
        <v>1322</v>
      </c>
      <c r="F534" s="18" t="s">
        <v>1323</v>
      </c>
      <c r="G534" s="18" t="s">
        <v>1324</v>
      </c>
      <c r="H534" s="19">
        <v>180</v>
      </c>
      <c r="I534" s="19">
        <v>825</v>
      </c>
      <c r="J534" s="20" t="s">
        <v>1325</v>
      </c>
      <c r="K534" s="20" t="s">
        <v>25</v>
      </c>
      <c r="L534" s="20" t="s">
        <v>26</v>
      </c>
      <c r="M534" s="20" t="s">
        <v>26</v>
      </c>
      <c r="N534" s="21">
        <v>40.449092537561903</v>
      </c>
      <c r="O534" s="10">
        <v>-80.119435032234605</v>
      </c>
      <c r="P534" s="22">
        <v>1017</v>
      </c>
      <c r="Q534" s="23">
        <v>44223</v>
      </c>
      <c r="R534" s="22" t="s">
        <v>27</v>
      </c>
      <c r="S534" s="22" t="s">
        <v>34</v>
      </c>
      <c r="T534" s="24">
        <f t="shared" si="11"/>
        <v>1179.72</v>
      </c>
    </row>
    <row r="535" spans="1:20" x14ac:dyDescent="0.25">
      <c r="A535" s="8">
        <v>34</v>
      </c>
      <c r="B535" s="8" t="s">
        <v>19</v>
      </c>
      <c r="C535" s="8">
        <v>11</v>
      </c>
      <c r="D535" s="8" t="s">
        <v>1310</v>
      </c>
      <c r="E535" s="8" t="s">
        <v>1326</v>
      </c>
      <c r="F535" s="18" t="s">
        <v>1327</v>
      </c>
      <c r="G535" s="18" t="s">
        <v>1328</v>
      </c>
      <c r="H535" s="19">
        <v>200</v>
      </c>
      <c r="I535" s="19">
        <v>650</v>
      </c>
      <c r="J535" s="20" t="s">
        <v>1329</v>
      </c>
      <c r="K535" s="20" t="s">
        <v>25</v>
      </c>
      <c r="L535" s="20" t="s">
        <v>26</v>
      </c>
      <c r="M535" s="20" t="s">
        <v>26</v>
      </c>
      <c r="N535" s="21">
        <v>40.5359080496807</v>
      </c>
      <c r="O535" s="10">
        <v>-80.183015823154193</v>
      </c>
      <c r="P535" s="22">
        <v>1760</v>
      </c>
      <c r="Q535" s="23">
        <v>44229</v>
      </c>
      <c r="R535" s="22" t="s">
        <v>27</v>
      </c>
      <c r="S535" s="22" t="s">
        <v>34</v>
      </c>
      <c r="T535" s="24">
        <f t="shared" si="11"/>
        <v>2041.6</v>
      </c>
    </row>
    <row r="536" spans="1:20" x14ac:dyDescent="0.25">
      <c r="A536" s="8">
        <v>35</v>
      </c>
      <c r="B536" s="8" t="s">
        <v>19</v>
      </c>
      <c r="C536" s="8">
        <v>11</v>
      </c>
      <c r="D536" s="8" t="s">
        <v>1310</v>
      </c>
      <c r="E536" s="8" t="s">
        <v>1330</v>
      </c>
      <c r="F536" s="18" t="s">
        <v>1274</v>
      </c>
      <c r="G536" s="18" t="s">
        <v>1331</v>
      </c>
      <c r="H536" s="19">
        <v>160</v>
      </c>
      <c r="I536" s="19">
        <v>1218</v>
      </c>
      <c r="J536" s="20" t="s">
        <v>1332</v>
      </c>
      <c r="K536" s="20" t="s">
        <v>25</v>
      </c>
      <c r="L536" s="27" t="s">
        <v>26</v>
      </c>
      <c r="M536" s="27" t="s">
        <v>26</v>
      </c>
      <c r="N536" s="21">
        <v>40.3806788855562</v>
      </c>
      <c r="O536" s="10">
        <v>-79.812185864401599</v>
      </c>
      <c r="P536" s="22">
        <v>22</v>
      </c>
      <c r="Q536" s="23">
        <v>44224</v>
      </c>
      <c r="R536" s="22" t="s">
        <v>27</v>
      </c>
      <c r="S536" s="22" t="s">
        <v>38</v>
      </c>
      <c r="T536" s="24">
        <f t="shared" si="11"/>
        <v>25.52</v>
      </c>
    </row>
    <row r="537" spans="1:20" x14ac:dyDescent="0.25">
      <c r="A537" s="8">
        <v>36</v>
      </c>
      <c r="B537" s="8" t="s">
        <v>19</v>
      </c>
      <c r="C537" s="8">
        <v>11</v>
      </c>
      <c r="D537" s="8" t="s">
        <v>1310</v>
      </c>
      <c r="E537" s="8" t="s">
        <v>1311</v>
      </c>
      <c r="F537" s="18" t="s">
        <v>1333</v>
      </c>
      <c r="G537" s="18" t="s">
        <v>1334</v>
      </c>
      <c r="H537" s="19">
        <v>70</v>
      </c>
      <c r="I537" s="19">
        <v>0</v>
      </c>
      <c r="J537" s="20" t="s">
        <v>1335</v>
      </c>
      <c r="K537" s="20" t="s">
        <v>25</v>
      </c>
      <c r="L537" s="27" t="s">
        <v>26</v>
      </c>
      <c r="M537" s="27" t="s">
        <v>26</v>
      </c>
      <c r="N537" s="21">
        <v>40.458092927265298</v>
      </c>
      <c r="O537" s="10">
        <v>-79.934562075248706</v>
      </c>
      <c r="P537" s="22">
        <v>2323</v>
      </c>
      <c r="Q537" s="23">
        <v>44224</v>
      </c>
      <c r="R537" s="22" t="s">
        <v>27</v>
      </c>
      <c r="S537" s="22" t="s">
        <v>34</v>
      </c>
      <c r="T537" s="24">
        <f t="shared" si="11"/>
        <v>2694.68</v>
      </c>
    </row>
    <row r="538" spans="1:20" x14ac:dyDescent="0.25">
      <c r="A538" s="8">
        <v>37</v>
      </c>
      <c r="B538" s="8" t="s">
        <v>19</v>
      </c>
      <c r="C538" s="8">
        <v>11</v>
      </c>
      <c r="D538" s="8" t="s">
        <v>1310</v>
      </c>
      <c r="E538" s="8" t="s">
        <v>1336</v>
      </c>
      <c r="F538" s="18" t="s">
        <v>1337</v>
      </c>
      <c r="G538" s="18" t="s">
        <v>1334</v>
      </c>
      <c r="H538" s="19">
        <v>250</v>
      </c>
      <c r="I538" s="19">
        <v>2560</v>
      </c>
      <c r="J538" s="20" t="s">
        <v>1338</v>
      </c>
      <c r="K538" s="20" t="s">
        <v>25</v>
      </c>
      <c r="L538" s="27" t="s">
        <v>26</v>
      </c>
      <c r="M538" s="27" t="s">
        <v>26</v>
      </c>
      <c r="N538" s="21">
        <v>40.464838624250802</v>
      </c>
      <c r="O538" s="10">
        <v>-79.828691281572603</v>
      </c>
      <c r="P538" s="22">
        <v>6914</v>
      </c>
      <c r="Q538" s="23">
        <v>44224</v>
      </c>
      <c r="R538" s="22" t="s">
        <v>27</v>
      </c>
      <c r="S538" s="22" t="s">
        <v>28</v>
      </c>
      <c r="T538" s="24">
        <f t="shared" si="11"/>
        <v>8020.24</v>
      </c>
    </row>
    <row r="539" spans="1:20" x14ac:dyDescent="0.25">
      <c r="A539" s="8">
        <v>38</v>
      </c>
      <c r="B539" s="8" t="s">
        <v>19</v>
      </c>
      <c r="C539" s="8">
        <v>11</v>
      </c>
      <c r="D539" s="8" t="s">
        <v>1310</v>
      </c>
      <c r="E539" s="8" t="s">
        <v>1339</v>
      </c>
      <c r="F539" s="18" t="s">
        <v>1023</v>
      </c>
      <c r="G539" s="18" t="s">
        <v>1305</v>
      </c>
      <c r="H539" s="19">
        <v>20</v>
      </c>
      <c r="I539" s="19">
        <v>220</v>
      </c>
      <c r="J539" s="20" t="s">
        <v>1340</v>
      </c>
      <c r="K539" s="20" t="s">
        <v>25</v>
      </c>
      <c r="L539" s="27" t="s">
        <v>26</v>
      </c>
      <c r="M539" s="27" t="s">
        <v>26</v>
      </c>
      <c r="N539" s="21">
        <v>40.325999916162999</v>
      </c>
      <c r="O539" s="10">
        <v>-79.793446095379693</v>
      </c>
      <c r="P539" s="22">
        <v>1208</v>
      </c>
      <c r="Q539" s="23">
        <v>44224</v>
      </c>
      <c r="R539" s="22" t="s">
        <v>27</v>
      </c>
      <c r="S539" s="22" t="s">
        <v>28</v>
      </c>
      <c r="T539" s="24">
        <f t="shared" si="11"/>
        <v>1401.28</v>
      </c>
    </row>
    <row r="540" spans="1:20" x14ac:dyDescent="0.25">
      <c r="A540" s="8">
        <v>39</v>
      </c>
      <c r="B540" s="8" t="s">
        <v>19</v>
      </c>
      <c r="C540" s="8">
        <v>11</v>
      </c>
      <c r="D540" s="8" t="s">
        <v>1310</v>
      </c>
      <c r="E540" s="8" t="s">
        <v>1341</v>
      </c>
      <c r="F540" s="18" t="s">
        <v>1342</v>
      </c>
      <c r="G540" s="18" t="s">
        <v>1343</v>
      </c>
      <c r="H540" s="19">
        <v>100</v>
      </c>
      <c r="I540" s="19">
        <v>1800</v>
      </c>
      <c r="J540" s="20" t="s">
        <v>1344</v>
      </c>
      <c r="K540" s="20" t="s">
        <v>25</v>
      </c>
      <c r="L540" s="27" t="s">
        <v>26</v>
      </c>
      <c r="M540" s="27" t="s">
        <v>26</v>
      </c>
      <c r="N540" s="21">
        <v>40.438863897708899</v>
      </c>
      <c r="O540" s="10">
        <v>-79.762537375805906</v>
      </c>
      <c r="P540" s="22">
        <v>1199</v>
      </c>
      <c r="Q540" s="23">
        <v>44224</v>
      </c>
      <c r="R540" s="22" t="s">
        <v>27</v>
      </c>
      <c r="S540" s="22" t="s">
        <v>34</v>
      </c>
      <c r="T540" s="24">
        <f t="shared" si="11"/>
        <v>1390.84</v>
      </c>
    </row>
    <row r="541" spans="1:20" x14ac:dyDescent="0.25">
      <c r="A541" s="8">
        <v>40</v>
      </c>
      <c r="B541" s="8" t="s">
        <v>19</v>
      </c>
      <c r="C541" s="8">
        <v>11</v>
      </c>
      <c r="D541" s="8" t="s">
        <v>1310</v>
      </c>
      <c r="E541" s="8" t="s">
        <v>1345</v>
      </c>
      <c r="F541" s="18" t="s">
        <v>1346</v>
      </c>
      <c r="G541" s="18" t="s">
        <v>157</v>
      </c>
      <c r="H541" s="19">
        <v>20</v>
      </c>
      <c r="I541" s="19">
        <v>2555</v>
      </c>
      <c r="J541" s="20" t="s">
        <v>1347</v>
      </c>
      <c r="K541" s="20" t="s">
        <v>25</v>
      </c>
      <c r="L541" s="27" t="s">
        <v>26</v>
      </c>
      <c r="M541" s="27" t="s">
        <v>26</v>
      </c>
      <c r="N541" s="21">
        <v>40.496005184757699</v>
      </c>
      <c r="O541" s="10">
        <v>-79.977104103473707</v>
      </c>
      <c r="P541" s="22">
        <v>54</v>
      </c>
      <c r="Q541" s="23">
        <v>44224</v>
      </c>
      <c r="R541" s="22" t="s">
        <v>27</v>
      </c>
      <c r="S541" s="22" t="s">
        <v>34</v>
      </c>
      <c r="T541" s="24">
        <f t="shared" si="11"/>
        <v>62.639999999999993</v>
      </c>
    </row>
    <row r="542" spans="1:20" x14ac:dyDescent="0.25">
      <c r="A542" s="8">
        <v>53</v>
      </c>
      <c r="B542" s="8" t="s">
        <v>19</v>
      </c>
      <c r="C542" s="8">
        <v>11</v>
      </c>
      <c r="D542" s="8" t="s">
        <v>1348</v>
      </c>
      <c r="E542" s="8" t="s">
        <v>723</v>
      </c>
      <c r="F542" s="18" t="s">
        <v>1349</v>
      </c>
      <c r="G542" s="18" t="s">
        <v>121</v>
      </c>
      <c r="H542" s="18">
        <v>60</v>
      </c>
      <c r="I542" s="18">
        <v>2140</v>
      </c>
      <c r="J542" s="20" t="s">
        <v>1350</v>
      </c>
      <c r="K542" s="20" t="s">
        <v>25</v>
      </c>
      <c r="L542" s="27" t="s">
        <v>26</v>
      </c>
      <c r="M542" s="27" t="s">
        <v>26</v>
      </c>
      <c r="N542" s="21">
        <v>40.509048526678598</v>
      </c>
      <c r="O542" s="10">
        <v>-80.422291148570594</v>
      </c>
      <c r="P542" s="22">
        <v>15</v>
      </c>
      <c r="Q542" s="23">
        <v>44223</v>
      </c>
      <c r="R542" s="22" t="s">
        <v>27</v>
      </c>
      <c r="S542" s="22" t="s">
        <v>38</v>
      </c>
      <c r="T542" s="24">
        <f t="shared" si="11"/>
        <v>17.399999999999999</v>
      </c>
    </row>
    <row r="543" spans="1:20" x14ac:dyDescent="0.25">
      <c r="A543" s="8">
        <v>54</v>
      </c>
      <c r="B543" s="8" t="s">
        <v>19</v>
      </c>
      <c r="C543" s="8">
        <v>11</v>
      </c>
      <c r="D543" s="8" t="s">
        <v>1348</v>
      </c>
      <c r="E543" s="8" t="s">
        <v>1351</v>
      </c>
      <c r="F543" s="18" t="s">
        <v>1349</v>
      </c>
      <c r="G543" s="18" t="s">
        <v>121</v>
      </c>
      <c r="H543" s="18">
        <v>170</v>
      </c>
      <c r="I543" s="18">
        <v>0</v>
      </c>
      <c r="J543" s="20" t="s">
        <v>1352</v>
      </c>
      <c r="K543" s="20" t="s">
        <v>25</v>
      </c>
      <c r="L543" s="27" t="s">
        <v>26</v>
      </c>
      <c r="M543" s="27" t="s">
        <v>26</v>
      </c>
      <c r="N543" s="21">
        <v>40.568082259485898</v>
      </c>
      <c r="O543" s="10">
        <v>-80.402129980285693</v>
      </c>
      <c r="P543" s="22">
        <v>151</v>
      </c>
      <c r="Q543" s="23">
        <v>44223</v>
      </c>
      <c r="R543" s="22" t="s">
        <v>27</v>
      </c>
      <c r="S543" s="22" t="s">
        <v>34</v>
      </c>
      <c r="T543" s="24">
        <f t="shared" si="11"/>
        <v>175.16</v>
      </c>
    </row>
    <row r="544" spans="1:20" x14ac:dyDescent="0.25">
      <c r="A544" s="8">
        <v>55</v>
      </c>
      <c r="B544" s="8" t="s">
        <v>19</v>
      </c>
      <c r="C544" s="8">
        <v>11</v>
      </c>
      <c r="D544" s="8" t="s">
        <v>1348</v>
      </c>
      <c r="E544" s="8" t="s">
        <v>1353</v>
      </c>
      <c r="F544" s="18" t="s">
        <v>1354</v>
      </c>
      <c r="G544" s="18" t="s">
        <v>121</v>
      </c>
      <c r="H544" s="19">
        <v>630</v>
      </c>
      <c r="I544" s="19">
        <v>360</v>
      </c>
      <c r="J544" s="20" t="s">
        <v>795</v>
      </c>
      <c r="K544" s="20" t="s">
        <v>25</v>
      </c>
      <c r="L544" s="27" t="s">
        <v>26</v>
      </c>
      <c r="M544" s="27" t="s">
        <v>26</v>
      </c>
      <c r="N544" s="21">
        <v>40.7499640208637</v>
      </c>
      <c r="O544" s="10">
        <v>-80.319519955808602</v>
      </c>
      <c r="P544" s="22">
        <v>1171</v>
      </c>
      <c r="Q544" s="23">
        <v>44228</v>
      </c>
      <c r="R544" s="22" t="s">
        <v>27</v>
      </c>
      <c r="S544" s="22" t="s">
        <v>517</v>
      </c>
      <c r="T544" s="24">
        <f t="shared" si="11"/>
        <v>1358.36</v>
      </c>
    </row>
    <row r="545" spans="1:20" x14ac:dyDescent="0.25">
      <c r="A545" s="8">
        <v>56</v>
      </c>
      <c r="B545" s="8" t="s">
        <v>19</v>
      </c>
      <c r="C545" s="8">
        <v>11</v>
      </c>
      <c r="D545" s="8" t="s">
        <v>1348</v>
      </c>
      <c r="E545" s="8" t="s">
        <v>112</v>
      </c>
      <c r="F545" s="18" t="s">
        <v>1355</v>
      </c>
      <c r="G545" s="18" t="s">
        <v>890</v>
      </c>
      <c r="H545" s="18">
        <v>60</v>
      </c>
      <c r="I545" s="18">
        <v>0</v>
      </c>
      <c r="J545" s="20" t="s">
        <v>1356</v>
      </c>
      <c r="K545" s="20" t="s">
        <v>25</v>
      </c>
      <c r="L545" s="27" t="s">
        <v>26</v>
      </c>
      <c r="M545" s="27" t="s">
        <v>26</v>
      </c>
      <c r="N545" s="21">
        <v>40.579571249656503</v>
      </c>
      <c r="O545" s="10">
        <v>-80.469465253260694</v>
      </c>
      <c r="P545" s="22">
        <v>348</v>
      </c>
      <c r="Q545" s="23">
        <v>44223</v>
      </c>
      <c r="R545" s="22" t="s">
        <v>27</v>
      </c>
      <c r="S545" s="22" t="s">
        <v>34</v>
      </c>
      <c r="T545" s="24">
        <f t="shared" si="11"/>
        <v>403.67999999999995</v>
      </c>
    </row>
    <row r="546" spans="1:20" x14ac:dyDescent="0.25">
      <c r="A546" s="8">
        <v>57</v>
      </c>
      <c r="B546" s="8" t="s">
        <v>19</v>
      </c>
      <c r="C546" s="8">
        <v>11</v>
      </c>
      <c r="D546" s="8" t="s">
        <v>1348</v>
      </c>
      <c r="E546" s="8" t="s">
        <v>112</v>
      </c>
      <c r="F546" s="18" t="s">
        <v>1355</v>
      </c>
      <c r="G546" s="18" t="s">
        <v>890</v>
      </c>
      <c r="H546" s="18">
        <v>60</v>
      </c>
      <c r="I546" s="18">
        <v>897</v>
      </c>
      <c r="J546" s="20" t="s">
        <v>188</v>
      </c>
      <c r="K546" s="20" t="s">
        <v>188</v>
      </c>
      <c r="L546" s="27" t="s">
        <v>26</v>
      </c>
      <c r="M546" s="27" t="s">
        <v>26</v>
      </c>
      <c r="N546" s="21">
        <v>40.581757365752402</v>
      </c>
      <c r="O546" s="10">
        <v>-80.467592535125604</v>
      </c>
      <c r="P546" s="22">
        <v>45</v>
      </c>
      <c r="Q546" s="23">
        <v>44223</v>
      </c>
      <c r="R546" s="22" t="s">
        <v>27</v>
      </c>
      <c r="S546" s="22" t="s">
        <v>517</v>
      </c>
      <c r="T546" s="24">
        <f t="shared" si="11"/>
        <v>52.199999999999996</v>
      </c>
    </row>
    <row r="547" spans="1:20" x14ac:dyDescent="0.25">
      <c r="A547" s="8">
        <v>58</v>
      </c>
      <c r="B547" s="8" t="s">
        <v>19</v>
      </c>
      <c r="C547" s="8">
        <v>11</v>
      </c>
      <c r="D547" s="8" t="s">
        <v>1348</v>
      </c>
      <c r="E547" s="8" t="s">
        <v>723</v>
      </c>
      <c r="F547" s="18" t="s">
        <v>1355</v>
      </c>
      <c r="G547" s="18" t="s">
        <v>890</v>
      </c>
      <c r="H547" s="18">
        <v>190</v>
      </c>
      <c r="I547" s="18">
        <v>1045</v>
      </c>
      <c r="J547" s="20" t="s">
        <v>1357</v>
      </c>
      <c r="K547" s="20" t="s">
        <v>25</v>
      </c>
      <c r="L547" s="27" t="s">
        <v>26</v>
      </c>
      <c r="M547" s="27" t="s">
        <v>26</v>
      </c>
      <c r="N547" s="21">
        <v>40.509688864717297</v>
      </c>
      <c r="O547" s="10">
        <v>-80.366270295945299</v>
      </c>
      <c r="P547" s="22">
        <v>124</v>
      </c>
      <c r="Q547" s="23">
        <v>44223</v>
      </c>
      <c r="R547" s="22" t="s">
        <v>27</v>
      </c>
      <c r="S547" s="22" t="s">
        <v>517</v>
      </c>
      <c r="T547" s="24">
        <f t="shared" si="11"/>
        <v>143.84</v>
      </c>
    </row>
    <row r="548" spans="1:20" x14ac:dyDescent="0.25">
      <c r="A548" s="8">
        <v>59</v>
      </c>
      <c r="B548" s="8" t="s">
        <v>19</v>
      </c>
      <c r="C548" s="8">
        <v>11</v>
      </c>
      <c r="D548" s="8" t="s">
        <v>1348</v>
      </c>
      <c r="E548" s="8" t="s">
        <v>1358</v>
      </c>
      <c r="F548" s="18" t="s">
        <v>1359</v>
      </c>
      <c r="G548" s="18" t="s">
        <v>1360</v>
      </c>
      <c r="H548" s="19">
        <v>250</v>
      </c>
      <c r="I548" s="19">
        <v>2147</v>
      </c>
      <c r="J548" s="20" t="s">
        <v>1361</v>
      </c>
      <c r="K548" s="20" t="s">
        <v>25</v>
      </c>
      <c r="L548" s="27" t="s">
        <v>26</v>
      </c>
      <c r="M548" s="27" t="s">
        <v>26</v>
      </c>
      <c r="N548" s="21">
        <v>40.714403410394702</v>
      </c>
      <c r="O548" s="10">
        <v>-80.302992972508093</v>
      </c>
      <c r="P548" s="22">
        <v>11046</v>
      </c>
      <c r="Q548" s="23">
        <v>44229</v>
      </c>
      <c r="R548" s="22" t="s">
        <v>27</v>
      </c>
      <c r="S548" s="22" t="s">
        <v>38</v>
      </c>
      <c r="T548" s="24">
        <f t="shared" si="11"/>
        <v>12813.359999999999</v>
      </c>
    </row>
    <row r="549" spans="1:20" x14ac:dyDescent="0.25">
      <c r="A549" s="8">
        <v>60</v>
      </c>
      <c r="B549" s="8" t="s">
        <v>19</v>
      </c>
      <c r="C549" s="8">
        <v>11</v>
      </c>
      <c r="D549" s="8" t="s">
        <v>1348</v>
      </c>
      <c r="E549" s="8" t="s">
        <v>1362</v>
      </c>
      <c r="F549" s="18" t="s">
        <v>1359</v>
      </c>
      <c r="G549" s="18" t="s">
        <v>1360</v>
      </c>
      <c r="H549" s="19">
        <v>390</v>
      </c>
      <c r="I549" s="19">
        <v>2450</v>
      </c>
      <c r="J549" s="20" t="s">
        <v>1363</v>
      </c>
      <c r="K549" s="20" t="s">
        <v>25</v>
      </c>
      <c r="L549" s="27" t="s">
        <v>26</v>
      </c>
      <c r="M549" s="27" t="s">
        <v>26</v>
      </c>
      <c r="N549" s="21">
        <v>40.776006372974102</v>
      </c>
      <c r="O549" s="10">
        <v>-80.380128562556493</v>
      </c>
      <c r="P549" s="22">
        <v>1745</v>
      </c>
      <c r="Q549" s="23">
        <v>44243</v>
      </c>
      <c r="R549" s="22" t="s">
        <v>33</v>
      </c>
      <c r="S549" s="22"/>
      <c r="T549" s="24">
        <f t="shared" si="11"/>
        <v>2024.1999999999998</v>
      </c>
    </row>
    <row r="550" spans="1:20" x14ac:dyDescent="0.25">
      <c r="A550" s="8">
        <v>61</v>
      </c>
      <c r="B550" s="8" t="s">
        <v>19</v>
      </c>
      <c r="C550" s="8">
        <v>11</v>
      </c>
      <c r="D550" s="8" t="s">
        <v>1348</v>
      </c>
      <c r="E550" s="8" t="s">
        <v>1364</v>
      </c>
      <c r="F550" s="18" t="s">
        <v>1359</v>
      </c>
      <c r="G550" s="18" t="s">
        <v>1360</v>
      </c>
      <c r="H550" s="18">
        <v>590</v>
      </c>
      <c r="I550" s="18">
        <v>2638</v>
      </c>
      <c r="J550" s="20" t="s">
        <v>1365</v>
      </c>
      <c r="K550" s="20" t="s">
        <v>25</v>
      </c>
      <c r="L550" s="27" t="s">
        <v>26</v>
      </c>
      <c r="M550" s="27" t="s">
        <v>26</v>
      </c>
      <c r="N550" s="21">
        <v>40.850068012468199</v>
      </c>
      <c r="O550" s="10">
        <v>-80.519059973472395</v>
      </c>
      <c r="P550" s="22">
        <v>370</v>
      </c>
      <c r="Q550" s="23">
        <v>44276</v>
      </c>
      <c r="R550" s="22" t="s">
        <v>27</v>
      </c>
      <c r="S550" s="22" t="s">
        <v>38</v>
      </c>
      <c r="T550" s="24">
        <f t="shared" si="11"/>
        <v>429.2</v>
      </c>
    </row>
    <row r="551" spans="1:20" x14ac:dyDescent="0.25">
      <c r="A551" s="8">
        <v>62</v>
      </c>
      <c r="B551" s="8" t="s">
        <v>19</v>
      </c>
      <c r="C551" s="8">
        <v>11</v>
      </c>
      <c r="D551" s="8" t="s">
        <v>1348</v>
      </c>
      <c r="E551" s="8" t="s">
        <v>1366</v>
      </c>
      <c r="F551" s="18" t="s">
        <v>1367</v>
      </c>
      <c r="G551" s="18" t="s">
        <v>1210</v>
      </c>
      <c r="H551" s="19">
        <v>351</v>
      </c>
      <c r="I551" s="19">
        <v>358</v>
      </c>
      <c r="J551" s="20" t="s">
        <v>1368</v>
      </c>
      <c r="K551" s="20" t="s">
        <v>25</v>
      </c>
      <c r="L551" s="27" t="s">
        <v>26</v>
      </c>
      <c r="M551" s="27" t="s">
        <v>26</v>
      </c>
      <c r="N551" s="21">
        <v>40.701074647662701</v>
      </c>
      <c r="O551" s="10">
        <v>-80.286516550792896</v>
      </c>
      <c r="P551" s="22">
        <v>1435</v>
      </c>
      <c r="Q551" s="23">
        <v>44243</v>
      </c>
      <c r="R551" s="22" t="s">
        <v>33</v>
      </c>
      <c r="S551" s="22"/>
      <c r="T551" s="24">
        <f t="shared" si="11"/>
        <v>1664.6</v>
      </c>
    </row>
    <row r="552" spans="1:20" x14ac:dyDescent="0.25">
      <c r="A552" s="8">
        <v>63</v>
      </c>
      <c r="B552" s="8" t="s">
        <v>19</v>
      </c>
      <c r="C552" s="8">
        <v>11</v>
      </c>
      <c r="D552" s="8" t="s">
        <v>1348</v>
      </c>
      <c r="E552" s="8" t="s">
        <v>1369</v>
      </c>
      <c r="F552" s="18" t="s">
        <v>1370</v>
      </c>
      <c r="G552" s="18" t="s">
        <v>1371</v>
      </c>
      <c r="H552" s="18">
        <v>80</v>
      </c>
      <c r="I552" s="18">
        <v>1760</v>
      </c>
      <c r="J552" s="20" t="s">
        <v>1372</v>
      </c>
      <c r="K552" s="20" t="s">
        <v>25</v>
      </c>
      <c r="L552" s="27" t="s">
        <v>26</v>
      </c>
      <c r="M552" s="27" t="s">
        <v>26</v>
      </c>
      <c r="N552" s="21">
        <v>40.546873344270097</v>
      </c>
      <c r="O552" s="10">
        <v>-80.362701075104496</v>
      </c>
      <c r="P552" s="22">
        <v>156</v>
      </c>
      <c r="Q552" s="23">
        <v>44223</v>
      </c>
      <c r="R552" s="22" t="s">
        <v>27</v>
      </c>
      <c r="S552" s="22" t="s">
        <v>28</v>
      </c>
      <c r="T552" s="24">
        <f t="shared" si="11"/>
        <v>180.95999999999998</v>
      </c>
    </row>
    <row r="553" spans="1:20" x14ac:dyDescent="0.25">
      <c r="A553" s="8">
        <v>64</v>
      </c>
      <c r="B553" s="8" t="s">
        <v>19</v>
      </c>
      <c r="C553" s="8">
        <v>11</v>
      </c>
      <c r="D553" s="8" t="s">
        <v>1348</v>
      </c>
      <c r="E553" s="8" t="s">
        <v>1373</v>
      </c>
      <c r="F553" s="18" t="s">
        <v>1374</v>
      </c>
      <c r="G553" s="18" t="s">
        <v>1375</v>
      </c>
      <c r="H553" s="18">
        <v>30</v>
      </c>
      <c r="I553" s="18">
        <v>0</v>
      </c>
      <c r="J553" s="20" t="s">
        <v>1376</v>
      </c>
      <c r="K553" s="20" t="s">
        <v>25</v>
      </c>
      <c r="L553" s="27" t="s">
        <v>26</v>
      </c>
      <c r="M553" s="27" t="s">
        <v>26</v>
      </c>
      <c r="N553" s="21">
        <v>40.725296641000398</v>
      </c>
      <c r="O553" s="10">
        <v>-80.224492365712706</v>
      </c>
      <c r="P553" s="22">
        <v>255</v>
      </c>
      <c r="Q553" s="23">
        <v>44228</v>
      </c>
      <c r="R553" s="22" t="s">
        <v>27</v>
      </c>
      <c r="S553" s="22" t="s">
        <v>34</v>
      </c>
      <c r="T553" s="24">
        <f t="shared" si="11"/>
        <v>295.79999999999995</v>
      </c>
    </row>
    <row r="554" spans="1:20" x14ac:dyDescent="0.25">
      <c r="A554" s="8">
        <v>65</v>
      </c>
      <c r="B554" s="8" t="s">
        <v>19</v>
      </c>
      <c r="C554" s="8">
        <v>11</v>
      </c>
      <c r="D554" s="8" t="s">
        <v>1348</v>
      </c>
      <c r="E554" s="8" t="s">
        <v>1373</v>
      </c>
      <c r="F554" s="18" t="s">
        <v>1377</v>
      </c>
      <c r="G554" s="18" t="s">
        <v>489</v>
      </c>
      <c r="H554" s="19">
        <v>130</v>
      </c>
      <c r="I554" s="19">
        <v>980</v>
      </c>
      <c r="J554" s="20" t="s">
        <v>1378</v>
      </c>
      <c r="K554" s="20" t="s">
        <v>25</v>
      </c>
      <c r="L554" s="27" t="s">
        <v>26</v>
      </c>
      <c r="M554" s="27" t="s">
        <v>26</v>
      </c>
      <c r="N554" s="21">
        <v>40.681199196849398</v>
      </c>
      <c r="O554" s="10">
        <v>-80.151376808986797</v>
      </c>
      <c r="P554" s="22">
        <v>437</v>
      </c>
      <c r="Q554" s="23">
        <v>44228</v>
      </c>
      <c r="R554" s="22" t="s">
        <v>27</v>
      </c>
      <c r="S554" s="22" t="s">
        <v>34</v>
      </c>
      <c r="T554" s="24">
        <f t="shared" si="11"/>
        <v>506.91999999999996</v>
      </c>
    </row>
    <row r="555" spans="1:20" x14ac:dyDescent="0.25">
      <c r="A555" s="8">
        <v>66</v>
      </c>
      <c r="B555" s="8" t="s">
        <v>19</v>
      </c>
      <c r="C555" s="8">
        <v>11</v>
      </c>
      <c r="D555" s="8" t="s">
        <v>1348</v>
      </c>
      <c r="E555" s="8" t="s">
        <v>1379</v>
      </c>
      <c r="F555" s="18" t="s">
        <v>1380</v>
      </c>
      <c r="G555" s="18" t="s">
        <v>424</v>
      </c>
      <c r="H555" s="19">
        <v>10</v>
      </c>
      <c r="I555" s="19">
        <v>420</v>
      </c>
      <c r="J555" s="20" t="s">
        <v>1381</v>
      </c>
      <c r="K555" s="20" t="s">
        <v>25</v>
      </c>
      <c r="L555" s="27" t="s">
        <v>26</v>
      </c>
      <c r="M555" s="27" t="s">
        <v>26</v>
      </c>
      <c r="N555" s="21">
        <v>40.660246412512102</v>
      </c>
      <c r="O555" s="10">
        <v>-80.2381856198203</v>
      </c>
      <c r="P555" s="22">
        <v>832</v>
      </c>
      <c r="Q555" s="23">
        <v>44228</v>
      </c>
      <c r="R555" s="22" t="s">
        <v>27</v>
      </c>
      <c r="S555" s="22" t="s">
        <v>28</v>
      </c>
      <c r="T555" s="24">
        <f t="shared" si="11"/>
        <v>965.11999999999989</v>
      </c>
    </row>
    <row r="556" spans="1:20" x14ac:dyDescent="0.25">
      <c r="A556" s="8">
        <v>67</v>
      </c>
      <c r="B556" s="8" t="s">
        <v>19</v>
      </c>
      <c r="C556" s="8">
        <v>11</v>
      </c>
      <c r="D556" s="8" t="s">
        <v>1348</v>
      </c>
      <c r="E556" s="8" t="s">
        <v>1351</v>
      </c>
      <c r="F556" s="18" t="s">
        <v>1382</v>
      </c>
      <c r="G556" s="18" t="s">
        <v>1383</v>
      </c>
      <c r="H556" s="18">
        <v>100</v>
      </c>
      <c r="I556" s="18">
        <v>0</v>
      </c>
      <c r="J556" s="20" t="s">
        <v>1384</v>
      </c>
      <c r="K556" s="20" t="s">
        <v>25</v>
      </c>
      <c r="L556" s="27" t="s">
        <v>26</v>
      </c>
      <c r="M556" s="27" t="s">
        <v>26</v>
      </c>
      <c r="N556" s="21">
        <v>40.605365677511998</v>
      </c>
      <c r="O556" s="10">
        <v>-80.370662364192299</v>
      </c>
      <c r="P556" s="22">
        <v>142</v>
      </c>
      <c r="Q556" s="23">
        <v>44223</v>
      </c>
      <c r="R556" s="22" t="s">
        <v>27</v>
      </c>
      <c r="S556" s="22" t="s">
        <v>28</v>
      </c>
      <c r="T556" s="24">
        <f t="shared" si="11"/>
        <v>164.72</v>
      </c>
    </row>
    <row r="557" spans="1:20" x14ac:dyDescent="0.25">
      <c r="A557" s="8">
        <v>68</v>
      </c>
      <c r="B557" s="8" t="s">
        <v>19</v>
      </c>
      <c r="C557" s="8">
        <v>11</v>
      </c>
      <c r="D557" s="8" t="s">
        <v>1348</v>
      </c>
      <c r="E557" s="8" t="s">
        <v>1369</v>
      </c>
      <c r="F557" s="18" t="s">
        <v>1385</v>
      </c>
      <c r="G557" s="18" t="s">
        <v>1002</v>
      </c>
      <c r="H557" s="18">
        <v>40</v>
      </c>
      <c r="I557" s="18">
        <v>0</v>
      </c>
      <c r="J557" s="20" t="s">
        <v>1386</v>
      </c>
      <c r="K557" s="20" t="s">
        <v>25</v>
      </c>
      <c r="L557" s="27" t="s">
        <v>26</v>
      </c>
      <c r="M557" s="27" t="s">
        <v>26</v>
      </c>
      <c r="N557" s="21">
        <v>40.522012767325599</v>
      </c>
      <c r="O557" s="10">
        <v>-80.337244712229506</v>
      </c>
      <c r="P557" s="22">
        <v>122</v>
      </c>
      <c r="Q557" s="23">
        <v>44223</v>
      </c>
      <c r="R557" s="22" t="s">
        <v>27</v>
      </c>
      <c r="S557" s="22" t="s">
        <v>38</v>
      </c>
      <c r="T557" s="24">
        <f t="shared" si="11"/>
        <v>141.51999999999998</v>
      </c>
    </row>
    <row r="558" spans="1:20" x14ac:dyDescent="0.25">
      <c r="A558" s="8">
        <v>69</v>
      </c>
      <c r="B558" s="8" t="s">
        <v>19</v>
      </c>
      <c r="C558" s="8">
        <v>11</v>
      </c>
      <c r="D558" s="8" t="s">
        <v>1348</v>
      </c>
      <c r="E558" s="8" t="s">
        <v>1387</v>
      </c>
      <c r="F558" s="18" t="s">
        <v>1388</v>
      </c>
      <c r="G558" s="18" t="s">
        <v>503</v>
      </c>
      <c r="H558" s="18">
        <v>10</v>
      </c>
      <c r="I558" s="18">
        <v>3238</v>
      </c>
      <c r="J558" s="20" t="s">
        <v>1389</v>
      </c>
      <c r="K558" s="20" t="s">
        <v>25</v>
      </c>
      <c r="L558" s="27" t="s">
        <v>26</v>
      </c>
      <c r="M558" s="27" t="s">
        <v>26</v>
      </c>
      <c r="N558" s="21">
        <v>40.789553266439498</v>
      </c>
      <c r="O558" s="10">
        <v>-80.418998470572703</v>
      </c>
      <c r="P558" s="22">
        <v>294</v>
      </c>
      <c r="Q558" s="23">
        <v>44228</v>
      </c>
      <c r="R558" s="22" t="s">
        <v>27</v>
      </c>
      <c r="S558" s="22" t="s">
        <v>28</v>
      </c>
      <c r="T558" s="24">
        <f t="shared" si="11"/>
        <v>341.03999999999996</v>
      </c>
    </row>
    <row r="559" spans="1:20" x14ac:dyDescent="0.25">
      <c r="A559" s="8">
        <v>617</v>
      </c>
      <c r="B559" s="8" t="s">
        <v>19</v>
      </c>
      <c r="C559" s="8">
        <v>11</v>
      </c>
      <c r="D559" s="8" t="s">
        <v>1390</v>
      </c>
      <c r="E559" s="8" t="s">
        <v>1391</v>
      </c>
      <c r="F559" s="18" t="s">
        <v>1392</v>
      </c>
      <c r="G559" s="18" t="s">
        <v>121</v>
      </c>
      <c r="H559" s="18">
        <v>20</v>
      </c>
      <c r="I559" s="18">
        <v>0</v>
      </c>
      <c r="J559" s="20" t="s">
        <v>1393</v>
      </c>
      <c r="K559" s="20" t="s">
        <v>25</v>
      </c>
      <c r="L559" s="27" t="s">
        <v>26</v>
      </c>
      <c r="M559" s="27" t="s">
        <v>26</v>
      </c>
      <c r="N559" s="21">
        <v>40.858918615398501</v>
      </c>
      <c r="O559" s="10">
        <v>-80.329497121094704</v>
      </c>
      <c r="P559" s="22">
        <v>177</v>
      </c>
      <c r="Q559" s="23">
        <v>44285</v>
      </c>
      <c r="R559" s="22" t="s">
        <v>27</v>
      </c>
      <c r="S559" s="22" t="s">
        <v>517</v>
      </c>
      <c r="T559" s="24">
        <f t="shared" si="11"/>
        <v>205.32</v>
      </c>
    </row>
    <row r="560" spans="1:20" x14ac:dyDescent="0.25">
      <c r="A560" s="8">
        <v>618</v>
      </c>
      <c r="B560" s="8" t="s">
        <v>19</v>
      </c>
      <c r="C560" s="8">
        <v>11</v>
      </c>
      <c r="D560" s="8" t="s">
        <v>1390</v>
      </c>
      <c r="E560" s="8" t="s">
        <v>1394</v>
      </c>
      <c r="F560" s="18" t="s">
        <v>1392</v>
      </c>
      <c r="G560" s="18" t="s">
        <v>121</v>
      </c>
      <c r="H560" s="18">
        <v>80</v>
      </c>
      <c r="I560" s="18">
        <v>0</v>
      </c>
      <c r="J560" s="20" t="s">
        <v>1395</v>
      </c>
      <c r="K560" s="20" t="s">
        <v>25</v>
      </c>
      <c r="L560" s="27" t="s">
        <v>26</v>
      </c>
      <c r="M560" s="27" t="s">
        <v>26</v>
      </c>
      <c r="N560" s="21">
        <v>40.889444724301498</v>
      </c>
      <c r="O560" s="10">
        <v>-80.344748355967496</v>
      </c>
      <c r="P560" s="22">
        <v>448</v>
      </c>
      <c r="Q560" s="23">
        <v>44243</v>
      </c>
      <c r="R560" s="22" t="s">
        <v>27</v>
      </c>
      <c r="S560" s="22" t="s">
        <v>517</v>
      </c>
      <c r="T560" s="24">
        <f t="shared" si="11"/>
        <v>519.67999999999995</v>
      </c>
    </row>
    <row r="561" spans="1:20" x14ac:dyDescent="0.25">
      <c r="A561" s="8">
        <v>619</v>
      </c>
      <c r="B561" s="8" t="s">
        <v>19</v>
      </c>
      <c r="C561" s="8">
        <v>11</v>
      </c>
      <c r="D561" s="8" t="s">
        <v>1390</v>
      </c>
      <c r="E561" s="8" t="s">
        <v>1396</v>
      </c>
      <c r="F561" s="18" t="s">
        <v>91</v>
      </c>
      <c r="G561" s="18" t="s">
        <v>121</v>
      </c>
      <c r="H561" s="18">
        <v>210</v>
      </c>
      <c r="I561" s="18">
        <v>0</v>
      </c>
      <c r="J561" s="20" t="s">
        <v>1397</v>
      </c>
      <c r="K561" s="20" t="s">
        <v>25</v>
      </c>
      <c r="L561" s="27" t="s">
        <v>26</v>
      </c>
      <c r="M561" s="27" t="s">
        <v>26</v>
      </c>
      <c r="N561" s="21">
        <v>40.954078326072199</v>
      </c>
      <c r="O561" s="10">
        <v>-80.384617668774894</v>
      </c>
      <c r="P561" s="22">
        <v>75</v>
      </c>
      <c r="Q561" s="23">
        <v>44243</v>
      </c>
      <c r="R561" s="22" t="s">
        <v>27</v>
      </c>
      <c r="S561" s="22" t="s">
        <v>38</v>
      </c>
      <c r="T561" s="24">
        <f t="shared" si="11"/>
        <v>87</v>
      </c>
    </row>
    <row r="562" spans="1:20" x14ac:dyDescent="0.25">
      <c r="A562" s="8">
        <v>620</v>
      </c>
      <c r="B562" s="8" t="s">
        <v>19</v>
      </c>
      <c r="C562" s="8">
        <v>11</v>
      </c>
      <c r="D562" s="8" t="s">
        <v>1390</v>
      </c>
      <c r="E562" s="8" t="s">
        <v>1398</v>
      </c>
      <c r="F562" s="18" t="s">
        <v>1399</v>
      </c>
      <c r="G562" s="18" t="s">
        <v>121</v>
      </c>
      <c r="H562" s="19">
        <v>330</v>
      </c>
      <c r="I562" s="19">
        <v>475</v>
      </c>
      <c r="J562" s="20" t="s">
        <v>1400</v>
      </c>
      <c r="K562" s="20" t="s">
        <v>25</v>
      </c>
      <c r="L562" s="27" t="s">
        <v>26</v>
      </c>
      <c r="M562" s="27" t="s">
        <v>26</v>
      </c>
      <c r="N562" s="21">
        <v>40.998552303893298</v>
      </c>
      <c r="O562" s="10">
        <v>-80.347042134300196</v>
      </c>
      <c r="P562" s="22">
        <v>472</v>
      </c>
      <c r="Q562" s="23">
        <v>44238</v>
      </c>
      <c r="R562" s="22" t="s">
        <v>27</v>
      </c>
      <c r="S562" s="22" t="s">
        <v>38</v>
      </c>
      <c r="T562" s="24">
        <f t="shared" si="11"/>
        <v>547.52</v>
      </c>
    </row>
    <row r="563" spans="1:20" x14ac:dyDescent="0.25">
      <c r="A563" s="8">
        <v>621</v>
      </c>
      <c r="B563" s="8" t="s">
        <v>19</v>
      </c>
      <c r="C563" s="8">
        <v>11</v>
      </c>
      <c r="D563" s="8" t="s">
        <v>1390</v>
      </c>
      <c r="E563" s="8" t="s">
        <v>1398</v>
      </c>
      <c r="F563" s="18" t="s">
        <v>1399</v>
      </c>
      <c r="G563" s="18" t="s">
        <v>121</v>
      </c>
      <c r="H563" s="19">
        <v>360</v>
      </c>
      <c r="I563" s="19">
        <v>710</v>
      </c>
      <c r="J563" s="20" t="s">
        <v>1401</v>
      </c>
      <c r="K563" s="20" t="s">
        <v>25</v>
      </c>
      <c r="L563" s="27" t="s">
        <v>26</v>
      </c>
      <c r="M563" s="27" t="s">
        <v>26</v>
      </c>
      <c r="N563" s="21">
        <v>41.005459343323899</v>
      </c>
      <c r="O563" s="10">
        <v>-80.347325050248898</v>
      </c>
      <c r="P563" s="22">
        <v>354</v>
      </c>
      <c r="Q563" s="23">
        <v>44238</v>
      </c>
      <c r="R563" s="22" t="s">
        <v>27</v>
      </c>
      <c r="S563" s="22" t="s">
        <v>38</v>
      </c>
      <c r="T563" s="24">
        <f t="shared" si="11"/>
        <v>410.64</v>
      </c>
    </row>
    <row r="564" spans="1:20" x14ac:dyDescent="0.25">
      <c r="A564" s="8">
        <v>622</v>
      </c>
      <c r="B564" s="8" t="s">
        <v>19</v>
      </c>
      <c r="C564" s="8">
        <v>11</v>
      </c>
      <c r="D564" s="8" t="s">
        <v>1390</v>
      </c>
      <c r="E564" s="8" t="s">
        <v>1398</v>
      </c>
      <c r="F564" s="18" t="s">
        <v>1402</v>
      </c>
      <c r="G564" s="18" t="s">
        <v>121</v>
      </c>
      <c r="H564" s="19">
        <v>370</v>
      </c>
      <c r="I564" s="19">
        <v>979</v>
      </c>
      <c r="J564" s="20" t="s">
        <v>1403</v>
      </c>
      <c r="K564" s="20" t="s">
        <v>25</v>
      </c>
      <c r="L564" s="27" t="s">
        <v>26</v>
      </c>
      <c r="M564" s="27" t="s">
        <v>26</v>
      </c>
      <c r="N564" s="21">
        <v>41.0096688236574</v>
      </c>
      <c r="O564" s="10">
        <v>-80.348829477108794</v>
      </c>
      <c r="P564" s="22">
        <v>264</v>
      </c>
      <c r="Q564" s="23">
        <v>44238</v>
      </c>
      <c r="R564" s="22" t="s">
        <v>27</v>
      </c>
      <c r="S564" s="22" t="s">
        <v>38</v>
      </c>
      <c r="T564" s="24">
        <f t="shared" si="11"/>
        <v>306.23999999999995</v>
      </c>
    </row>
    <row r="565" spans="1:20" x14ac:dyDescent="0.25">
      <c r="A565" s="8">
        <v>623</v>
      </c>
      <c r="B565" s="8" t="s">
        <v>19</v>
      </c>
      <c r="C565" s="8">
        <v>11</v>
      </c>
      <c r="D565" s="8" t="s">
        <v>1390</v>
      </c>
      <c r="E565" s="8" t="s">
        <v>1404</v>
      </c>
      <c r="F565" s="18" t="s">
        <v>1405</v>
      </c>
      <c r="G565" s="18" t="s">
        <v>121</v>
      </c>
      <c r="H565" s="19">
        <v>450</v>
      </c>
      <c r="I565" s="19">
        <v>1240</v>
      </c>
      <c r="J565" s="20" t="s">
        <v>1406</v>
      </c>
      <c r="K565" s="20" t="s">
        <v>25</v>
      </c>
      <c r="L565" s="27" t="s">
        <v>26</v>
      </c>
      <c r="M565" s="27" t="s">
        <v>26</v>
      </c>
      <c r="N565" s="21">
        <v>41.055490448813501</v>
      </c>
      <c r="O565" s="10">
        <v>-80.357632184799698</v>
      </c>
      <c r="P565" s="22">
        <v>3350</v>
      </c>
      <c r="Q565" s="23">
        <v>44238</v>
      </c>
      <c r="R565" s="22" t="s">
        <v>27</v>
      </c>
      <c r="S565" s="22" t="s">
        <v>38</v>
      </c>
      <c r="T565" s="24">
        <f t="shared" si="11"/>
        <v>3885.9999999999995</v>
      </c>
    </row>
    <row r="566" spans="1:20" x14ac:dyDescent="0.25">
      <c r="A566" s="8">
        <v>624</v>
      </c>
      <c r="B566" s="8" t="s">
        <v>19</v>
      </c>
      <c r="C566" s="8">
        <v>11</v>
      </c>
      <c r="D566" s="8" t="s">
        <v>1390</v>
      </c>
      <c r="E566" s="8" t="s">
        <v>1407</v>
      </c>
      <c r="F566" s="18" t="s">
        <v>1405</v>
      </c>
      <c r="G566" s="18" t="s">
        <v>121</v>
      </c>
      <c r="H566" s="18">
        <v>540</v>
      </c>
      <c r="I566" s="18">
        <v>0</v>
      </c>
      <c r="J566" s="20" t="s">
        <v>1408</v>
      </c>
      <c r="K566" s="20" t="s">
        <v>25</v>
      </c>
      <c r="L566" s="27" t="s">
        <v>26</v>
      </c>
      <c r="M566" s="27" t="s">
        <v>26</v>
      </c>
      <c r="N566" s="21">
        <v>41.115619094015202</v>
      </c>
      <c r="O566" s="10">
        <v>-80.360034573034</v>
      </c>
      <c r="P566" s="22">
        <v>274</v>
      </c>
      <c r="Q566" s="23">
        <v>44238</v>
      </c>
      <c r="R566" s="22" t="s">
        <v>27</v>
      </c>
      <c r="S566" s="22" t="s">
        <v>38</v>
      </c>
      <c r="T566" s="24">
        <f t="shared" si="11"/>
        <v>317.83999999999997</v>
      </c>
    </row>
    <row r="567" spans="1:20" x14ac:dyDescent="0.25">
      <c r="A567" s="8">
        <v>625</v>
      </c>
      <c r="B567" s="8" t="s">
        <v>19</v>
      </c>
      <c r="C567" s="8">
        <v>11</v>
      </c>
      <c r="D567" s="8" t="s">
        <v>1390</v>
      </c>
      <c r="E567" s="8" t="s">
        <v>1409</v>
      </c>
      <c r="F567" s="18" t="s">
        <v>1410</v>
      </c>
      <c r="G567" s="18" t="s">
        <v>1328</v>
      </c>
      <c r="H567" s="19">
        <v>310</v>
      </c>
      <c r="I567" s="19">
        <v>730</v>
      </c>
      <c r="J567" s="20" t="s">
        <v>1411</v>
      </c>
      <c r="K567" s="20" t="s">
        <v>25</v>
      </c>
      <c r="L567" s="27" t="s">
        <v>26</v>
      </c>
      <c r="M567" s="27" t="s">
        <v>26</v>
      </c>
      <c r="N567" s="21">
        <v>40.978219060547303</v>
      </c>
      <c r="O567" s="10">
        <v>-80.318823339540998</v>
      </c>
      <c r="P567" s="22">
        <v>286</v>
      </c>
      <c r="Q567" s="23">
        <v>44238</v>
      </c>
      <c r="R567" s="22" t="s">
        <v>27</v>
      </c>
      <c r="S567" s="22" t="s">
        <v>38</v>
      </c>
      <c r="T567" s="24">
        <f t="shared" si="11"/>
        <v>331.76</v>
      </c>
    </row>
    <row r="568" spans="1:20" x14ac:dyDescent="0.25">
      <c r="A568" s="8">
        <v>626</v>
      </c>
      <c r="B568" s="8" t="s">
        <v>19</v>
      </c>
      <c r="C568" s="8">
        <v>11</v>
      </c>
      <c r="D568" s="8" t="s">
        <v>1390</v>
      </c>
      <c r="E568" s="8" t="s">
        <v>1398</v>
      </c>
      <c r="F568" s="18" t="s">
        <v>1410</v>
      </c>
      <c r="G568" s="18" t="s">
        <v>1328</v>
      </c>
      <c r="H568" s="19">
        <v>330</v>
      </c>
      <c r="I568" s="19">
        <v>1525</v>
      </c>
      <c r="J568" s="20" t="s">
        <v>1412</v>
      </c>
      <c r="K568" s="20" t="s">
        <v>25</v>
      </c>
      <c r="L568" s="27" t="s">
        <v>26</v>
      </c>
      <c r="M568" s="27" t="s">
        <v>26</v>
      </c>
      <c r="N568" s="21">
        <v>40.988517877204103</v>
      </c>
      <c r="O568" s="10">
        <v>-80.328625969685405</v>
      </c>
      <c r="P568" s="22">
        <v>106</v>
      </c>
      <c r="Q568" s="23">
        <v>44238</v>
      </c>
      <c r="R568" s="22" t="s">
        <v>27</v>
      </c>
      <c r="S568" s="22" t="s">
        <v>38</v>
      </c>
      <c r="T568" s="24">
        <f t="shared" si="11"/>
        <v>122.96</v>
      </c>
    </row>
    <row r="569" spans="1:20" x14ac:dyDescent="0.25">
      <c r="A569" s="8">
        <v>627</v>
      </c>
      <c r="B569" s="8" t="s">
        <v>19</v>
      </c>
      <c r="C569" s="8">
        <v>11</v>
      </c>
      <c r="D569" s="8" t="s">
        <v>1390</v>
      </c>
      <c r="E569" s="8" t="s">
        <v>1398</v>
      </c>
      <c r="F569" s="18" t="s">
        <v>1410</v>
      </c>
      <c r="G569" s="18" t="s">
        <v>1328</v>
      </c>
      <c r="H569" s="19">
        <v>340</v>
      </c>
      <c r="I569" s="19">
        <v>260</v>
      </c>
      <c r="J569" s="20" t="s">
        <v>1413</v>
      </c>
      <c r="K569" s="20" t="s">
        <v>25</v>
      </c>
      <c r="L569" s="27" t="s">
        <v>26</v>
      </c>
      <c r="M569" s="27" t="s">
        <v>26</v>
      </c>
      <c r="N569" s="21">
        <v>40.989225300599998</v>
      </c>
      <c r="O569" s="10">
        <v>-80.329242063830193</v>
      </c>
      <c r="P569" s="22">
        <v>290</v>
      </c>
      <c r="Q569" s="23">
        <v>44238</v>
      </c>
      <c r="R569" s="22" t="s">
        <v>27</v>
      </c>
      <c r="S569" s="22" t="s">
        <v>38</v>
      </c>
      <c r="T569" s="24">
        <f t="shared" si="11"/>
        <v>336.4</v>
      </c>
    </row>
    <row r="570" spans="1:20" x14ac:dyDescent="0.25">
      <c r="A570" s="8">
        <v>628</v>
      </c>
      <c r="B570" s="8" t="s">
        <v>19</v>
      </c>
      <c r="C570" s="8">
        <v>11</v>
      </c>
      <c r="D570" s="8" t="s">
        <v>1390</v>
      </c>
      <c r="E570" s="8" t="s">
        <v>1398</v>
      </c>
      <c r="F570" s="18" t="s">
        <v>1410</v>
      </c>
      <c r="G570" s="18" t="s">
        <v>1328</v>
      </c>
      <c r="H570" s="19">
        <v>370</v>
      </c>
      <c r="I570" s="19">
        <v>257</v>
      </c>
      <c r="J570" s="20" t="s">
        <v>143</v>
      </c>
      <c r="K570" s="20" t="s">
        <v>25</v>
      </c>
      <c r="L570" s="27" t="s">
        <v>26</v>
      </c>
      <c r="M570" s="27" t="s">
        <v>26</v>
      </c>
      <c r="N570" s="21">
        <v>40.997166297225803</v>
      </c>
      <c r="O570" s="10">
        <v>-80.337334914231306</v>
      </c>
      <c r="P570" s="22">
        <v>255</v>
      </c>
      <c r="Q570" s="23">
        <v>44238</v>
      </c>
      <c r="R570" s="22" t="s">
        <v>27</v>
      </c>
      <c r="S570" s="22" t="s">
        <v>38</v>
      </c>
      <c r="T570" s="24">
        <f t="shared" si="11"/>
        <v>295.79999999999995</v>
      </c>
    </row>
    <row r="571" spans="1:20" x14ac:dyDescent="0.25">
      <c r="A571" s="8">
        <v>629</v>
      </c>
      <c r="B571" s="8" t="s">
        <v>19</v>
      </c>
      <c r="C571" s="8">
        <v>11</v>
      </c>
      <c r="D571" s="8" t="s">
        <v>1390</v>
      </c>
      <c r="E571" s="8" t="s">
        <v>1396</v>
      </c>
      <c r="F571" s="18" t="s">
        <v>1414</v>
      </c>
      <c r="G571" s="18" t="s">
        <v>1214</v>
      </c>
      <c r="H571" s="18">
        <v>120</v>
      </c>
      <c r="I571" s="18">
        <v>0</v>
      </c>
      <c r="J571" s="20" t="s">
        <v>1415</v>
      </c>
      <c r="K571" s="20" t="s">
        <v>25</v>
      </c>
      <c r="L571" s="27" t="s">
        <v>26</v>
      </c>
      <c r="M571" s="27" t="s">
        <v>26</v>
      </c>
      <c r="N571" s="21">
        <v>40.966931421029102</v>
      </c>
      <c r="O571" s="10">
        <v>-80.424609570177495</v>
      </c>
      <c r="P571" s="22">
        <v>763</v>
      </c>
      <c r="Q571" s="23">
        <v>44243</v>
      </c>
      <c r="R571" s="22" t="s">
        <v>27</v>
      </c>
      <c r="S571" s="22" t="s">
        <v>934</v>
      </c>
      <c r="T571" s="24">
        <f t="shared" si="11"/>
        <v>885.07999999999993</v>
      </c>
    </row>
    <row r="572" spans="1:20" x14ac:dyDescent="0.25">
      <c r="A572" s="8">
        <v>630</v>
      </c>
      <c r="B572" s="8" t="s">
        <v>19</v>
      </c>
      <c r="C572" s="8">
        <v>11</v>
      </c>
      <c r="D572" s="8" t="s">
        <v>1390</v>
      </c>
      <c r="E572" s="8" t="s">
        <v>1416</v>
      </c>
      <c r="F572" s="18" t="s">
        <v>1417</v>
      </c>
      <c r="G572" s="18" t="s">
        <v>1214</v>
      </c>
      <c r="H572" s="18">
        <v>260</v>
      </c>
      <c r="I572" s="18">
        <v>0</v>
      </c>
      <c r="J572" s="20" t="s">
        <v>1418</v>
      </c>
      <c r="K572" s="20" t="s">
        <v>25</v>
      </c>
      <c r="L572" s="27" t="s">
        <v>26</v>
      </c>
      <c r="M572" s="27" t="s">
        <v>26</v>
      </c>
      <c r="N572" s="21">
        <v>41.012443734203401</v>
      </c>
      <c r="O572" s="10">
        <v>-80.281997032275399</v>
      </c>
      <c r="P572" s="22">
        <v>944</v>
      </c>
      <c r="Q572" s="23">
        <v>44238</v>
      </c>
      <c r="R572" s="22" t="s">
        <v>27</v>
      </c>
      <c r="S572" s="22" t="s">
        <v>34</v>
      </c>
      <c r="T572" s="24">
        <f t="shared" si="11"/>
        <v>1095.04</v>
      </c>
    </row>
    <row r="573" spans="1:20" x14ac:dyDescent="0.25">
      <c r="A573" s="8">
        <v>631</v>
      </c>
      <c r="B573" s="8" t="s">
        <v>19</v>
      </c>
      <c r="C573" s="8">
        <v>11</v>
      </c>
      <c r="D573" s="8" t="s">
        <v>1390</v>
      </c>
      <c r="E573" s="8" t="s">
        <v>1419</v>
      </c>
      <c r="F573" s="18" t="s">
        <v>1417</v>
      </c>
      <c r="G573" s="18" t="s">
        <v>1214</v>
      </c>
      <c r="H573" s="18">
        <v>440</v>
      </c>
      <c r="I573" s="18">
        <v>1280</v>
      </c>
      <c r="J573" s="20" t="s">
        <v>1420</v>
      </c>
      <c r="K573" s="20" t="s">
        <v>25</v>
      </c>
      <c r="L573" s="27" t="s">
        <v>26</v>
      </c>
      <c r="M573" s="27" t="s">
        <v>26</v>
      </c>
      <c r="N573" s="21">
        <v>41.035202527178399</v>
      </c>
      <c r="O573" s="10">
        <v>-80.134725640850405</v>
      </c>
      <c r="P573" s="22">
        <v>35</v>
      </c>
      <c r="Q573" s="23">
        <v>44285</v>
      </c>
      <c r="R573" s="22" t="s">
        <v>27</v>
      </c>
      <c r="S573" s="22" t="s">
        <v>28</v>
      </c>
      <c r="T573" s="24">
        <f t="shared" si="11"/>
        <v>40.599999999999994</v>
      </c>
    </row>
    <row r="574" spans="1:20" x14ac:dyDescent="0.25">
      <c r="A574" s="8">
        <v>632</v>
      </c>
      <c r="B574" s="8" t="s">
        <v>19</v>
      </c>
      <c r="C574" s="8">
        <v>11</v>
      </c>
      <c r="D574" s="8" t="s">
        <v>1390</v>
      </c>
      <c r="E574" s="8" t="s">
        <v>1407</v>
      </c>
      <c r="F574" s="18" t="s">
        <v>1421</v>
      </c>
      <c r="G574" s="18" t="s">
        <v>1422</v>
      </c>
      <c r="H574" s="18">
        <v>30</v>
      </c>
      <c r="I574" s="18">
        <v>0</v>
      </c>
      <c r="J574" s="20" t="s">
        <v>1423</v>
      </c>
      <c r="K574" s="20" t="s">
        <v>25</v>
      </c>
      <c r="L574" s="27" t="s">
        <v>26</v>
      </c>
      <c r="M574" s="27" t="s">
        <v>26</v>
      </c>
      <c r="N574" s="21">
        <v>41.090729233383101</v>
      </c>
      <c r="O574" s="10">
        <v>-80.354053516210399</v>
      </c>
      <c r="P574" s="22">
        <v>958</v>
      </c>
      <c r="Q574" s="23">
        <v>44238</v>
      </c>
      <c r="R574" s="22" t="s">
        <v>27</v>
      </c>
      <c r="S574" s="22" t="s">
        <v>38</v>
      </c>
      <c r="T574" s="24">
        <f t="shared" si="11"/>
        <v>1111.28</v>
      </c>
    </row>
    <row r="575" spans="1:20" x14ac:dyDescent="0.25">
      <c r="A575" s="8">
        <v>633</v>
      </c>
      <c r="B575" s="8" t="s">
        <v>19</v>
      </c>
      <c r="C575" s="8">
        <v>11</v>
      </c>
      <c r="D575" s="8" t="s">
        <v>1390</v>
      </c>
      <c r="E575" s="8" t="s">
        <v>1407</v>
      </c>
      <c r="F575" s="18" t="s">
        <v>1421</v>
      </c>
      <c r="G575" s="18" t="s">
        <v>1422</v>
      </c>
      <c r="H575" s="18">
        <v>40</v>
      </c>
      <c r="I575" s="18">
        <v>0</v>
      </c>
      <c r="J575" s="20" t="s">
        <v>1424</v>
      </c>
      <c r="K575" s="20" t="s">
        <v>25</v>
      </c>
      <c r="L575" s="27" t="s">
        <v>26</v>
      </c>
      <c r="M575" s="27" t="s">
        <v>26</v>
      </c>
      <c r="N575" s="21">
        <v>41.098682583648497</v>
      </c>
      <c r="O575" s="10">
        <v>-80.347562833448094</v>
      </c>
      <c r="P575" s="22">
        <v>445</v>
      </c>
      <c r="Q575" s="23">
        <v>44238</v>
      </c>
      <c r="R575" s="22" t="s">
        <v>27</v>
      </c>
      <c r="S575" s="22" t="s">
        <v>38</v>
      </c>
      <c r="T575" s="24">
        <f t="shared" si="11"/>
        <v>516.19999999999993</v>
      </c>
    </row>
    <row r="576" spans="1:20" x14ac:dyDescent="0.25">
      <c r="A576" s="8">
        <v>634</v>
      </c>
      <c r="B576" s="8" t="s">
        <v>19</v>
      </c>
      <c r="C576" s="8">
        <v>11</v>
      </c>
      <c r="D576" s="8" t="s">
        <v>1390</v>
      </c>
      <c r="E576" s="8" t="s">
        <v>1425</v>
      </c>
      <c r="F576" s="18" t="s">
        <v>1426</v>
      </c>
      <c r="G576" s="18" t="s">
        <v>1422</v>
      </c>
      <c r="H576" s="18">
        <v>60</v>
      </c>
      <c r="I576" s="18">
        <v>1110</v>
      </c>
      <c r="J576" s="20" t="s">
        <v>1427</v>
      </c>
      <c r="K576" s="20" t="s">
        <v>25</v>
      </c>
      <c r="L576" s="27" t="s">
        <v>26</v>
      </c>
      <c r="M576" s="27" t="s">
        <v>26</v>
      </c>
      <c r="N576" s="21">
        <v>41.116238580803802</v>
      </c>
      <c r="O576" s="10">
        <v>-80.335280970224503</v>
      </c>
      <c r="P576" s="22">
        <v>264</v>
      </c>
      <c r="Q576" s="23">
        <v>44238</v>
      </c>
      <c r="R576" s="22" t="s">
        <v>27</v>
      </c>
      <c r="S576" s="22" t="s">
        <v>517</v>
      </c>
      <c r="T576" s="24">
        <f t="shared" si="11"/>
        <v>306.23999999999995</v>
      </c>
    </row>
    <row r="577" spans="1:20" x14ac:dyDescent="0.25">
      <c r="A577" s="8">
        <v>635</v>
      </c>
      <c r="B577" s="8" t="s">
        <v>19</v>
      </c>
      <c r="C577" s="8">
        <v>11</v>
      </c>
      <c r="D577" s="8" t="s">
        <v>1390</v>
      </c>
      <c r="E577" s="8" t="s">
        <v>1407</v>
      </c>
      <c r="F577" s="18" t="s">
        <v>1428</v>
      </c>
      <c r="G577" s="18" t="s">
        <v>1256</v>
      </c>
      <c r="H577" s="18">
        <v>260</v>
      </c>
      <c r="I577" s="18">
        <v>0</v>
      </c>
      <c r="J577" s="20" t="s">
        <v>1429</v>
      </c>
      <c r="K577" s="20" t="s">
        <v>25</v>
      </c>
      <c r="L577" s="27" t="s">
        <v>26</v>
      </c>
      <c r="M577" s="27" t="s">
        <v>26</v>
      </c>
      <c r="N577" s="21">
        <v>41.122279709550398</v>
      </c>
      <c r="O577" s="10">
        <v>-80.315517649135998</v>
      </c>
      <c r="P577" s="22">
        <v>420</v>
      </c>
      <c r="Q577" s="23">
        <v>44238</v>
      </c>
      <c r="R577" s="22" t="s">
        <v>27</v>
      </c>
      <c r="S577" s="22" t="s">
        <v>34</v>
      </c>
      <c r="T577" s="24">
        <f t="shared" si="11"/>
        <v>487.2</v>
      </c>
    </row>
    <row r="578" spans="1:20" x14ac:dyDescent="0.25">
      <c r="A578" s="8">
        <v>636</v>
      </c>
      <c r="B578" s="8" t="s">
        <v>19</v>
      </c>
      <c r="C578" s="8">
        <v>11</v>
      </c>
      <c r="D578" s="8" t="s">
        <v>1390</v>
      </c>
      <c r="E578" s="8" t="s">
        <v>1430</v>
      </c>
      <c r="F578" s="18" t="s">
        <v>1431</v>
      </c>
      <c r="G578" s="18" t="s">
        <v>1432</v>
      </c>
      <c r="H578" s="18">
        <v>50</v>
      </c>
      <c r="I578" s="18">
        <v>0</v>
      </c>
      <c r="J578" s="20" t="s">
        <v>1433</v>
      </c>
      <c r="K578" s="20" t="s">
        <v>25</v>
      </c>
      <c r="L578" s="27" t="s">
        <v>26</v>
      </c>
      <c r="M578" s="27" t="s">
        <v>26</v>
      </c>
      <c r="N578" s="21">
        <v>41.012675987918499</v>
      </c>
      <c r="O578" s="10">
        <v>-80.484809357764107</v>
      </c>
      <c r="P578" s="22">
        <v>1162</v>
      </c>
      <c r="Q578" s="23">
        <v>44249</v>
      </c>
      <c r="R578" s="22" t="s">
        <v>27</v>
      </c>
      <c r="S578" s="22" t="s">
        <v>28</v>
      </c>
      <c r="T578" s="24">
        <f t="shared" si="11"/>
        <v>1347.9199999999998</v>
      </c>
    </row>
    <row r="579" spans="1:20" x14ac:dyDescent="0.25">
      <c r="A579" s="8">
        <v>637</v>
      </c>
      <c r="B579" s="8" t="s">
        <v>19</v>
      </c>
      <c r="C579" s="8">
        <v>11</v>
      </c>
      <c r="D579" s="8" t="s">
        <v>1390</v>
      </c>
      <c r="E579" s="8" t="s">
        <v>1396</v>
      </c>
      <c r="F579" s="18" t="s">
        <v>1434</v>
      </c>
      <c r="G579" s="18" t="s">
        <v>1435</v>
      </c>
      <c r="H579" s="31" t="s">
        <v>1436</v>
      </c>
      <c r="I579" s="18">
        <v>0</v>
      </c>
      <c r="J579" s="20" t="s">
        <v>1437</v>
      </c>
      <c r="K579" s="20" t="s">
        <v>25</v>
      </c>
      <c r="L579" s="27" t="s">
        <v>26</v>
      </c>
      <c r="M579" s="27" t="s">
        <v>26</v>
      </c>
      <c r="N579" s="21">
        <v>40.976418615599101</v>
      </c>
      <c r="O579" s="10">
        <v>-80.451526890573504</v>
      </c>
      <c r="P579" s="22">
        <v>1917</v>
      </c>
      <c r="Q579" s="23">
        <v>44249</v>
      </c>
      <c r="R579" s="22" t="s">
        <v>27</v>
      </c>
      <c r="S579" s="22" t="s">
        <v>38</v>
      </c>
      <c r="T579" s="24">
        <f t="shared" si="11"/>
        <v>2223.7199999999998</v>
      </c>
    </row>
    <row r="580" spans="1:20" x14ac:dyDescent="0.25">
      <c r="A580" s="8">
        <v>638</v>
      </c>
      <c r="B580" s="8" t="s">
        <v>19</v>
      </c>
      <c r="C580" s="8">
        <v>11</v>
      </c>
      <c r="D580" s="8" t="s">
        <v>1390</v>
      </c>
      <c r="E580" s="8" t="s">
        <v>1438</v>
      </c>
      <c r="F580" s="18" t="s">
        <v>1439</v>
      </c>
      <c r="G580" s="18" t="s">
        <v>1440</v>
      </c>
      <c r="H580" s="19">
        <v>160</v>
      </c>
      <c r="I580" s="19">
        <v>2745</v>
      </c>
      <c r="J580" s="20" t="s">
        <v>916</v>
      </c>
      <c r="K580" s="20" t="s">
        <v>25</v>
      </c>
      <c r="L580" s="27" t="s">
        <v>26</v>
      </c>
      <c r="M580" s="27" t="s">
        <v>26</v>
      </c>
      <c r="N580" s="21">
        <v>40.858487759164497</v>
      </c>
      <c r="O580" s="10">
        <v>-80.288951588533806</v>
      </c>
      <c r="P580" s="22">
        <v>1499</v>
      </c>
      <c r="Q580" s="23">
        <v>44243</v>
      </c>
      <c r="R580" s="22" t="s">
        <v>27</v>
      </c>
      <c r="S580" s="22" t="s">
        <v>34</v>
      </c>
      <c r="T580" s="24">
        <f t="shared" si="11"/>
        <v>1738.84</v>
      </c>
    </row>
    <row r="581" spans="1:20" x14ac:dyDescent="0.25">
      <c r="A581" s="8">
        <v>639</v>
      </c>
      <c r="B581" s="8" t="s">
        <v>19</v>
      </c>
      <c r="C581" s="8">
        <v>11</v>
      </c>
      <c r="D581" s="8" t="s">
        <v>1390</v>
      </c>
      <c r="E581" s="8" t="s">
        <v>1212</v>
      </c>
      <c r="F581" s="18" t="s">
        <v>1441</v>
      </c>
      <c r="G581" s="18" t="s">
        <v>1442</v>
      </c>
      <c r="H581" s="19">
        <v>50</v>
      </c>
      <c r="I581" s="19">
        <v>0</v>
      </c>
      <c r="J581" s="20" t="s">
        <v>1443</v>
      </c>
      <c r="K581" s="20" t="s">
        <v>25</v>
      </c>
      <c r="L581" s="27" t="s">
        <v>26</v>
      </c>
      <c r="M581" s="27" t="s">
        <v>26</v>
      </c>
      <c r="N581" s="21">
        <v>40.961797314349802</v>
      </c>
      <c r="O581" s="10">
        <v>-80.269365126667694</v>
      </c>
      <c r="P581" s="22">
        <v>665</v>
      </c>
      <c r="Q581" s="23">
        <v>44238</v>
      </c>
      <c r="R581" s="22" t="s">
        <v>27</v>
      </c>
      <c r="S581" s="22" t="s">
        <v>517</v>
      </c>
      <c r="T581" s="24">
        <f t="shared" si="11"/>
        <v>771.4</v>
      </c>
    </row>
    <row r="582" spans="1:20" x14ac:dyDescent="0.25">
      <c r="A582" s="8">
        <v>640</v>
      </c>
      <c r="B582" s="8" t="s">
        <v>19</v>
      </c>
      <c r="C582" s="8">
        <v>11</v>
      </c>
      <c r="D582" s="8" t="s">
        <v>1390</v>
      </c>
      <c r="E582" s="8" t="s">
        <v>1212</v>
      </c>
      <c r="F582" s="18" t="s">
        <v>1191</v>
      </c>
      <c r="G582" s="18" t="s">
        <v>1192</v>
      </c>
      <c r="H582" s="18">
        <v>520</v>
      </c>
      <c r="I582" s="18">
        <v>190</v>
      </c>
      <c r="J582" s="20" t="s">
        <v>1444</v>
      </c>
      <c r="K582" s="20" t="s">
        <v>25</v>
      </c>
      <c r="L582" s="27" t="s">
        <v>26</v>
      </c>
      <c r="M582" s="27" t="s">
        <v>26</v>
      </c>
      <c r="N582" s="21">
        <v>40.968070511016201</v>
      </c>
      <c r="O582" s="10">
        <v>-80.201949574330897</v>
      </c>
      <c r="P582" s="22">
        <v>459</v>
      </c>
      <c r="Q582" s="23">
        <v>44249</v>
      </c>
      <c r="R582" s="22" t="s">
        <v>27</v>
      </c>
      <c r="S582" s="22" t="s">
        <v>28</v>
      </c>
      <c r="T582" s="24">
        <f t="shared" si="11"/>
        <v>532.43999999999994</v>
      </c>
    </row>
    <row r="583" spans="1:20" x14ac:dyDescent="0.25">
      <c r="A583" s="8">
        <v>641</v>
      </c>
      <c r="B583" s="8" t="s">
        <v>19</v>
      </c>
      <c r="C583" s="8">
        <v>11</v>
      </c>
      <c r="D583" s="8" t="s">
        <v>1390</v>
      </c>
      <c r="E583" s="8" t="s">
        <v>1212</v>
      </c>
      <c r="F583" s="18" t="s">
        <v>1191</v>
      </c>
      <c r="G583" s="18" t="s">
        <v>1192</v>
      </c>
      <c r="H583" s="18">
        <v>540</v>
      </c>
      <c r="I583" s="18">
        <v>2675</v>
      </c>
      <c r="J583" s="20" t="s">
        <v>1445</v>
      </c>
      <c r="K583" s="20" t="s">
        <v>25</v>
      </c>
      <c r="L583" s="27" t="s">
        <v>26</v>
      </c>
      <c r="M583" s="27" t="s">
        <v>26</v>
      </c>
      <c r="N583" s="21">
        <v>40.969372563387999</v>
      </c>
      <c r="O583" s="10">
        <v>-80.182451324092398</v>
      </c>
      <c r="P583" s="22">
        <v>136</v>
      </c>
      <c r="Q583" s="23">
        <v>44249</v>
      </c>
      <c r="R583" s="22" t="s">
        <v>27</v>
      </c>
      <c r="S583" s="22" t="s">
        <v>28</v>
      </c>
      <c r="T583" s="24">
        <f t="shared" si="11"/>
        <v>157.76</v>
      </c>
    </row>
    <row r="584" spans="1:20" x14ac:dyDescent="0.25">
      <c r="A584" s="8">
        <v>642</v>
      </c>
      <c r="B584" s="8" t="s">
        <v>19</v>
      </c>
      <c r="C584" s="8">
        <v>11</v>
      </c>
      <c r="D584" s="8" t="s">
        <v>1390</v>
      </c>
      <c r="E584" s="8" t="s">
        <v>1438</v>
      </c>
      <c r="F584" s="18" t="s">
        <v>1446</v>
      </c>
      <c r="G584" s="18" t="s">
        <v>1447</v>
      </c>
      <c r="H584" s="19">
        <v>10</v>
      </c>
      <c r="I584" s="19">
        <v>445</v>
      </c>
      <c r="J584" s="20" t="s">
        <v>339</v>
      </c>
      <c r="K584" s="20" t="s">
        <v>25</v>
      </c>
      <c r="L584" s="27" t="s">
        <v>26</v>
      </c>
      <c r="M584" s="27" t="s">
        <v>26</v>
      </c>
      <c r="N584" s="21">
        <v>40.861729325113203</v>
      </c>
      <c r="O584" s="10">
        <v>-80.280957928247901</v>
      </c>
      <c r="P584" s="22">
        <v>482</v>
      </c>
      <c r="Q584" s="23">
        <v>44243</v>
      </c>
      <c r="R584" s="22" t="s">
        <v>27</v>
      </c>
      <c r="S584" s="22" t="s">
        <v>28</v>
      </c>
      <c r="T584" s="24">
        <f t="shared" si="11"/>
        <v>559.12</v>
      </c>
    </row>
    <row r="585" spans="1:20" x14ac:dyDescent="0.25">
      <c r="A585" s="8">
        <v>643</v>
      </c>
      <c r="B585" s="8" t="s">
        <v>19</v>
      </c>
      <c r="C585" s="8">
        <v>11</v>
      </c>
      <c r="D585" s="8" t="s">
        <v>1390</v>
      </c>
      <c r="E585" s="8" t="s">
        <v>1448</v>
      </c>
      <c r="F585" s="18" t="s">
        <v>1449</v>
      </c>
      <c r="G585" s="18" t="s">
        <v>1447</v>
      </c>
      <c r="H585" s="19">
        <v>30</v>
      </c>
      <c r="I585" s="19">
        <v>0</v>
      </c>
      <c r="J585" s="20" t="s">
        <v>1450</v>
      </c>
      <c r="K585" s="20" t="s">
        <v>25</v>
      </c>
      <c r="L585" s="27" t="s">
        <v>26</v>
      </c>
      <c r="M585" s="27" t="s">
        <v>26</v>
      </c>
      <c r="N585" s="21">
        <v>40.858097085973199</v>
      </c>
      <c r="O585" s="10">
        <v>-80.269679360048997</v>
      </c>
      <c r="P585" s="22">
        <v>508</v>
      </c>
      <c r="Q585" s="23">
        <v>44243</v>
      </c>
      <c r="R585" s="22" t="s">
        <v>27</v>
      </c>
      <c r="S585" s="22" t="s">
        <v>28</v>
      </c>
      <c r="T585" s="24">
        <f t="shared" si="11"/>
        <v>589.28</v>
      </c>
    </row>
    <row r="586" spans="1:20" x14ac:dyDescent="0.25">
      <c r="A586" s="8">
        <v>644</v>
      </c>
      <c r="B586" s="8" t="s">
        <v>19</v>
      </c>
      <c r="C586" s="8">
        <v>11</v>
      </c>
      <c r="D586" s="8" t="s">
        <v>1390</v>
      </c>
      <c r="E586" s="8" t="s">
        <v>1398</v>
      </c>
      <c r="F586" s="18" t="s">
        <v>1451</v>
      </c>
      <c r="G586" s="18" t="s">
        <v>481</v>
      </c>
      <c r="H586" s="19">
        <v>20</v>
      </c>
      <c r="I586" s="19">
        <v>205</v>
      </c>
      <c r="J586" s="20" t="s">
        <v>1452</v>
      </c>
      <c r="K586" s="20" t="s">
        <v>25</v>
      </c>
      <c r="L586" s="27" t="s">
        <v>26</v>
      </c>
      <c r="M586" s="27" t="s">
        <v>26</v>
      </c>
      <c r="N586" s="21">
        <v>41.004135368379899</v>
      </c>
      <c r="O586" s="10">
        <v>-80.344371676036502</v>
      </c>
      <c r="P586" s="22">
        <v>38</v>
      </c>
      <c r="Q586" s="23">
        <v>44238</v>
      </c>
      <c r="R586" s="22" t="s">
        <v>27</v>
      </c>
      <c r="S586" s="22" t="s">
        <v>38</v>
      </c>
      <c r="T586" s="24">
        <f t="shared" si="11"/>
        <v>44.08</v>
      </c>
    </row>
    <row r="587" spans="1:20" x14ac:dyDescent="0.25">
      <c r="A587" s="8">
        <v>645</v>
      </c>
      <c r="B587" s="8" t="s">
        <v>19</v>
      </c>
      <c r="C587" s="8">
        <v>11</v>
      </c>
      <c r="D587" s="8" t="s">
        <v>1390</v>
      </c>
      <c r="E587" s="8" t="s">
        <v>1398</v>
      </c>
      <c r="F587" s="18" t="s">
        <v>1451</v>
      </c>
      <c r="G587" s="18" t="s">
        <v>481</v>
      </c>
      <c r="H587" s="19">
        <v>20</v>
      </c>
      <c r="I587" s="19">
        <v>790</v>
      </c>
      <c r="J587" s="20" t="s">
        <v>1401</v>
      </c>
      <c r="K587" s="20" t="s">
        <v>25</v>
      </c>
      <c r="L587" s="27" t="s">
        <v>26</v>
      </c>
      <c r="M587" s="27" t="s">
        <v>26</v>
      </c>
      <c r="N587" s="21">
        <v>41.0055022977714</v>
      </c>
      <c r="O587" s="10">
        <v>-80.343247236861899</v>
      </c>
      <c r="P587" s="22">
        <v>627</v>
      </c>
      <c r="Q587" s="23">
        <v>44238</v>
      </c>
      <c r="R587" s="22" t="s">
        <v>27</v>
      </c>
      <c r="S587" s="22" t="s">
        <v>517</v>
      </c>
      <c r="T587" s="24">
        <f t="shared" si="11"/>
        <v>727.31999999999994</v>
      </c>
    </row>
    <row r="588" spans="1:20" x14ac:dyDescent="0.25">
      <c r="A588" s="8">
        <v>646</v>
      </c>
      <c r="B588" s="8" t="s">
        <v>19</v>
      </c>
      <c r="C588" s="8">
        <v>11</v>
      </c>
      <c r="D588" s="8" t="s">
        <v>1390</v>
      </c>
      <c r="E588" s="8" t="s">
        <v>1398</v>
      </c>
      <c r="F588" s="18" t="s">
        <v>1451</v>
      </c>
      <c r="G588" s="18" t="s">
        <v>481</v>
      </c>
      <c r="H588" s="19">
        <v>30</v>
      </c>
      <c r="I588" s="19">
        <v>1460</v>
      </c>
      <c r="J588" s="20" t="s">
        <v>1453</v>
      </c>
      <c r="K588" s="20" t="s">
        <v>25</v>
      </c>
      <c r="L588" s="27" t="s">
        <v>26</v>
      </c>
      <c r="M588" s="27" t="s">
        <v>26</v>
      </c>
      <c r="N588" s="21">
        <v>41.012268957945601</v>
      </c>
      <c r="O588" s="10">
        <v>-80.338373824555106</v>
      </c>
      <c r="P588" s="22">
        <v>318</v>
      </c>
      <c r="Q588" s="23">
        <v>44238</v>
      </c>
      <c r="R588" s="22" t="s">
        <v>27</v>
      </c>
      <c r="S588" s="22" t="s">
        <v>38</v>
      </c>
      <c r="T588" s="24">
        <f t="shared" si="11"/>
        <v>368.88</v>
      </c>
    </row>
    <row r="589" spans="1:20" x14ac:dyDescent="0.25">
      <c r="A589" s="8">
        <v>647</v>
      </c>
      <c r="B589" s="8" t="s">
        <v>19</v>
      </c>
      <c r="C589" s="8">
        <v>11</v>
      </c>
      <c r="D589" s="8" t="s">
        <v>1390</v>
      </c>
      <c r="E589" s="8" t="s">
        <v>1398</v>
      </c>
      <c r="F589" s="18" t="s">
        <v>1451</v>
      </c>
      <c r="G589" s="18" t="s">
        <v>481</v>
      </c>
      <c r="H589" s="19">
        <v>30</v>
      </c>
      <c r="I589" s="19">
        <v>2210</v>
      </c>
      <c r="J589" s="20" t="s">
        <v>1454</v>
      </c>
      <c r="K589" s="20" t="s">
        <v>25</v>
      </c>
      <c r="L589" s="27" t="s">
        <v>26</v>
      </c>
      <c r="M589" s="27" t="s">
        <v>26</v>
      </c>
      <c r="N589" s="21">
        <v>41.014253132441397</v>
      </c>
      <c r="O589" s="10">
        <v>-80.337741634965695</v>
      </c>
      <c r="P589" s="22">
        <v>274</v>
      </c>
      <c r="Q589" s="23">
        <v>44238</v>
      </c>
      <c r="R589" s="22" t="s">
        <v>27</v>
      </c>
      <c r="S589" s="22" t="s">
        <v>38</v>
      </c>
      <c r="T589" s="24">
        <f t="shared" si="11"/>
        <v>317.83999999999997</v>
      </c>
    </row>
    <row r="590" spans="1:20" x14ac:dyDescent="0.25">
      <c r="A590" s="8">
        <v>648</v>
      </c>
      <c r="B590" s="8" t="s">
        <v>19</v>
      </c>
      <c r="C590" s="8">
        <v>11</v>
      </c>
      <c r="D590" s="8" t="s">
        <v>1390</v>
      </c>
      <c r="E590" s="8" t="s">
        <v>1398</v>
      </c>
      <c r="F590" s="18" t="s">
        <v>1451</v>
      </c>
      <c r="G590" s="18" t="s">
        <v>481</v>
      </c>
      <c r="H590" s="19">
        <v>40</v>
      </c>
      <c r="I590" s="19">
        <v>390</v>
      </c>
      <c r="J590" s="20" t="s">
        <v>1455</v>
      </c>
      <c r="K590" s="20" t="s">
        <v>25</v>
      </c>
      <c r="L590" s="27" t="s">
        <v>26</v>
      </c>
      <c r="M590" s="27" t="s">
        <v>26</v>
      </c>
      <c r="N590" s="21">
        <v>41.0163708339512</v>
      </c>
      <c r="O590" s="10">
        <v>-80.337834256991997</v>
      </c>
      <c r="P590" s="22">
        <v>246</v>
      </c>
      <c r="Q590" s="23">
        <v>44238</v>
      </c>
      <c r="R590" s="22" t="s">
        <v>27</v>
      </c>
      <c r="S590" s="22" t="s">
        <v>38</v>
      </c>
      <c r="T590" s="24">
        <f t="shared" si="11"/>
        <v>285.35999999999996</v>
      </c>
    </row>
    <row r="591" spans="1:20" x14ac:dyDescent="0.25">
      <c r="A591" s="8">
        <v>649</v>
      </c>
      <c r="B591" s="8" t="s">
        <v>19</v>
      </c>
      <c r="C591" s="8">
        <v>11</v>
      </c>
      <c r="D591" s="8" t="s">
        <v>1390</v>
      </c>
      <c r="E591" s="8" t="s">
        <v>1398</v>
      </c>
      <c r="F591" s="18" t="s">
        <v>1451</v>
      </c>
      <c r="G591" s="18" t="s">
        <v>481</v>
      </c>
      <c r="H591" s="19">
        <v>50</v>
      </c>
      <c r="I591" s="19">
        <v>665</v>
      </c>
      <c r="J591" s="20" t="s">
        <v>1456</v>
      </c>
      <c r="K591" s="20" t="s">
        <v>25</v>
      </c>
      <c r="L591" s="27" t="s">
        <v>26</v>
      </c>
      <c r="M591" s="27" t="s">
        <v>26</v>
      </c>
      <c r="N591" s="21">
        <v>41.021531794606503</v>
      </c>
      <c r="O591" s="10">
        <v>-80.338082381550606</v>
      </c>
      <c r="P591" s="22">
        <v>230</v>
      </c>
      <c r="Q591" s="23">
        <v>44238</v>
      </c>
      <c r="R591" s="22" t="s">
        <v>27</v>
      </c>
      <c r="S591" s="22" t="s">
        <v>38</v>
      </c>
      <c r="T591" s="24">
        <f t="shared" si="11"/>
        <v>266.79999999999995</v>
      </c>
    </row>
    <row r="592" spans="1:20" x14ac:dyDescent="0.25">
      <c r="A592" s="8">
        <v>650</v>
      </c>
      <c r="B592" s="8" t="s">
        <v>19</v>
      </c>
      <c r="C592" s="8">
        <v>11</v>
      </c>
      <c r="D592" s="8" t="s">
        <v>1390</v>
      </c>
      <c r="E592" s="8" t="s">
        <v>1396</v>
      </c>
      <c r="F592" s="18" t="s">
        <v>1457</v>
      </c>
      <c r="G592" s="18" t="s">
        <v>875</v>
      </c>
      <c r="H592" s="18">
        <v>70</v>
      </c>
      <c r="I592" s="18">
        <v>0</v>
      </c>
      <c r="J592" s="20" t="s">
        <v>1458</v>
      </c>
      <c r="K592" s="20" t="s">
        <v>25</v>
      </c>
      <c r="L592" s="27" t="s">
        <v>26</v>
      </c>
      <c r="M592" s="27" t="s">
        <v>26</v>
      </c>
      <c r="N592" s="21">
        <v>40.957713797567102</v>
      </c>
      <c r="O592" s="10">
        <v>-80.469852222332193</v>
      </c>
      <c r="P592" s="22">
        <v>493</v>
      </c>
      <c r="Q592" s="23">
        <v>44249</v>
      </c>
      <c r="R592" s="22" t="s">
        <v>27</v>
      </c>
      <c r="S592" s="22" t="s">
        <v>34</v>
      </c>
      <c r="T592" s="24">
        <f t="shared" si="11"/>
        <v>571.88</v>
      </c>
    </row>
    <row r="593" spans="1:20" x14ac:dyDescent="0.25">
      <c r="A593" s="8" t="s">
        <v>1459</v>
      </c>
      <c r="B593" s="8" t="s">
        <v>19</v>
      </c>
      <c r="C593" s="32" t="s">
        <v>1460</v>
      </c>
      <c r="D593" s="8" t="s">
        <v>1461</v>
      </c>
      <c r="E593" s="8" t="s">
        <v>1462</v>
      </c>
      <c r="F593" s="18" t="s">
        <v>1463</v>
      </c>
      <c r="G593" s="18" t="s">
        <v>25</v>
      </c>
      <c r="H593" s="18" t="s">
        <v>26</v>
      </c>
      <c r="I593" s="18" t="s">
        <v>26</v>
      </c>
      <c r="J593" s="33" t="s">
        <v>1464</v>
      </c>
      <c r="K593" s="33" t="s">
        <v>25</v>
      </c>
      <c r="L593" s="27" t="s">
        <v>26</v>
      </c>
      <c r="M593" s="27" t="s">
        <v>26</v>
      </c>
      <c r="N593" s="1" t="s">
        <v>1465</v>
      </c>
      <c r="O593" s="1" t="s">
        <v>1466</v>
      </c>
      <c r="P593" s="22">
        <v>2386</v>
      </c>
      <c r="Q593" s="23">
        <v>44224</v>
      </c>
      <c r="R593" s="22" t="s">
        <v>27</v>
      </c>
      <c r="S593" s="22" t="s">
        <v>34</v>
      </c>
      <c r="T593" s="24">
        <f t="shared" ref="T593" si="12">P593*$X$9</f>
        <v>2982.5</v>
      </c>
    </row>
    <row r="594" spans="1:20" x14ac:dyDescent="0.25">
      <c r="A594" s="8" t="s">
        <v>1467</v>
      </c>
      <c r="B594" s="8" t="s">
        <v>19</v>
      </c>
      <c r="C594" s="32" t="s">
        <v>1460</v>
      </c>
      <c r="D594" s="8" t="s">
        <v>1010</v>
      </c>
      <c r="E594" s="8" t="s">
        <v>853</v>
      </c>
      <c r="F594" s="18" t="s">
        <v>1468</v>
      </c>
      <c r="G594" s="18" t="s">
        <v>25</v>
      </c>
      <c r="H594" s="18" t="s">
        <v>26</v>
      </c>
      <c r="I594" s="18" t="s">
        <v>26</v>
      </c>
      <c r="J594" s="33" t="s">
        <v>1469</v>
      </c>
      <c r="K594" s="33" t="s">
        <v>25</v>
      </c>
      <c r="L594" s="27" t="s">
        <v>26</v>
      </c>
      <c r="M594" s="27" t="s">
        <v>26</v>
      </c>
      <c r="N594" s="1" t="s">
        <v>1470</v>
      </c>
      <c r="O594" s="1" t="s">
        <v>1471</v>
      </c>
      <c r="P594" s="22">
        <v>4263</v>
      </c>
      <c r="Q594" s="23">
        <v>43858</v>
      </c>
      <c r="R594" s="22" t="s">
        <v>27</v>
      </c>
      <c r="S594" s="22"/>
      <c r="T594" s="24">
        <f>P594*$X$9</f>
        <v>5328.75</v>
      </c>
    </row>
    <row r="595" spans="1:20" x14ac:dyDescent="0.25">
      <c r="A595" s="8" t="s">
        <v>1472</v>
      </c>
      <c r="B595" s="8" t="s">
        <v>19</v>
      </c>
      <c r="C595" s="32" t="s">
        <v>1473</v>
      </c>
      <c r="D595" s="8" t="s">
        <v>1197</v>
      </c>
      <c r="E595" s="8" t="s">
        <v>189</v>
      </c>
      <c r="F595" s="18" t="s">
        <v>1474</v>
      </c>
      <c r="G595" s="18" t="s">
        <v>25</v>
      </c>
      <c r="H595" s="18" t="s">
        <v>26</v>
      </c>
      <c r="I595" s="18" t="s">
        <v>26</v>
      </c>
      <c r="J595" s="33" t="s">
        <v>1475</v>
      </c>
      <c r="K595" s="33" t="s">
        <v>25</v>
      </c>
      <c r="L595" s="27" t="s">
        <v>26</v>
      </c>
      <c r="M595" s="27" t="s">
        <v>26</v>
      </c>
      <c r="N595" s="1" t="s">
        <v>1476</v>
      </c>
      <c r="O595" s="1" t="s">
        <v>1477</v>
      </c>
      <c r="P595" s="22">
        <v>3606</v>
      </c>
      <c r="Q595" s="23">
        <v>44221</v>
      </c>
      <c r="R595" s="22" t="s">
        <v>27</v>
      </c>
      <c r="S595" s="22" t="s">
        <v>34</v>
      </c>
      <c r="T595" s="24">
        <f>P595*$X$11</f>
        <v>3757.4520000000002</v>
      </c>
    </row>
    <row r="596" spans="1:20" x14ac:dyDescent="0.25">
      <c r="A596" s="8">
        <v>2006</v>
      </c>
      <c r="B596" s="8" t="s">
        <v>19</v>
      </c>
      <c r="C596" s="32" t="s">
        <v>1473</v>
      </c>
      <c r="D596" s="8" t="s">
        <v>1197</v>
      </c>
      <c r="E596" s="8" t="s">
        <v>189</v>
      </c>
      <c r="F596" s="18" t="s">
        <v>1478</v>
      </c>
      <c r="G596" s="18" t="s">
        <v>25</v>
      </c>
      <c r="H596" s="18" t="s">
        <v>26</v>
      </c>
      <c r="I596" s="18" t="s">
        <v>26</v>
      </c>
      <c r="J596" s="33" t="s">
        <v>1479</v>
      </c>
      <c r="K596" s="33" t="s">
        <v>25</v>
      </c>
      <c r="L596" s="27" t="s">
        <v>26</v>
      </c>
      <c r="M596" s="27" t="s">
        <v>26</v>
      </c>
      <c r="N596" s="1" t="s">
        <v>1476</v>
      </c>
      <c r="O596" s="1" t="s">
        <v>1477</v>
      </c>
      <c r="P596" s="22">
        <v>6503</v>
      </c>
      <c r="Q596" s="23">
        <v>44221</v>
      </c>
      <c r="R596" s="22" t="s">
        <v>27</v>
      </c>
      <c r="S596" s="22" t="s">
        <v>38</v>
      </c>
      <c r="T596" s="24">
        <f>P596*$X$11</f>
        <v>6776.1260000000002</v>
      </c>
    </row>
    <row r="597" spans="1:20" x14ac:dyDescent="0.25">
      <c r="A597" s="8">
        <v>2007</v>
      </c>
      <c r="B597" s="8" t="s">
        <v>19</v>
      </c>
      <c r="C597" s="32" t="s">
        <v>1480</v>
      </c>
      <c r="D597" s="8" t="s">
        <v>1481</v>
      </c>
      <c r="E597" s="8" t="s">
        <v>1482</v>
      </c>
      <c r="F597" s="18" t="s">
        <v>1483</v>
      </c>
      <c r="G597" s="18" t="s">
        <v>25</v>
      </c>
      <c r="H597" s="18" t="s">
        <v>26</v>
      </c>
      <c r="I597" s="18" t="s">
        <v>26</v>
      </c>
      <c r="J597" s="34" t="s">
        <v>1484</v>
      </c>
      <c r="K597" s="33" t="s">
        <v>25</v>
      </c>
      <c r="L597" s="27" t="s">
        <v>26</v>
      </c>
      <c r="M597" s="27" t="s">
        <v>26</v>
      </c>
      <c r="N597" s="1" t="s">
        <v>1485</v>
      </c>
      <c r="O597" s="1" t="s">
        <v>1486</v>
      </c>
      <c r="P597" s="22">
        <v>2157</v>
      </c>
      <c r="Q597" s="23">
        <v>44223</v>
      </c>
      <c r="R597" s="22" t="s">
        <v>27</v>
      </c>
      <c r="S597" s="22" t="s">
        <v>38</v>
      </c>
      <c r="T597" s="24">
        <f>P597*$X$13</f>
        <v>2312.3040000000001</v>
      </c>
    </row>
    <row r="598" spans="1:20" x14ac:dyDescent="0.25">
      <c r="A598" s="8">
        <v>2008</v>
      </c>
      <c r="B598" s="8" t="s">
        <v>19</v>
      </c>
      <c r="C598" s="32" t="s">
        <v>1487</v>
      </c>
      <c r="D598" s="8" t="s">
        <v>565</v>
      </c>
      <c r="E598" s="8" t="s">
        <v>610</v>
      </c>
      <c r="F598" s="18" t="s">
        <v>1488</v>
      </c>
      <c r="G598" s="18" t="s">
        <v>1489</v>
      </c>
      <c r="H598" s="18" t="s">
        <v>1489</v>
      </c>
      <c r="I598" s="18" t="s">
        <v>1489</v>
      </c>
      <c r="J598" s="33" t="s">
        <v>1490</v>
      </c>
      <c r="K598" s="33" t="s">
        <v>25</v>
      </c>
      <c r="L598" s="27" t="s">
        <v>26</v>
      </c>
      <c r="M598" s="27" t="s">
        <v>26</v>
      </c>
      <c r="N598" s="1" t="s">
        <v>1491</v>
      </c>
      <c r="O598" s="1" t="s">
        <v>1492</v>
      </c>
      <c r="P598" s="22">
        <v>1787</v>
      </c>
      <c r="Q598" s="23">
        <v>44224</v>
      </c>
      <c r="R598" s="22" t="s">
        <v>27</v>
      </c>
      <c r="S598" s="22"/>
      <c r="T598" s="24">
        <f>P598*$X$5</f>
        <v>1801.296</v>
      </c>
    </row>
    <row r="599" spans="1:20" x14ac:dyDescent="0.25">
      <c r="A599" s="8">
        <v>2009</v>
      </c>
      <c r="B599" s="8" t="s">
        <v>19</v>
      </c>
      <c r="C599" s="32" t="s">
        <v>1493</v>
      </c>
      <c r="D599" s="8" t="s">
        <v>1494</v>
      </c>
      <c r="E599" s="8" t="s">
        <v>1495</v>
      </c>
      <c r="F599" s="18" t="s">
        <v>1496</v>
      </c>
      <c r="G599" s="18" t="s">
        <v>1497</v>
      </c>
      <c r="H599" s="18" t="s">
        <v>1489</v>
      </c>
      <c r="I599" s="18" t="s">
        <v>1489</v>
      </c>
      <c r="J599" s="34" t="s">
        <v>1498</v>
      </c>
      <c r="K599" s="33" t="s">
        <v>25</v>
      </c>
      <c r="L599" s="27" t="s">
        <v>26</v>
      </c>
      <c r="M599" s="27" t="s">
        <v>26</v>
      </c>
      <c r="N599" s="1" t="s">
        <v>1499</v>
      </c>
      <c r="O599" s="1" t="s">
        <v>1500</v>
      </c>
      <c r="P599" s="22">
        <v>1081</v>
      </c>
      <c r="Q599" s="23">
        <v>44251</v>
      </c>
      <c r="R599" s="22" t="s">
        <v>27</v>
      </c>
      <c r="S599" s="22" t="s">
        <v>517</v>
      </c>
      <c r="T599" s="24">
        <f>P599*$X$8</f>
        <v>1325.306</v>
      </c>
    </row>
    <row r="600" spans="1:20" x14ac:dyDescent="0.25">
      <c r="A600" s="8">
        <v>2000</v>
      </c>
      <c r="B600" s="8" t="s">
        <v>19</v>
      </c>
      <c r="C600" s="32" t="s">
        <v>1460</v>
      </c>
      <c r="D600" s="8" t="s">
        <v>1461</v>
      </c>
      <c r="E600" s="8" t="s">
        <v>1462</v>
      </c>
      <c r="F600" s="18" t="s">
        <v>1501</v>
      </c>
      <c r="G600" s="18" t="s">
        <v>25</v>
      </c>
      <c r="H600" s="18" t="s">
        <v>26</v>
      </c>
      <c r="I600" s="18" t="s">
        <v>26</v>
      </c>
      <c r="J600" s="33" t="s">
        <v>1502</v>
      </c>
      <c r="K600" s="33" t="s">
        <v>25</v>
      </c>
      <c r="L600" s="27" t="s">
        <v>26</v>
      </c>
      <c r="M600" s="27" t="s">
        <v>26</v>
      </c>
      <c r="N600" s="1" t="s">
        <v>1465</v>
      </c>
      <c r="O600" s="1" t="s">
        <v>1466</v>
      </c>
      <c r="P600" s="22">
        <v>2386</v>
      </c>
      <c r="Q600" s="35">
        <v>44224</v>
      </c>
      <c r="R600" s="22" t="s">
        <v>27</v>
      </c>
      <c r="S600" s="22"/>
      <c r="T600" s="24">
        <f t="shared" ref="T600:T605" si="13">P600*$X$9</f>
        <v>2982.5</v>
      </c>
    </row>
    <row r="601" spans="1:20" x14ac:dyDescent="0.25">
      <c r="A601" s="8">
        <v>2001</v>
      </c>
      <c r="B601" s="8" t="s">
        <v>19</v>
      </c>
      <c r="C601" s="32" t="s">
        <v>1460</v>
      </c>
      <c r="D601" s="8" t="s">
        <v>1503</v>
      </c>
      <c r="E601" s="8" t="s">
        <v>1504</v>
      </c>
      <c r="F601" s="18" t="s">
        <v>1505</v>
      </c>
      <c r="G601" s="18" t="s">
        <v>1505</v>
      </c>
      <c r="H601" s="18" t="s">
        <v>1489</v>
      </c>
      <c r="I601" s="18" t="s">
        <v>1489</v>
      </c>
      <c r="J601" s="33" t="s">
        <v>1506</v>
      </c>
      <c r="K601" s="33" t="s">
        <v>25</v>
      </c>
      <c r="L601" s="27" t="s">
        <v>26</v>
      </c>
      <c r="M601" s="27" t="s">
        <v>26</v>
      </c>
      <c r="N601" s="1" t="s">
        <v>1507</v>
      </c>
      <c r="O601" s="1" t="s">
        <v>1508</v>
      </c>
      <c r="P601" s="22">
        <v>5366</v>
      </c>
      <c r="Q601" s="23">
        <v>44224</v>
      </c>
      <c r="R601" s="22" t="s">
        <v>27</v>
      </c>
      <c r="S601" s="22" t="s">
        <v>517</v>
      </c>
      <c r="T601" s="24">
        <f t="shared" si="13"/>
        <v>6707.5</v>
      </c>
    </row>
    <row r="602" spans="1:20" x14ac:dyDescent="0.25">
      <c r="A602" s="8">
        <v>2002</v>
      </c>
      <c r="B602" s="8" t="s">
        <v>19</v>
      </c>
      <c r="C602" s="32" t="s">
        <v>1460</v>
      </c>
      <c r="D602" s="8" t="s">
        <v>945</v>
      </c>
      <c r="E602" s="8" t="s">
        <v>951</v>
      </c>
      <c r="F602" s="18" t="s">
        <v>1509</v>
      </c>
      <c r="G602" s="18" t="s">
        <v>25</v>
      </c>
      <c r="H602" s="18" t="s">
        <v>26</v>
      </c>
      <c r="I602" s="18" t="s">
        <v>26</v>
      </c>
      <c r="J602" s="33" t="s">
        <v>1510</v>
      </c>
      <c r="K602" s="33" t="s">
        <v>25</v>
      </c>
      <c r="L602" s="27" t="s">
        <v>26</v>
      </c>
      <c r="M602" s="27" t="s">
        <v>26</v>
      </c>
      <c r="N602" s="1" t="s">
        <v>1511</v>
      </c>
      <c r="O602" s="1" t="s">
        <v>1512</v>
      </c>
      <c r="P602" s="22">
        <v>3375</v>
      </c>
      <c r="Q602" s="23">
        <v>44223</v>
      </c>
      <c r="R602" s="22" t="s">
        <v>27</v>
      </c>
      <c r="S602" s="22" t="s">
        <v>517</v>
      </c>
      <c r="T602" s="24">
        <f t="shared" si="13"/>
        <v>4218.75</v>
      </c>
    </row>
    <row r="603" spans="1:20" x14ac:dyDescent="0.25">
      <c r="A603" s="8">
        <v>2003</v>
      </c>
      <c r="B603" s="8" t="s">
        <v>19</v>
      </c>
      <c r="C603" s="32" t="s">
        <v>1460</v>
      </c>
      <c r="D603" s="8" t="s">
        <v>1513</v>
      </c>
      <c r="E603" s="8" t="s">
        <v>467</v>
      </c>
      <c r="F603" s="18" t="s">
        <v>1514</v>
      </c>
      <c r="G603" s="18" t="s">
        <v>75</v>
      </c>
      <c r="H603" s="18" t="s">
        <v>1489</v>
      </c>
      <c r="I603" s="18" t="s">
        <v>1489</v>
      </c>
      <c r="J603" s="33" t="s">
        <v>1515</v>
      </c>
      <c r="K603" s="33" t="s">
        <v>25</v>
      </c>
      <c r="L603" s="27" t="s">
        <v>26</v>
      </c>
      <c r="M603" s="27" t="s">
        <v>26</v>
      </c>
      <c r="N603" s="1" t="s">
        <v>1516</v>
      </c>
      <c r="O603" s="1" t="s">
        <v>1517</v>
      </c>
      <c r="P603" s="22">
        <v>513</v>
      </c>
      <c r="Q603" s="23">
        <v>44224</v>
      </c>
      <c r="R603" s="22" t="s">
        <v>27</v>
      </c>
      <c r="S603" s="22" t="s">
        <v>34</v>
      </c>
      <c r="T603" s="24">
        <f t="shared" si="13"/>
        <v>641.25</v>
      </c>
    </row>
    <row r="604" spans="1:20" x14ac:dyDescent="0.25">
      <c r="A604" s="8">
        <v>2004</v>
      </c>
      <c r="B604" s="8" t="s">
        <v>19</v>
      </c>
      <c r="C604" s="32" t="s">
        <v>1460</v>
      </c>
      <c r="D604" s="8" t="s">
        <v>1513</v>
      </c>
      <c r="E604" s="8" t="s">
        <v>467</v>
      </c>
      <c r="F604" s="18" t="s">
        <v>1518</v>
      </c>
      <c r="G604" s="18" t="s">
        <v>75</v>
      </c>
      <c r="H604" s="18" t="s">
        <v>1489</v>
      </c>
      <c r="I604" s="18" t="s">
        <v>1489</v>
      </c>
      <c r="J604" s="33" t="s">
        <v>1519</v>
      </c>
      <c r="K604" s="33" t="s">
        <v>25</v>
      </c>
      <c r="L604" s="27" t="s">
        <v>26</v>
      </c>
      <c r="M604" s="27" t="s">
        <v>26</v>
      </c>
      <c r="N604" s="1" t="s">
        <v>1520</v>
      </c>
      <c r="O604" s="1" t="s">
        <v>1521</v>
      </c>
      <c r="P604" s="22">
        <v>1685</v>
      </c>
      <c r="Q604" s="23">
        <v>44224</v>
      </c>
      <c r="R604" s="22" t="s">
        <v>27</v>
      </c>
      <c r="S604" s="22" t="s">
        <v>34</v>
      </c>
      <c r="T604" s="24">
        <f t="shared" si="13"/>
        <v>2106.25</v>
      </c>
    </row>
    <row r="605" spans="1:20" x14ac:dyDescent="0.25">
      <c r="A605" s="8">
        <v>2005</v>
      </c>
      <c r="B605" s="8" t="s">
        <v>19</v>
      </c>
      <c r="C605" s="32" t="s">
        <v>1460</v>
      </c>
      <c r="D605" s="8" t="s">
        <v>1010</v>
      </c>
      <c r="E605" s="8" t="s">
        <v>853</v>
      </c>
      <c r="F605" s="18" t="s">
        <v>1522</v>
      </c>
      <c r="G605" s="18" t="s">
        <v>25</v>
      </c>
      <c r="H605" s="18" t="s">
        <v>26</v>
      </c>
      <c r="I605" s="18" t="s">
        <v>26</v>
      </c>
      <c r="J605" s="33" t="s">
        <v>1523</v>
      </c>
      <c r="K605" s="33" t="s">
        <v>25</v>
      </c>
      <c r="L605" s="27" t="s">
        <v>26</v>
      </c>
      <c r="M605" s="27" t="s">
        <v>26</v>
      </c>
      <c r="N605" s="1" t="s">
        <v>1470</v>
      </c>
      <c r="O605" s="1" t="s">
        <v>1471</v>
      </c>
      <c r="P605" s="22">
        <v>1650</v>
      </c>
      <c r="Q605" s="23">
        <v>44224</v>
      </c>
      <c r="R605" s="22" t="s">
        <v>27</v>
      </c>
      <c r="S605" s="22" t="s">
        <v>517</v>
      </c>
      <c r="T605" s="24">
        <f t="shared" si="13"/>
        <v>2062.5</v>
      </c>
    </row>
    <row r="606" spans="1:20" x14ac:dyDescent="0.25">
      <c r="A606" s="36">
        <v>87</v>
      </c>
      <c r="B606" s="36" t="s">
        <v>1524</v>
      </c>
      <c r="C606" s="36">
        <v>5</v>
      </c>
      <c r="D606" s="36" t="s">
        <v>1525</v>
      </c>
      <c r="E606" s="36" t="s">
        <v>1526</v>
      </c>
      <c r="F606" s="37" t="s">
        <v>1527</v>
      </c>
      <c r="G606" s="37" t="s">
        <v>1528</v>
      </c>
      <c r="H606" s="37">
        <v>50</v>
      </c>
      <c r="I606" s="37">
        <v>940</v>
      </c>
      <c r="J606" s="38" t="s">
        <v>1529</v>
      </c>
      <c r="K606" s="38" t="s">
        <v>25</v>
      </c>
      <c r="L606" s="39" t="s">
        <v>26</v>
      </c>
      <c r="M606" s="39" t="s">
        <v>26</v>
      </c>
      <c r="N606" s="40">
        <v>40.164177001886003</v>
      </c>
      <c r="O606" s="40">
        <v>-75.879867881229202</v>
      </c>
      <c r="P606" s="41">
        <f>1349+1232</f>
        <v>2581</v>
      </c>
      <c r="Q606" s="42">
        <v>44243</v>
      </c>
      <c r="R606" s="41" t="s">
        <v>1530</v>
      </c>
      <c r="S606" s="41" t="s">
        <v>38</v>
      </c>
      <c r="T606" s="24">
        <f t="shared" ref="T606:T617" si="14">P606*$X$7</f>
        <v>2784.8989999999999</v>
      </c>
    </row>
    <row r="607" spans="1:20" x14ac:dyDescent="0.25">
      <c r="A607" s="9">
        <v>88</v>
      </c>
      <c r="B607" s="9" t="s">
        <v>1524</v>
      </c>
      <c r="C607" s="9">
        <v>5</v>
      </c>
      <c r="D607" s="9" t="s">
        <v>1525</v>
      </c>
      <c r="E607" s="9" t="s">
        <v>1531</v>
      </c>
      <c r="F607" s="37" t="s">
        <v>1532</v>
      </c>
      <c r="G607" s="37" t="s">
        <v>1533</v>
      </c>
      <c r="H607" s="43">
        <v>14</v>
      </c>
      <c r="I607" s="43">
        <v>884</v>
      </c>
      <c r="J607" s="38" t="s">
        <v>1534</v>
      </c>
      <c r="K607" s="38" t="s">
        <v>25</v>
      </c>
      <c r="L607" s="38" t="s">
        <v>26</v>
      </c>
      <c r="M607" s="38" t="s">
        <v>26</v>
      </c>
      <c r="N607" s="44">
        <v>40.347508621273299</v>
      </c>
      <c r="O607" s="44">
        <v>-75.930840743694006</v>
      </c>
      <c r="P607" s="41">
        <f>614+618</f>
        <v>1232</v>
      </c>
      <c r="Q607" s="42">
        <v>44265</v>
      </c>
      <c r="R607" s="41" t="s">
        <v>1530</v>
      </c>
      <c r="S607" s="41" t="s">
        <v>38</v>
      </c>
      <c r="T607" s="24">
        <f t="shared" si="14"/>
        <v>1329.328</v>
      </c>
    </row>
    <row r="608" spans="1:20" x14ac:dyDescent="0.25">
      <c r="A608" s="36">
        <v>89</v>
      </c>
      <c r="B608" s="36" t="s">
        <v>1524</v>
      </c>
      <c r="C608" s="36">
        <v>5</v>
      </c>
      <c r="D608" s="36" t="s">
        <v>1525</v>
      </c>
      <c r="E608" s="36" t="s">
        <v>1535</v>
      </c>
      <c r="F608" s="37" t="s">
        <v>1532</v>
      </c>
      <c r="G608" s="37" t="s">
        <v>1533</v>
      </c>
      <c r="H608" s="43">
        <v>190</v>
      </c>
      <c r="I608" s="43">
        <v>0</v>
      </c>
      <c r="J608" s="38" t="s">
        <v>1536</v>
      </c>
      <c r="K608" s="38" t="s">
        <v>25</v>
      </c>
      <c r="L608" s="38" t="s">
        <v>26</v>
      </c>
      <c r="M608" s="38" t="s">
        <v>26</v>
      </c>
      <c r="N608" s="40">
        <v>40.444010814195103</v>
      </c>
      <c r="O608" s="40">
        <v>-75.954423260898494</v>
      </c>
      <c r="P608" s="41">
        <f>3645+3976</f>
        <v>7621</v>
      </c>
      <c r="Q608" s="42">
        <v>44265</v>
      </c>
      <c r="R608" s="41" t="s">
        <v>1530</v>
      </c>
      <c r="S608" s="41" t="s">
        <v>38</v>
      </c>
      <c r="T608" s="24">
        <f t="shared" si="14"/>
        <v>8223.0589999999993</v>
      </c>
    </row>
    <row r="609" spans="1:20" x14ac:dyDescent="0.25">
      <c r="A609" s="9">
        <v>90</v>
      </c>
      <c r="B609" s="9" t="s">
        <v>1524</v>
      </c>
      <c r="C609" s="9">
        <v>5</v>
      </c>
      <c r="D609" s="9" t="s">
        <v>1525</v>
      </c>
      <c r="E609" s="9" t="s">
        <v>1537</v>
      </c>
      <c r="F609" s="37" t="s">
        <v>1538</v>
      </c>
      <c r="G609" s="37" t="s">
        <v>1533</v>
      </c>
      <c r="H609" s="43">
        <v>340</v>
      </c>
      <c r="I609" s="43">
        <v>781</v>
      </c>
      <c r="J609" s="38" t="s">
        <v>1539</v>
      </c>
      <c r="K609" s="38" t="s">
        <v>57</v>
      </c>
      <c r="L609" s="38" t="s">
        <v>26</v>
      </c>
      <c r="M609" s="38" t="s">
        <v>26</v>
      </c>
      <c r="N609" s="44">
        <v>40.542132842558999</v>
      </c>
      <c r="O609" s="44">
        <v>-75.978330436809401</v>
      </c>
      <c r="P609" s="41">
        <f>4242+4453</f>
        <v>8695</v>
      </c>
      <c r="Q609" s="42">
        <v>44265</v>
      </c>
      <c r="R609" s="41" t="s">
        <v>1530</v>
      </c>
      <c r="S609" s="41" t="s">
        <v>38</v>
      </c>
      <c r="T609" s="24">
        <f t="shared" si="14"/>
        <v>9381.9049999999988</v>
      </c>
    </row>
    <row r="610" spans="1:20" x14ac:dyDescent="0.25">
      <c r="A610" s="36">
        <v>91</v>
      </c>
      <c r="B610" s="36" t="s">
        <v>1524</v>
      </c>
      <c r="C610" s="36">
        <v>5</v>
      </c>
      <c r="D610" s="36" t="s">
        <v>1525</v>
      </c>
      <c r="E610" s="36" t="s">
        <v>1540</v>
      </c>
      <c r="F610" s="37" t="s">
        <v>1541</v>
      </c>
      <c r="G610" s="37" t="s">
        <v>1542</v>
      </c>
      <c r="H610" s="43">
        <v>50</v>
      </c>
      <c r="I610" s="43">
        <v>157</v>
      </c>
      <c r="J610" s="38" t="s">
        <v>1543</v>
      </c>
      <c r="K610" s="38" t="s">
        <v>25</v>
      </c>
      <c r="L610" s="38" t="s">
        <v>26</v>
      </c>
      <c r="M610" s="38" t="s">
        <v>26</v>
      </c>
      <c r="N610" s="40">
        <v>40.449275199773297</v>
      </c>
      <c r="O610" s="40">
        <v>-75.913574138319007</v>
      </c>
      <c r="P610" s="41">
        <f>2334</f>
        <v>2334</v>
      </c>
      <c r="Q610" s="42">
        <v>44265</v>
      </c>
      <c r="R610" s="41" t="s">
        <v>1544</v>
      </c>
      <c r="S610" s="41" t="s">
        <v>28</v>
      </c>
      <c r="T610" s="24">
        <f t="shared" si="14"/>
        <v>2518.386</v>
      </c>
    </row>
    <row r="611" spans="1:20" x14ac:dyDescent="0.25">
      <c r="A611" s="9">
        <v>92</v>
      </c>
      <c r="B611" s="9" t="s">
        <v>1524</v>
      </c>
      <c r="C611" s="9">
        <v>5</v>
      </c>
      <c r="D611" s="9" t="s">
        <v>1525</v>
      </c>
      <c r="E611" s="9" t="s">
        <v>1545</v>
      </c>
      <c r="F611" s="37" t="s">
        <v>1546</v>
      </c>
      <c r="G611" s="37" t="s">
        <v>1542</v>
      </c>
      <c r="H611" s="37">
        <v>120</v>
      </c>
      <c r="I611" s="37">
        <v>1752</v>
      </c>
      <c r="J611" s="38" t="s">
        <v>1547</v>
      </c>
      <c r="K611" s="38" t="s">
        <v>25</v>
      </c>
      <c r="L611" s="39" t="s">
        <v>26</v>
      </c>
      <c r="M611" s="39" t="s">
        <v>26</v>
      </c>
      <c r="N611" s="44">
        <v>40.4184031191445</v>
      </c>
      <c r="O611" s="44">
        <v>-75.863769226698196</v>
      </c>
      <c r="P611" s="41">
        <f>3724</f>
        <v>3724</v>
      </c>
      <c r="Q611" s="42">
        <v>44265</v>
      </c>
      <c r="R611" s="41" t="s">
        <v>27</v>
      </c>
      <c r="S611" s="41" t="s">
        <v>28</v>
      </c>
      <c r="T611" s="24">
        <f t="shared" si="14"/>
        <v>4018.1959999999999</v>
      </c>
    </row>
    <row r="612" spans="1:20" x14ac:dyDescent="0.25">
      <c r="A612" s="36">
        <v>93</v>
      </c>
      <c r="B612" s="36" t="s">
        <v>1524</v>
      </c>
      <c r="C612" s="36">
        <v>5</v>
      </c>
      <c r="D612" s="36" t="s">
        <v>1525</v>
      </c>
      <c r="E612" s="36" t="s">
        <v>1535</v>
      </c>
      <c r="F612" s="37" t="s">
        <v>1548</v>
      </c>
      <c r="G612" s="37" t="s">
        <v>1549</v>
      </c>
      <c r="H612" s="43">
        <v>390</v>
      </c>
      <c r="I612" s="43">
        <v>0</v>
      </c>
      <c r="J612" s="38" t="s">
        <v>1550</v>
      </c>
      <c r="K612" s="38" t="s">
        <v>25</v>
      </c>
      <c r="L612" s="38" t="s">
        <v>26</v>
      </c>
      <c r="M612" s="38" t="s">
        <v>26</v>
      </c>
      <c r="N612" s="40">
        <v>40.436286114340803</v>
      </c>
      <c r="O612" s="40">
        <v>-75.909036229714701</v>
      </c>
      <c r="P612" s="41">
        <f>394</f>
        <v>394</v>
      </c>
      <c r="Q612" s="42">
        <v>44265</v>
      </c>
      <c r="R612" s="41" t="s">
        <v>1544</v>
      </c>
      <c r="S612" s="41" t="s">
        <v>38</v>
      </c>
      <c r="T612" s="24">
        <f t="shared" si="14"/>
        <v>425.12599999999998</v>
      </c>
    </row>
    <row r="613" spans="1:20" x14ac:dyDescent="0.25">
      <c r="A613" s="9">
        <v>94</v>
      </c>
      <c r="B613" s="9" t="s">
        <v>1524</v>
      </c>
      <c r="C613" s="9">
        <v>5</v>
      </c>
      <c r="D613" s="9" t="s">
        <v>1525</v>
      </c>
      <c r="E613" s="9" t="s">
        <v>1551</v>
      </c>
      <c r="F613" s="37" t="s">
        <v>1552</v>
      </c>
      <c r="G613" s="37" t="s">
        <v>1553</v>
      </c>
      <c r="H613" s="37">
        <v>190</v>
      </c>
      <c r="I613" s="37">
        <v>859</v>
      </c>
      <c r="J613" s="38" t="s">
        <v>1554</v>
      </c>
      <c r="K613" s="38" t="s">
        <v>57</v>
      </c>
      <c r="L613" s="39" t="s">
        <v>26</v>
      </c>
      <c r="M613" s="39" t="s">
        <v>26</v>
      </c>
      <c r="N613" s="44">
        <v>40.477940315382902</v>
      </c>
      <c r="O613" s="44">
        <v>-75.762506846112601</v>
      </c>
      <c r="P613" s="41">
        <f>3915+3984</f>
        <v>7899</v>
      </c>
      <c r="Q613" s="42">
        <v>44265</v>
      </c>
      <c r="R613" s="41" t="s">
        <v>1530</v>
      </c>
      <c r="S613" s="41" t="s">
        <v>28</v>
      </c>
      <c r="T613" s="24">
        <f t="shared" si="14"/>
        <v>8523.0209999999988</v>
      </c>
    </row>
    <row r="614" spans="1:20" x14ac:dyDescent="0.25">
      <c r="A614" s="36">
        <v>95</v>
      </c>
      <c r="B614" s="36" t="s">
        <v>1524</v>
      </c>
      <c r="C614" s="36">
        <v>5</v>
      </c>
      <c r="D614" s="36" t="s">
        <v>1525</v>
      </c>
      <c r="E614" s="36" t="s">
        <v>1531</v>
      </c>
      <c r="F614" s="37" t="s">
        <v>391</v>
      </c>
      <c r="G614" s="37" t="s">
        <v>1555</v>
      </c>
      <c r="H614" s="43">
        <v>11</v>
      </c>
      <c r="I614" s="43">
        <v>3137</v>
      </c>
      <c r="J614" s="38" t="s">
        <v>1556</v>
      </c>
      <c r="K614" s="38" t="s">
        <v>25</v>
      </c>
      <c r="L614" s="38" t="s">
        <v>26</v>
      </c>
      <c r="M614" s="38" t="s">
        <v>26</v>
      </c>
      <c r="N614" s="40">
        <v>40.336277655534303</v>
      </c>
      <c r="O614" s="40">
        <v>-75.929812172587702</v>
      </c>
      <c r="P614" s="41">
        <f>2023</f>
        <v>2023</v>
      </c>
      <c r="Q614" s="42">
        <v>44265</v>
      </c>
      <c r="R614" s="41" t="s">
        <v>1530</v>
      </c>
      <c r="S614" s="41" t="s">
        <v>38</v>
      </c>
      <c r="T614" s="24">
        <f t="shared" si="14"/>
        <v>2182.817</v>
      </c>
    </row>
    <row r="615" spans="1:20" x14ac:dyDescent="0.25">
      <c r="A615" s="9">
        <v>96</v>
      </c>
      <c r="B615" s="9" t="s">
        <v>1524</v>
      </c>
      <c r="C615" s="9">
        <v>5</v>
      </c>
      <c r="D615" s="9" t="s">
        <v>1525</v>
      </c>
      <c r="E615" s="9" t="s">
        <v>286</v>
      </c>
      <c r="F615" s="37" t="s">
        <v>1557</v>
      </c>
      <c r="G615" s="37" t="s">
        <v>1308</v>
      </c>
      <c r="H615" s="43">
        <v>34</v>
      </c>
      <c r="I615" s="43">
        <v>1508</v>
      </c>
      <c r="J615" s="38" t="s">
        <v>1558</v>
      </c>
      <c r="K615" s="38" t="s">
        <v>25</v>
      </c>
      <c r="L615" s="38" t="s">
        <v>26</v>
      </c>
      <c r="M615" s="38" t="s">
        <v>26</v>
      </c>
      <c r="N615" s="44">
        <v>40.3566010228976</v>
      </c>
      <c r="O615" s="44">
        <v>-75.983792521114196</v>
      </c>
      <c r="P615" s="41">
        <f>1750+2711</f>
        <v>4461</v>
      </c>
      <c r="Q615" s="42">
        <v>44265</v>
      </c>
      <c r="R615" s="41" t="s">
        <v>1530</v>
      </c>
      <c r="S615" s="41" t="s">
        <v>38</v>
      </c>
      <c r="T615" s="24">
        <f t="shared" si="14"/>
        <v>4813.4189999999999</v>
      </c>
    </row>
    <row r="616" spans="1:20" x14ac:dyDescent="0.25">
      <c r="A616" s="36">
        <v>97</v>
      </c>
      <c r="B616" s="36" t="s">
        <v>1524</v>
      </c>
      <c r="C616" s="36">
        <v>5</v>
      </c>
      <c r="D616" s="36" t="s">
        <v>1525</v>
      </c>
      <c r="E616" s="36" t="s">
        <v>286</v>
      </c>
      <c r="F616" s="37" t="s">
        <v>1557</v>
      </c>
      <c r="G616" s="37" t="s">
        <v>1308</v>
      </c>
      <c r="H616" s="43">
        <v>34</v>
      </c>
      <c r="I616" s="43">
        <v>2449</v>
      </c>
      <c r="J616" s="38" t="s">
        <v>1559</v>
      </c>
      <c r="K616" s="38" t="s">
        <v>25</v>
      </c>
      <c r="L616" s="38" t="s">
        <v>26</v>
      </c>
      <c r="M616" s="38" t="s">
        <v>26</v>
      </c>
      <c r="N616" s="40">
        <v>40.3587407925029</v>
      </c>
      <c r="O616" s="40">
        <v>-75.985698096052502</v>
      </c>
      <c r="P616" s="41">
        <f>3957+3599</f>
        <v>7556</v>
      </c>
      <c r="Q616" s="42">
        <v>44265</v>
      </c>
      <c r="R616" s="41" t="s">
        <v>1530</v>
      </c>
      <c r="S616" s="41" t="s">
        <v>38</v>
      </c>
      <c r="T616" s="24">
        <f t="shared" si="14"/>
        <v>8152.924</v>
      </c>
    </row>
    <row r="617" spans="1:20" x14ac:dyDescent="0.25">
      <c r="A617" s="9">
        <v>98</v>
      </c>
      <c r="B617" s="9" t="s">
        <v>1524</v>
      </c>
      <c r="C617" s="9">
        <v>5</v>
      </c>
      <c r="D617" s="9" t="s">
        <v>1525</v>
      </c>
      <c r="E617" s="9" t="s">
        <v>1560</v>
      </c>
      <c r="F617" s="37" t="s">
        <v>1561</v>
      </c>
      <c r="G617" s="37" t="s">
        <v>1002</v>
      </c>
      <c r="H617" s="43">
        <v>20</v>
      </c>
      <c r="I617" s="43">
        <v>1523</v>
      </c>
      <c r="J617" s="38" t="s">
        <v>1562</v>
      </c>
      <c r="K617" s="38" t="s">
        <v>25</v>
      </c>
      <c r="L617" s="38" t="s">
        <v>26</v>
      </c>
      <c r="M617" s="38" t="s">
        <v>26</v>
      </c>
      <c r="N617" s="44">
        <v>40.338091041903702</v>
      </c>
      <c r="O617" s="44">
        <v>-75.971308570609494</v>
      </c>
      <c r="P617" s="41">
        <f>1566+1427</f>
        <v>2993</v>
      </c>
      <c r="Q617" s="42">
        <v>44265</v>
      </c>
      <c r="R617" s="41" t="s">
        <v>1530</v>
      </c>
      <c r="S617" s="41" t="s">
        <v>38</v>
      </c>
      <c r="T617" s="24">
        <f t="shared" si="14"/>
        <v>3229.4469999999997</v>
      </c>
    </row>
    <row r="618" spans="1:20" x14ac:dyDescent="0.25">
      <c r="A618" s="36">
        <v>142</v>
      </c>
      <c r="B618" s="36" t="s">
        <v>1524</v>
      </c>
      <c r="C618" s="36">
        <v>6</v>
      </c>
      <c r="D618" s="36" t="s">
        <v>1563</v>
      </c>
      <c r="E618" s="36" t="s">
        <v>1564</v>
      </c>
      <c r="F618" s="37" t="s">
        <v>1565</v>
      </c>
      <c r="G618" s="37" t="s">
        <v>1566</v>
      </c>
      <c r="H618" s="37">
        <v>180</v>
      </c>
      <c r="I618" s="37">
        <v>0</v>
      </c>
      <c r="J618" s="38" t="s">
        <v>1567</v>
      </c>
      <c r="K618" s="38" t="s">
        <v>25</v>
      </c>
      <c r="L618" s="39" t="s">
        <v>26</v>
      </c>
      <c r="M618" s="39" t="s">
        <v>26</v>
      </c>
      <c r="N618" s="40">
        <v>40.524225931612399</v>
      </c>
      <c r="O618" s="40">
        <v>-75.293634774750998</v>
      </c>
      <c r="P618" s="41">
        <f>1354</f>
        <v>1354</v>
      </c>
      <c r="Q618" s="42">
        <v>44293</v>
      </c>
      <c r="R618" s="41" t="s">
        <v>1544</v>
      </c>
      <c r="S618" s="41" t="s">
        <v>28</v>
      </c>
      <c r="T618" s="24">
        <f t="shared" ref="T618:T631" si="15">P618*$X$8</f>
        <v>1660.0039999999999</v>
      </c>
    </row>
    <row r="619" spans="1:20" x14ac:dyDescent="0.25">
      <c r="A619" s="9">
        <v>143</v>
      </c>
      <c r="B619" s="9" t="s">
        <v>1524</v>
      </c>
      <c r="C619" s="9">
        <v>6</v>
      </c>
      <c r="D619" s="9" t="s">
        <v>1563</v>
      </c>
      <c r="E619" s="9" t="s">
        <v>1564</v>
      </c>
      <c r="F619" s="37" t="s">
        <v>1568</v>
      </c>
      <c r="G619" s="37" t="s">
        <v>1566</v>
      </c>
      <c r="H619" s="37">
        <v>200</v>
      </c>
      <c r="I619" s="37">
        <v>3661</v>
      </c>
      <c r="J619" s="38" t="s">
        <v>1569</v>
      </c>
      <c r="K619" s="38" t="s">
        <v>25</v>
      </c>
      <c r="L619" s="39" t="s">
        <v>26</v>
      </c>
      <c r="M619" s="39" t="s">
        <v>26</v>
      </c>
      <c r="N619" s="44">
        <v>40.547261642076499</v>
      </c>
      <c r="O619" s="44">
        <v>-75.296443825579303</v>
      </c>
      <c r="P619" s="41">
        <f>444</f>
        <v>444</v>
      </c>
      <c r="Q619" s="42">
        <v>44293</v>
      </c>
      <c r="R619" s="41" t="s">
        <v>1544</v>
      </c>
      <c r="S619" s="41" t="s">
        <v>28</v>
      </c>
      <c r="T619" s="24">
        <f t="shared" si="15"/>
        <v>544.34399999999994</v>
      </c>
    </row>
    <row r="620" spans="1:20" x14ac:dyDescent="0.25">
      <c r="A620" s="36">
        <v>144</v>
      </c>
      <c r="B620" s="36" t="s">
        <v>1524</v>
      </c>
      <c r="C620" s="36">
        <v>6</v>
      </c>
      <c r="D620" s="36" t="s">
        <v>1563</v>
      </c>
      <c r="E620" s="36" t="s">
        <v>1570</v>
      </c>
      <c r="F620" s="37" t="s">
        <v>1571</v>
      </c>
      <c r="G620" s="37" t="s">
        <v>717</v>
      </c>
      <c r="H620" s="43">
        <v>10</v>
      </c>
      <c r="I620" s="43">
        <v>1013</v>
      </c>
      <c r="J620" s="38" t="s">
        <v>1572</v>
      </c>
      <c r="K620" s="38" t="s">
        <v>25</v>
      </c>
      <c r="L620" s="38" t="s">
        <v>26</v>
      </c>
      <c r="M620" s="38" t="s">
        <v>26</v>
      </c>
      <c r="N620" s="40">
        <v>40.288216070253704</v>
      </c>
      <c r="O620" s="40">
        <v>-75.266546268752194</v>
      </c>
      <c r="P620" s="41">
        <f>4815+4573</f>
        <v>9388</v>
      </c>
      <c r="Q620" s="42">
        <v>44291</v>
      </c>
      <c r="R620" s="41" t="s">
        <v>1530</v>
      </c>
      <c r="S620" s="41" t="s">
        <v>38</v>
      </c>
      <c r="T620" s="24">
        <f t="shared" si="15"/>
        <v>11509.688</v>
      </c>
    </row>
    <row r="621" spans="1:20" x14ac:dyDescent="0.25">
      <c r="A621" s="9">
        <v>145</v>
      </c>
      <c r="B621" s="9" t="s">
        <v>1524</v>
      </c>
      <c r="C621" s="9">
        <v>6</v>
      </c>
      <c r="D621" s="9" t="s">
        <v>1563</v>
      </c>
      <c r="E621" s="9" t="s">
        <v>1573</v>
      </c>
      <c r="F621" s="37" t="s">
        <v>1574</v>
      </c>
      <c r="G621" s="37" t="s">
        <v>717</v>
      </c>
      <c r="H621" s="43">
        <v>290</v>
      </c>
      <c r="I621" s="43">
        <v>954</v>
      </c>
      <c r="J621" s="38" t="s">
        <v>1575</v>
      </c>
      <c r="K621" s="38" t="s">
        <v>25</v>
      </c>
      <c r="L621" s="38" t="s">
        <v>26</v>
      </c>
      <c r="M621" s="38" t="s">
        <v>26</v>
      </c>
      <c r="N621" s="44">
        <v>40.446025947055404</v>
      </c>
      <c r="O621" s="44">
        <v>-75.359735559477699</v>
      </c>
      <c r="P621" s="41">
        <f>2258+2627</f>
        <v>4885</v>
      </c>
      <c r="Q621" s="42">
        <v>44291</v>
      </c>
      <c r="R621" s="41" t="s">
        <v>1530</v>
      </c>
      <c r="S621" s="41" t="s">
        <v>38</v>
      </c>
      <c r="T621" s="24">
        <f t="shared" si="15"/>
        <v>5989.01</v>
      </c>
    </row>
    <row r="622" spans="1:20" x14ac:dyDescent="0.25">
      <c r="A622" s="36">
        <v>146</v>
      </c>
      <c r="B622" s="36" t="s">
        <v>1524</v>
      </c>
      <c r="C622" s="36">
        <v>6</v>
      </c>
      <c r="D622" s="36" t="s">
        <v>1563</v>
      </c>
      <c r="E622" s="36" t="s">
        <v>1576</v>
      </c>
      <c r="F622" s="37" t="s">
        <v>1577</v>
      </c>
      <c r="G622" s="37" t="s">
        <v>1578</v>
      </c>
      <c r="H622" s="37">
        <v>152</v>
      </c>
      <c r="I622" s="37">
        <v>0</v>
      </c>
      <c r="J622" s="38" t="s">
        <v>1579</v>
      </c>
      <c r="K622" s="38" t="s">
        <v>1580</v>
      </c>
      <c r="L622" s="39" t="s">
        <v>26</v>
      </c>
      <c r="M622" s="39" t="s">
        <v>26</v>
      </c>
      <c r="N622" s="40">
        <v>40.413434124752399</v>
      </c>
      <c r="O622" s="40">
        <v>-75.267673196240395</v>
      </c>
      <c r="P622" s="41">
        <f>400</f>
        <v>400</v>
      </c>
      <c r="Q622" s="42">
        <v>44291</v>
      </c>
      <c r="R622" s="41" t="s">
        <v>1544</v>
      </c>
      <c r="S622" s="41" t="s">
        <v>28</v>
      </c>
      <c r="T622" s="24">
        <f t="shared" si="15"/>
        <v>490.4</v>
      </c>
    </row>
    <row r="623" spans="1:20" x14ac:dyDescent="0.25">
      <c r="A623" s="9">
        <v>147</v>
      </c>
      <c r="B623" s="9" t="s">
        <v>1524</v>
      </c>
      <c r="C623" s="9">
        <v>6</v>
      </c>
      <c r="D623" s="9" t="s">
        <v>1563</v>
      </c>
      <c r="E623" s="9" t="s">
        <v>1581</v>
      </c>
      <c r="F623" s="37" t="s">
        <v>1582</v>
      </c>
      <c r="G623" s="37" t="s">
        <v>1583</v>
      </c>
      <c r="H623" s="37">
        <v>350</v>
      </c>
      <c r="I623" s="37">
        <v>0</v>
      </c>
      <c r="J623" s="38" t="s">
        <v>1584</v>
      </c>
      <c r="K623" s="38" t="s">
        <v>25</v>
      </c>
      <c r="L623" s="39" t="s">
        <v>26</v>
      </c>
      <c r="M623" s="39" t="s">
        <v>26</v>
      </c>
      <c r="N623" s="44">
        <v>40.449961148373397</v>
      </c>
      <c r="O623" s="44">
        <v>-75.150875943509902</v>
      </c>
      <c r="P623" s="41">
        <f>236+477</f>
        <v>713</v>
      </c>
      <c r="Q623" s="42">
        <v>44291</v>
      </c>
      <c r="R623" s="41" t="s">
        <v>1530</v>
      </c>
      <c r="S623" s="41" t="s">
        <v>38</v>
      </c>
      <c r="T623" s="24">
        <f t="shared" si="15"/>
        <v>874.13800000000003</v>
      </c>
    </row>
    <row r="624" spans="1:20" x14ac:dyDescent="0.25">
      <c r="A624" s="36">
        <v>148</v>
      </c>
      <c r="B624" s="36" t="s">
        <v>1524</v>
      </c>
      <c r="C624" s="36">
        <v>6</v>
      </c>
      <c r="D624" s="36" t="s">
        <v>1563</v>
      </c>
      <c r="E624" s="36" t="s">
        <v>1585</v>
      </c>
      <c r="F624" s="37" t="s">
        <v>1582</v>
      </c>
      <c r="G624" s="37" t="s">
        <v>1583</v>
      </c>
      <c r="H624" s="37">
        <v>400</v>
      </c>
      <c r="I624" s="37">
        <v>1384</v>
      </c>
      <c r="J624" s="38" t="s">
        <v>1586</v>
      </c>
      <c r="K624" s="38" t="s">
        <v>25</v>
      </c>
      <c r="L624" s="39" t="s">
        <v>26</v>
      </c>
      <c r="M624" s="39" t="s">
        <v>26</v>
      </c>
      <c r="N624" s="40">
        <v>40.487699873906401</v>
      </c>
      <c r="O624" s="40">
        <v>-75.171698738670401</v>
      </c>
      <c r="P624" s="41">
        <f>516</f>
        <v>516</v>
      </c>
      <c r="Q624" s="42">
        <v>44291</v>
      </c>
      <c r="R624" s="41" t="s">
        <v>1544</v>
      </c>
      <c r="S624" s="41" t="s">
        <v>38</v>
      </c>
      <c r="T624" s="24">
        <f t="shared" si="15"/>
        <v>632.61599999999999</v>
      </c>
    </row>
    <row r="625" spans="1:20" x14ac:dyDescent="0.25">
      <c r="A625" s="9">
        <v>149</v>
      </c>
      <c r="B625" s="9" t="s">
        <v>1524</v>
      </c>
      <c r="C625" s="9">
        <v>6</v>
      </c>
      <c r="D625" s="9" t="s">
        <v>1563</v>
      </c>
      <c r="E625" s="9" t="s">
        <v>435</v>
      </c>
      <c r="F625" s="37" t="s">
        <v>1587</v>
      </c>
      <c r="G625" s="37" t="s">
        <v>1588</v>
      </c>
      <c r="H625" s="37">
        <v>30</v>
      </c>
      <c r="I625" s="37">
        <v>0</v>
      </c>
      <c r="J625" s="38" t="s">
        <v>1589</v>
      </c>
      <c r="K625" s="38" t="s">
        <v>25</v>
      </c>
      <c r="L625" s="39" t="s">
        <v>26</v>
      </c>
      <c r="M625" s="39" t="s">
        <v>26</v>
      </c>
      <c r="N625" s="44">
        <v>40.4210592557409</v>
      </c>
      <c r="O625" s="44">
        <v>-75.448896744392101</v>
      </c>
      <c r="P625" s="41">
        <f>469</f>
        <v>469</v>
      </c>
      <c r="Q625" s="42">
        <v>44291</v>
      </c>
      <c r="R625" s="41" t="s">
        <v>1544</v>
      </c>
      <c r="S625" s="41" t="s">
        <v>38</v>
      </c>
      <c r="T625" s="24">
        <f t="shared" si="15"/>
        <v>574.99400000000003</v>
      </c>
    </row>
    <row r="626" spans="1:20" x14ac:dyDescent="0.25">
      <c r="A626" s="36">
        <v>150</v>
      </c>
      <c r="B626" s="36" t="s">
        <v>1524</v>
      </c>
      <c r="C626" s="36">
        <v>6</v>
      </c>
      <c r="D626" s="36" t="s">
        <v>1563</v>
      </c>
      <c r="E626" s="36" t="s">
        <v>1590</v>
      </c>
      <c r="F626" s="37" t="s">
        <v>1591</v>
      </c>
      <c r="G626" s="37" t="s">
        <v>1592</v>
      </c>
      <c r="H626" s="37">
        <v>70</v>
      </c>
      <c r="I626" s="37">
        <v>0</v>
      </c>
      <c r="J626" s="38" t="s">
        <v>1593</v>
      </c>
      <c r="K626" s="38" t="s">
        <v>25</v>
      </c>
      <c r="L626" s="39" t="s">
        <v>26</v>
      </c>
      <c r="M626" s="39" t="s">
        <v>26</v>
      </c>
      <c r="N626" s="40">
        <v>40.3628297695128</v>
      </c>
      <c r="O626" s="40">
        <v>-75.056289816453798</v>
      </c>
      <c r="P626" s="41">
        <f>2673</f>
        <v>2673</v>
      </c>
      <c r="Q626" s="42">
        <v>44284</v>
      </c>
      <c r="R626" s="41" t="s">
        <v>1544</v>
      </c>
      <c r="S626" s="41" t="s">
        <v>34</v>
      </c>
      <c r="T626" s="24">
        <f t="shared" si="15"/>
        <v>3277.098</v>
      </c>
    </row>
    <row r="627" spans="1:20" x14ac:dyDescent="0.25">
      <c r="A627" s="9">
        <v>151</v>
      </c>
      <c r="B627" s="9" t="s">
        <v>1524</v>
      </c>
      <c r="C627" s="9">
        <v>6</v>
      </c>
      <c r="D627" s="9" t="s">
        <v>1563</v>
      </c>
      <c r="E627" s="9" t="s">
        <v>1594</v>
      </c>
      <c r="F627" s="37" t="s">
        <v>1595</v>
      </c>
      <c r="G627" s="37" t="s">
        <v>1553</v>
      </c>
      <c r="H627" s="43">
        <v>40</v>
      </c>
      <c r="I627" s="43">
        <v>0</v>
      </c>
      <c r="J627" s="38" t="s">
        <v>1596</v>
      </c>
      <c r="K627" s="38" t="s">
        <v>25</v>
      </c>
      <c r="L627" s="38" t="s">
        <v>26</v>
      </c>
      <c r="M627" s="38" t="s">
        <v>26</v>
      </c>
      <c r="N627" s="44">
        <v>40.376981003509499</v>
      </c>
      <c r="O627" s="44">
        <v>-75.158349246649095</v>
      </c>
      <c r="P627" s="41">
        <f>2153</f>
        <v>2153</v>
      </c>
      <c r="Q627" s="42">
        <v>44284</v>
      </c>
      <c r="R627" s="41" t="s">
        <v>1544</v>
      </c>
      <c r="S627" s="41" t="s">
        <v>34</v>
      </c>
      <c r="T627" s="24">
        <f t="shared" si="15"/>
        <v>2639.578</v>
      </c>
    </row>
    <row r="628" spans="1:20" x14ac:dyDescent="0.25">
      <c r="A628" s="36">
        <v>152</v>
      </c>
      <c r="B628" s="36" t="s">
        <v>1524</v>
      </c>
      <c r="C628" s="36">
        <v>6</v>
      </c>
      <c r="D628" s="36" t="s">
        <v>1563</v>
      </c>
      <c r="E628" s="36" t="s">
        <v>1597</v>
      </c>
      <c r="F628" s="37" t="s">
        <v>1598</v>
      </c>
      <c r="G628" s="37" t="s">
        <v>602</v>
      </c>
      <c r="H628" s="37">
        <v>90</v>
      </c>
      <c r="I628" s="37">
        <v>0</v>
      </c>
      <c r="J628" s="38" t="s">
        <v>1599</v>
      </c>
      <c r="K628" s="38" t="s">
        <v>25</v>
      </c>
      <c r="L628" s="38" t="s">
        <v>26</v>
      </c>
      <c r="M628" s="39" t="s">
        <v>26</v>
      </c>
      <c r="N628" s="40">
        <v>40.563684837226901</v>
      </c>
      <c r="O628" s="40">
        <v>-75.105662791130797</v>
      </c>
      <c r="P628" s="41">
        <f>16+18</f>
        <v>34</v>
      </c>
      <c r="Q628" s="42">
        <v>44291</v>
      </c>
      <c r="R628" s="41" t="s">
        <v>1530</v>
      </c>
      <c r="S628" s="41" t="s">
        <v>38</v>
      </c>
      <c r="T628" s="24">
        <f t="shared" si="15"/>
        <v>41.683999999999997</v>
      </c>
    </row>
    <row r="629" spans="1:20" x14ac:dyDescent="0.25">
      <c r="A629" s="9">
        <v>153</v>
      </c>
      <c r="B629" s="9" t="s">
        <v>1524</v>
      </c>
      <c r="C629" s="9">
        <v>6</v>
      </c>
      <c r="D629" s="9" t="s">
        <v>1563</v>
      </c>
      <c r="E629" s="9" t="s">
        <v>1600</v>
      </c>
      <c r="F629" s="37" t="s">
        <v>1601</v>
      </c>
      <c r="G629" s="37" t="s">
        <v>1602</v>
      </c>
      <c r="H629" s="37">
        <v>50</v>
      </c>
      <c r="I629" s="37">
        <v>0</v>
      </c>
      <c r="J629" s="38" t="s">
        <v>1593</v>
      </c>
      <c r="K629" s="38" t="s">
        <v>25</v>
      </c>
      <c r="L629" s="39" t="s">
        <v>26</v>
      </c>
      <c r="M629" s="39" t="s">
        <v>26</v>
      </c>
      <c r="N629" s="44">
        <v>40.3321472676555</v>
      </c>
      <c r="O629" s="44">
        <v>-75.0052429615005</v>
      </c>
      <c r="P629" s="41">
        <f>1233</f>
        <v>1233</v>
      </c>
      <c r="Q629" s="42">
        <v>44284</v>
      </c>
      <c r="R629" s="41" t="s">
        <v>1544</v>
      </c>
      <c r="S629" s="41" t="s">
        <v>517</v>
      </c>
      <c r="T629" s="24">
        <f t="shared" si="15"/>
        <v>1511.6579999999999</v>
      </c>
    </row>
    <row r="630" spans="1:20" x14ac:dyDescent="0.25">
      <c r="A630" s="36">
        <v>154</v>
      </c>
      <c r="B630" s="36" t="s">
        <v>1524</v>
      </c>
      <c r="C630" s="36">
        <v>6</v>
      </c>
      <c r="D630" s="36" t="s">
        <v>1563</v>
      </c>
      <c r="E630" s="36" t="s">
        <v>1603</v>
      </c>
      <c r="F630" s="37" t="s">
        <v>1604</v>
      </c>
      <c r="G630" s="37" t="s">
        <v>1605</v>
      </c>
      <c r="H630" s="37">
        <v>104</v>
      </c>
      <c r="I630" s="37">
        <v>0</v>
      </c>
      <c r="J630" s="38" t="s">
        <v>1606</v>
      </c>
      <c r="K630" s="38" t="s">
        <v>25</v>
      </c>
      <c r="L630" s="39" t="s">
        <v>26</v>
      </c>
      <c r="M630" s="39" t="s">
        <v>26</v>
      </c>
      <c r="N630" s="40">
        <v>40.3612227564184</v>
      </c>
      <c r="O630" s="40">
        <v>-75.384723836762902</v>
      </c>
      <c r="P630" s="41">
        <f>353</f>
        <v>353</v>
      </c>
      <c r="Q630" s="42">
        <v>44291</v>
      </c>
      <c r="R630" s="41" t="s">
        <v>1544</v>
      </c>
      <c r="S630" s="41" t="s">
        <v>517</v>
      </c>
      <c r="T630" s="24">
        <f t="shared" si="15"/>
        <v>432.77800000000002</v>
      </c>
    </row>
    <row r="631" spans="1:20" x14ac:dyDescent="0.25">
      <c r="A631" s="9">
        <v>155</v>
      </c>
      <c r="B631" s="9" t="s">
        <v>1524</v>
      </c>
      <c r="C631" s="9">
        <v>6</v>
      </c>
      <c r="D631" s="9" t="s">
        <v>1563</v>
      </c>
      <c r="E631" s="9" t="s">
        <v>1564</v>
      </c>
      <c r="F631" s="37" t="s">
        <v>1607</v>
      </c>
      <c r="G631" s="37" t="s">
        <v>1608</v>
      </c>
      <c r="H631" s="37">
        <v>120</v>
      </c>
      <c r="I631" s="37">
        <v>1474</v>
      </c>
      <c r="J631" s="38" t="s">
        <v>1609</v>
      </c>
      <c r="K631" s="38" t="s">
        <v>25</v>
      </c>
      <c r="L631" s="39" t="s">
        <v>26</v>
      </c>
      <c r="M631" s="39" t="s">
        <v>26</v>
      </c>
      <c r="N631" s="44">
        <v>40.517925631412297</v>
      </c>
      <c r="O631" s="44">
        <v>-75.331818698782897</v>
      </c>
      <c r="P631" s="41">
        <f>707+627</f>
        <v>1334</v>
      </c>
      <c r="Q631" s="42">
        <v>44291</v>
      </c>
      <c r="R631" s="41" t="s">
        <v>1530</v>
      </c>
      <c r="S631" s="41" t="s">
        <v>517</v>
      </c>
      <c r="T631" s="24">
        <f t="shared" si="15"/>
        <v>1635.4839999999999</v>
      </c>
    </row>
    <row r="632" spans="1:20" x14ac:dyDescent="0.25">
      <c r="A632" s="36">
        <v>200</v>
      </c>
      <c r="B632" s="36" t="s">
        <v>1524</v>
      </c>
      <c r="C632" s="36">
        <v>5</v>
      </c>
      <c r="D632" s="36" t="s">
        <v>1610</v>
      </c>
      <c r="E632" s="36" t="s">
        <v>1611</v>
      </c>
      <c r="F632" s="37" t="s">
        <v>257</v>
      </c>
      <c r="G632" s="37" t="s">
        <v>751</v>
      </c>
      <c r="H632" s="43">
        <v>40</v>
      </c>
      <c r="I632" s="43">
        <v>443</v>
      </c>
      <c r="J632" s="38" t="s">
        <v>1612</v>
      </c>
      <c r="K632" s="38" t="s">
        <v>25</v>
      </c>
      <c r="L632" s="38" t="s">
        <v>26</v>
      </c>
      <c r="M632" s="38" t="s">
        <v>26</v>
      </c>
      <c r="N632" s="40">
        <v>40.833255438071497</v>
      </c>
      <c r="O632" s="40">
        <v>-75.877185817664795</v>
      </c>
      <c r="P632" s="41">
        <f>173+208</f>
        <v>381</v>
      </c>
      <c r="Q632" s="41" t="s">
        <v>1613</v>
      </c>
      <c r="R632" s="41" t="s">
        <v>1530</v>
      </c>
      <c r="S632" s="41" t="s">
        <v>38</v>
      </c>
      <c r="T632" s="24">
        <f t="shared" ref="T632:T663" si="16">P632*$X$7</f>
        <v>411.09899999999999</v>
      </c>
    </row>
    <row r="633" spans="1:20" x14ac:dyDescent="0.25">
      <c r="A633" s="9">
        <v>201</v>
      </c>
      <c r="B633" s="9" t="s">
        <v>1524</v>
      </c>
      <c r="C633" s="9">
        <v>5</v>
      </c>
      <c r="D633" s="9" t="s">
        <v>1610</v>
      </c>
      <c r="E633" s="9" t="s">
        <v>1614</v>
      </c>
      <c r="F633" s="37" t="s">
        <v>1615</v>
      </c>
      <c r="G633" s="37" t="s">
        <v>751</v>
      </c>
      <c r="H633" s="43">
        <v>120</v>
      </c>
      <c r="I633" s="43">
        <v>1825</v>
      </c>
      <c r="J633" s="38" t="s">
        <v>1450</v>
      </c>
      <c r="K633" s="38" t="s">
        <v>25</v>
      </c>
      <c r="L633" s="38" t="s">
        <v>26</v>
      </c>
      <c r="M633" s="38" t="s">
        <v>26</v>
      </c>
      <c r="N633" s="44">
        <v>40.861682715650403</v>
      </c>
      <c r="O633" s="44">
        <v>-75.818458092828607</v>
      </c>
      <c r="P633" s="41">
        <f>306+285</f>
        <v>591</v>
      </c>
      <c r="Q633" s="41" t="s">
        <v>1613</v>
      </c>
      <c r="R633" s="41" t="s">
        <v>1530</v>
      </c>
      <c r="S633" s="41" t="s">
        <v>38</v>
      </c>
      <c r="T633" s="24">
        <f t="shared" si="16"/>
        <v>637.68899999999996</v>
      </c>
    </row>
    <row r="634" spans="1:20" x14ac:dyDescent="0.25">
      <c r="A634" s="36">
        <v>202</v>
      </c>
      <c r="B634" s="36" t="s">
        <v>1524</v>
      </c>
      <c r="C634" s="36">
        <v>5</v>
      </c>
      <c r="D634" s="36" t="s">
        <v>1610</v>
      </c>
      <c r="E634" s="36" t="s">
        <v>1614</v>
      </c>
      <c r="F634" s="37" t="s">
        <v>1616</v>
      </c>
      <c r="G634" s="37" t="s">
        <v>751</v>
      </c>
      <c r="H634" s="43">
        <v>130</v>
      </c>
      <c r="I634" s="43">
        <v>1503</v>
      </c>
      <c r="J634" s="38" t="s">
        <v>1617</v>
      </c>
      <c r="K634" s="38" t="s">
        <v>25</v>
      </c>
      <c r="L634" s="38" t="s">
        <v>26</v>
      </c>
      <c r="M634" s="38" t="s">
        <v>26</v>
      </c>
      <c r="N634" s="40">
        <v>40.864706962137802</v>
      </c>
      <c r="O634" s="40">
        <v>-75.811057019111004</v>
      </c>
      <c r="P634" s="41">
        <f>1397+1518</f>
        <v>2915</v>
      </c>
      <c r="Q634" s="41" t="s">
        <v>1613</v>
      </c>
      <c r="R634" s="41" t="s">
        <v>1530</v>
      </c>
      <c r="S634" s="41" t="s">
        <v>517</v>
      </c>
      <c r="T634" s="24">
        <f t="shared" si="16"/>
        <v>3145.2849999999999</v>
      </c>
    </row>
    <row r="635" spans="1:20" x14ac:dyDescent="0.25">
      <c r="A635" s="9">
        <v>203</v>
      </c>
      <c r="B635" s="9" t="s">
        <v>1524</v>
      </c>
      <c r="C635" s="9">
        <v>5</v>
      </c>
      <c r="D635" s="9" t="s">
        <v>1610</v>
      </c>
      <c r="E635" s="9" t="s">
        <v>1618</v>
      </c>
      <c r="F635" s="37" t="s">
        <v>1619</v>
      </c>
      <c r="G635" s="37" t="s">
        <v>751</v>
      </c>
      <c r="H635" s="43">
        <v>210</v>
      </c>
      <c r="I635" s="43">
        <v>2180</v>
      </c>
      <c r="J635" s="38" t="s">
        <v>1620</v>
      </c>
      <c r="K635" s="38" t="s">
        <v>25</v>
      </c>
      <c r="L635" s="38" t="s">
        <v>26</v>
      </c>
      <c r="M635" s="38" t="s">
        <v>26</v>
      </c>
      <c r="N635" s="44">
        <v>40.863619275019602</v>
      </c>
      <c r="O635" s="44">
        <v>-75.737256267457596</v>
      </c>
      <c r="P635" s="41">
        <f>980+265</f>
        <v>1245</v>
      </c>
      <c r="Q635" s="42">
        <v>44215</v>
      </c>
      <c r="R635" s="41" t="s">
        <v>1530</v>
      </c>
      <c r="S635" s="41" t="s">
        <v>38</v>
      </c>
      <c r="T635" s="24">
        <f t="shared" si="16"/>
        <v>1343.355</v>
      </c>
    </row>
    <row r="636" spans="1:20" x14ac:dyDescent="0.25">
      <c r="A636" s="36">
        <v>204</v>
      </c>
      <c r="B636" s="36" t="s">
        <v>1524</v>
      </c>
      <c r="C636" s="36">
        <v>5</v>
      </c>
      <c r="D636" s="36" t="s">
        <v>1610</v>
      </c>
      <c r="E636" s="36" t="s">
        <v>1618</v>
      </c>
      <c r="F636" s="37" t="s">
        <v>1621</v>
      </c>
      <c r="G636" s="37" t="s">
        <v>751</v>
      </c>
      <c r="H636" s="43">
        <v>220</v>
      </c>
      <c r="I636" s="43">
        <v>168</v>
      </c>
      <c r="J636" s="38" t="s">
        <v>1622</v>
      </c>
      <c r="K636" s="38" t="s">
        <v>25</v>
      </c>
      <c r="L636" s="38" t="s">
        <v>26</v>
      </c>
      <c r="M636" s="38" t="s">
        <v>26</v>
      </c>
      <c r="N636" s="40">
        <v>40.863015957811697</v>
      </c>
      <c r="O636" s="40">
        <v>-75.738207462997906</v>
      </c>
      <c r="P636" s="41">
        <v>185</v>
      </c>
      <c r="Q636" s="42">
        <v>44215</v>
      </c>
      <c r="R636" s="41" t="s">
        <v>1544</v>
      </c>
      <c r="S636" s="41" t="s">
        <v>38</v>
      </c>
      <c r="T636" s="24">
        <f t="shared" si="16"/>
        <v>199.61499999999998</v>
      </c>
    </row>
    <row r="637" spans="1:20" x14ac:dyDescent="0.25">
      <c r="A637" s="9">
        <v>205</v>
      </c>
      <c r="B637" s="9" t="s">
        <v>1524</v>
      </c>
      <c r="C637" s="9">
        <v>5</v>
      </c>
      <c r="D637" s="9" t="s">
        <v>1610</v>
      </c>
      <c r="E637" s="9" t="s">
        <v>1430</v>
      </c>
      <c r="F637" s="37" t="s">
        <v>1615</v>
      </c>
      <c r="G637" s="37" t="s">
        <v>751</v>
      </c>
      <c r="H637" s="43">
        <v>250</v>
      </c>
      <c r="I637" s="43">
        <v>1571</v>
      </c>
      <c r="J637" s="38" t="s">
        <v>1623</v>
      </c>
      <c r="K637" s="38" t="s">
        <v>25</v>
      </c>
      <c r="L637" s="38" t="s">
        <v>26</v>
      </c>
      <c r="M637" s="38" t="s">
        <v>26</v>
      </c>
      <c r="N637" s="44">
        <v>40.859333455784999</v>
      </c>
      <c r="O637" s="44">
        <v>-75.717986065973093</v>
      </c>
      <c r="P637" s="41">
        <v>308</v>
      </c>
      <c r="Q637" s="42">
        <v>44215</v>
      </c>
      <c r="R637" s="41" t="s">
        <v>1544</v>
      </c>
      <c r="S637" s="41" t="s">
        <v>38</v>
      </c>
      <c r="T637" s="24">
        <f t="shared" si="16"/>
        <v>332.33199999999999</v>
      </c>
    </row>
    <row r="638" spans="1:20" x14ac:dyDescent="0.25">
      <c r="A638" s="36">
        <v>206</v>
      </c>
      <c r="B638" s="36" t="s">
        <v>1524</v>
      </c>
      <c r="C638" s="36">
        <v>5</v>
      </c>
      <c r="D638" s="36" t="s">
        <v>1610</v>
      </c>
      <c r="E638" s="36" t="s">
        <v>1430</v>
      </c>
      <c r="F638" s="37" t="s">
        <v>339</v>
      </c>
      <c r="G638" s="37" t="s">
        <v>751</v>
      </c>
      <c r="H638" s="43">
        <v>280</v>
      </c>
      <c r="I638" s="43">
        <v>83</v>
      </c>
      <c r="J638" s="38" t="s">
        <v>1624</v>
      </c>
      <c r="K638" s="38" t="s">
        <v>25</v>
      </c>
      <c r="L638" s="38" t="s">
        <v>26</v>
      </c>
      <c r="M638" s="38" t="s">
        <v>26</v>
      </c>
      <c r="N638" s="40">
        <v>40.841698117461704</v>
      </c>
      <c r="O638" s="40">
        <v>-75.710932114026505</v>
      </c>
      <c r="P638" s="41">
        <v>167</v>
      </c>
      <c r="Q638" s="42">
        <v>44215</v>
      </c>
      <c r="R638" s="41" t="s">
        <v>1544</v>
      </c>
      <c r="S638" s="41" t="s">
        <v>38</v>
      </c>
      <c r="T638" s="24">
        <f t="shared" si="16"/>
        <v>180.19299999999998</v>
      </c>
    </row>
    <row r="639" spans="1:20" x14ac:dyDescent="0.25">
      <c r="A639" s="9">
        <v>207</v>
      </c>
      <c r="B639" s="9" t="s">
        <v>1524</v>
      </c>
      <c r="C639" s="9">
        <v>5</v>
      </c>
      <c r="D639" s="9" t="s">
        <v>1610</v>
      </c>
      <c r="E639" s="9" t="s">
        <v>1098</v>
      </c>
      <c r="F639" s="37" t="s">
        <v>1625</v>
      </c>
      <c r="G639" s="37" t="s">
        <v>751</v>
      </c>
      <c r="H639" s="43">
        <v>320</v>
      </c>
      <c r="I639" s="43">
        <v>1133</v>
      </c>
      <c r="J639" s="38" t="s">
        <v>1626</v>
      </c>
      <c r="K639" s="38" t="s">
        <v>25</v>
      </c>
      <c r="L639" s="38" t="s">
        <v>26</v>
      </c>
      <c r="M639" s="38" t="s">
        <v>26</v>
      </c>
      <c r="N639" s="44">
        <v>40.835596270596298</v>
      </c>
      <c r="O639" s="44">
        <v>-75.688517812367294</v>
      </c>
      <c r="P639" s="41">
        <v>275</v>
      </c>
      <c r="Q639" s="42">
        <v>44218</v>
      </c>
      <c r="R639" s="41" t="s">
        <v>1544</v>
      </c>
      <c r="S639" s="41" t="s">
        <v>38</v>
      </c>
      <c r="T639" s="24">
        <f t="shared" si="16"/>
        <v>296.72499999999997</v>
      </c>
    </row>
    <row r="640" spans="1:20" x14ac:dyDescent="0.25">
      <c r="A640" s="36">
        <v>208</v>
      </c>
      <c r="B640" s="36" t="s">
        <v>1524</v>
      </c>
      <c r="C640" s="36">
        <v>5</v>
      </c>
      <c r="D640" s="36" t="s">
        <v>1610</v>
      </c>
      <c r="E640" s="36" t="s">
        <v>1098</v>
      </c>
      <c r="F640" s="37" t="s">
        <v>1625</v>
      </c>
      <c r="G640" s="37" t="s">
        <v>751</v>
      </c>
      <c r="H640" s="43">
        <v>330</v>
      </c>
      <c r="I640" s="43">
        <v>2527</v>
      </c>
      <c r="J640" s="38" t="s">
        <v>1627</v>
      </c>
      <c r="K640" s="38" t="s">
        <v>25</v>
      </c>
      <c r="L640" s="38" t="s">
        <v>26</v>
      </c>
      <c r="M640" s="38" t="s">
        <v>26</v>
      </c>
      <c r="N640" s="40">
        <v>40.838374069948401</v>
      </c>
      <c r="O640" s="40">
        <v>-75.676055628600096</v>
      </c>
      <c r="P640" s="41">
        <v>140</v>
      </c>
      <c r="Q640" s="42">
        <v>44218</v>
      </c>
      <c r="R640" s="41" t="s">
        <v>1544</v>
      </c>
      <c r="S640" s="41" t="s">
        <v>38</v>
      </c>
      <c r="T640" s="24">
        <f t="shared" si="16"/>
        <v>151.06</v>
      </c>
    </row>
    <row r="641" spans="1:20" x14ac:dyDescent="0.25">
      <c r="A641" s="9">
        <v>209</v>
      </c>
      <c r="B641" s="9" t="s">
        <v>1524</v>
      </c>
      <c r="C641" s="9">
        <v>5</v>
      </c>
      <c r="D641" s="9" t="s">
        <v>1610</v>
      </c>
      <c r="E641" s="9" t="s">
        <v>1098</v>
      </c>
      <c r="F641" s="37" t="s">
        <v>1625</v>
      </c>
      <c r="G641" s="37" t="s">
        <v>751</v>
      </c>
      <c r="H641" s="43">
        <v>330</v>
      </c>
      <c r="I641" s="43">
        <v>2848</v>
      </c>
      <c r="J641" s="38" t="s">
        <v>1628</v>
      </c>
      <c r="K641" s="38" t="s">
        <v>25</v>
      </c>
      <c r="L641" s="38" t="s">
        <v>26</v>
      </c>
      <c r="M641" s="38" t="s">
        <v>26</v>
      </c>
      <c r="N641" s="44">
        <v>40.8384685359553</v>
      </c>
      <c r="O641" s="44">
        <v>-75.674905981405303</v>
      </c>
      <c r="P641" s="41">
        <v>914</v>
      </c>
      <c r="Q641" s="42">
        <v>44218</v>
      </c>
      <c r="R641" s="41" t="s">
        <v>1544</v>
      </c>
      <c r="S641" s="41" t="s">
        <v>517</v>
      </c>
      <c r="T641" s="24">
        <f t="shared" si="16"/>
        <v>986.20600000000002</v>
      </c>
    </row>
    <row r="642" spans="1:20" x14ac:dyDescent="0.25">
      <c r="A642" s="36">
        <v>210</v>
      </c>
      <c r="B642" s="36" t="s">
        <v>1524</v>
      </c>
      <c r="C642" s="36">
        <v>5</v>
      </c>
      <c r="D642" s="36" t="s">
        <v>1610</v>
      </c>
      <c r="E642" s="36" t="s">
        <v>1098</v>
      </c>
      <c r="F642" s="37" t="s">
        <v>1625</v>
      </c>
      <c r="G642" s="37" t="s">
        <v>751</v>
      </c>
      <c r="H642" s="37">
        <v>380</v>
      </c>
      <c r="I642" s="37">
        <v>426</v>
      </c>
      <c r="J642" s="38" t="s">
        <v>1629</v>
      </c>
      <c r="K642" s="38" t="s">
        <v>25</v>
      </c>
      <c r="L642" s="39" t="s">
        <v>26</v>
      </c>
      <c r="M642" s="39" t="s">
        <v>26</v>
      </c>
      <c r="N642" s="40">
        <v>40.840210125477697</v>
      </c>
      <c r="O642" s="40">
        <v>-75.635518903023694</v>
      </c>
      <c r="P642" s="41">
        <v>1422</v>
      </c>
      <c r="Q642" s="42">
        <v>44218</v>
      </c>
      <c r="R642" s="41" t="s">
        <v>1544</v>
      </c>
      <c r="S642" s="41" t="s">
        <v>38</v>
      </c>
      <c r="T642" s="24">
        <f t="shared" si="16"/>
        <v>1534.338</v>
      </c>
    </row>
    <row r="643" spans="1:20" x14ac:dyDescent="0.25">
      <c r="A643" s="9">
        <v>211</v>
      </c>
      <c r="B643" s="9" t="s">
        <v>1524</v>
      </c>
      <c r="C643" s="9">
        <v>5</v>
      </c>
      <c r="D643" s="9" t="s">
        <v>1610</v>
      </c>
      <c r="E643" s="9" t="s">
        <v>1630</v>
      </c>
      <c r="F643" s="37" t="s">
        <v>1625</v>
      </c>
      <c r="G643" s="37" t="s">
        <v>751</v>
      </c>
      <c r="H643" s="37">
        <v>400</v>
      </c>
      <c r="I643" s="37">
        <v>585</v>
      </c>
      <c r="J643" s="38" t="s">
        <v>1631</v>
      </c>
      <c r="K643" s="38" t="s">
        <v>25</v>
      </c>
      <c r="L643" s="39" t="s">
        <v>26</v>
      </c>
      <c r="M643" s="39" t="s">
        <v>26</v>
      </c>
      <c r="N643" s="44">
        <v>40.848130778111603</v>
      </c>
      <c r="O643" s="44">
        <v>-75.619951180227901</v>
      </c>
      <c r="P643" s="41">
        <f>84+84</f>
        <v>168</v>
      </c>
      <c r="Q643" s="42">
        <v>44218</v>
      </c>
      <c r="R643" s="41" t="s">
        <v>1530</v>
      </c>
      <c r="S643" s="41" t="s">
        <v>517</v>
      </c>
      <c r="T643" s="24">
        <f t="shared" si="16"/>
        <v>181.27199999999999</v>
      </c>
    </row>
    <row r="644" spans="1:20" x14ac:dyDescent="0.25">
      <c r="A644" s="36">
        <v>212</v>
      </c>
      <c r="B644" s="36" t="s">
        <v>1524</v>
      </c>
      <c r="C644" s="36">
        <v>5</v>
      </c>
      <c r="D644" s="36" t="s">
        <v>1610</v>
      </c>
      <c r="E644" s="36" t="s">
        <v>1430</v>
      </c>
      <c r="F644" s="37" t="s">
        <v>1632</v>
      </c>
      <c r="G644" s="37" t="s">
        <v>1633</v>
      </c>
      <c r="H644" s="43">
        <v>30</v>
      </c>
      <c r="I644" s="43">
        <v>0</v>
      </c>
      <c r="J644" s="38" t="s">
        <v>1634</v>
      </c>
      <c r="K644" s="38" t="s">
        <v>25</v>
      </c>
      <c r="L644" s="38" t="s">
        <v>26</v>
      </c>
      <c r="M644" s="38" t="s">
        <v>26</v>
      </c>
      <c r="N644" s="40">
        <v>40.786887189692699</v>
      </c>
      <c r="O644" s="40">
        <v>-75.808219110268496</v>
      </c>
      <c r="P644" s="41">
        <f>15+17</f>
        <v>32</v>
      </c>
      <c r="Q644" s="42">
        <v>44225</v>
      </c>
      <c r="R644" s="41" t="s">
        <v>1530</v>
      </c>
      <c r="S644" s="41" t="s">
        <v>28</v>
      </c>
      <c r="T644" s="24">
        <f t="shared" si="16"/>
        <v>34.527999999999999</v>
      </c>
    </row>
    <row r="645" spans="1:20" x14ac:dyDescent="0.25">
      <c r="A645" s="9">
        <v>213</v>
      </c>
      <c r="B645" s="9" t="s">
        <v>1524</v>
      </c>
      <c r="C645" s="9">
        <v>5</v>
      </c>
      <c r="D645" s="9" t="s">
        <v>1610</v>
      </c>
      <c r="E645" s="9" t="s">
        <v>1430</v>
      </c>
      <c r="F645" s="37" t="s">
        <v>1632</v>
      </c>
      <c r="G645" s="37" t="s">
        <v>1633</v>
      </c>
      <c r="H645" s="43">
        <v>60</v>
      </c>
      <c r="I645" s="43">
        <v>2338</v>
      </c>
      <c r="J645" s="38" t="s">
        <v>1635</v>
      </c>
      <c r="K645" s="38" t="s">
        <v>25</v>
      </c>
      <c r="L645" s="38" t="s">
        <v>26</v>
      </c>
      <c r="M645" s="38" t="s">
        <v>26</v>
      </c>
      <c r="N645" s="44">
        <v>40.797544282639102</v>
      </c>
      <c r="O645" s="44">
        <v>-75.777660478187698</v>
      </c>
      <c r="P645" s="41">
        <f>199+199</f>
        <v>398</v>
      </c>
      <c r="Q645" s="41" t="s">
        <v>1636</v>
      </c>
      <c r="R645" s="41" t="s">
        <v>1530</v>
      </c>
      <c r="S645" s="41" t="s">
        <v>28</v>
      </c>
      <c r="T645" s="24">
        <f t="shared" si="16"/>
        <v>429.44200000000001</v>
      </c>
    </row>
    <row r="646" spans="1:20" x14ac:dyDescent="0.25">
      <c r="A646" s="36">
        <v>214</v>
      </c>
      <c r="B646" s="36" t="s">
        <v>1524</v>
      </c>
      <c r="C646" s="36">
        <v>5</v>
      </c>
      <c r="D646" s="36" t="s">
        <v>1610</v>
      </c>
      <c r="E646" s="36" t="s">
        <v>1430</v>
      </c>
      <c r="F646" s="37" t="s">
        <v>1632</v>
      </c>
      <c r="G646" s="37" t="s">
        <v>1633</v>
      </c>
      <c r="H646" s="43">
        <v>90</v>
      </c>
      <c r="I646" s="43">
        <v>2595</v>
      </c>
      <c r="J646" s="38" t="s">
        <v>1637</v>
      </c>
      <c r="K646" s="38" t="s">
        <v>25</v>
      </c>
      <c r="L646" s="38" t="s">
        <v>26</v>
      </c>
      <c r="M646" s="38" t="s">
        <v>26</v>
      </c>
      <c r="N646" s="40">
        <v>40.807888634979498</v>
      </c>
      <c r="O646" s="40">
        <v>-75.752554230729103</v>
      </c>
      <c r="P646" s="41">
        <v>750</v>
      </c>
      <c r="Q646" s="42">
        <v>44225</v>
      </c>
      <c r="R646" s="41" t="s">
        <v>27</v>
      </c>
      <c r="S646" s="41" t="s">
        <v>28</v>
      </c>
      <c r="T646" s="24">
        <f t="shared" si="16"/>
        <v>809.25</v>
      </c>
    </row>
    <row r="647" spans="1:20" x14ac:dyDescent="0.25">
      <c r="A647" s="9">
        <v>215</v>
      </c>
      <c r="B647" s="9" t="s">
        <v>1524</v>
      </c>
      <c r="C647" s="9">
        <v>5</v>
      </c>
      <c r="D647" s="9" t="s">
        <v>1610</v>
      </c>
      <c r="E647" s="9" t="s">
        <v>1430</v>
      </c>
      <c r="F647" s="37" t="s">
        <v>1632</v>
      </c>
      <c r="G647" s="37" t="s">
        <v>1633</v>
      </c>
      <c r="H647" s="43">
        <v>100</v>
      </c>
      <c r="I647" s="43">
        <v>2407</v>
      </c>
      <c r="J647" s="38" t="s">
        <v>1638</v>
      </c>
      <c r="K647" s="38" t="s">
        <v>1639</v>
      </c>
      <c r="L647" s="38" t="s">
        <v>26</v>
      </c>
      <c r="M647" s="38" t="s">
        <v>26</v>
      </c>
      <c r="N647" s="44">
        <v>40.811360821854898</v>
      </c>
      <c r="O647" s="44">
        <v>-75.742929878331907</v>
      </c>
      <c r="P647" s="41">
        <f>2950+2942</f>
        <v>5892</v>
      </c>
      <c r="Q647" s="41" t="s">
        <v>1636</v>
      </c>
      <c r="R647" s="41" t="s">
        <v>1530</v>
      </c>
      <c r="S647" s="41" t="s">
        <v>28</v>
      </c>
      <c r="T647" s="24">
        <f t="shared" si="16"/>
        <v>6357.4679999999998</v>
      </c>
    </row>
    <row r="648" spans="1:20" x14ac:dyDescent="0.25">
      <c r="A648" s="36">
        <v>216</v>
      </c>
      <c r="B648" s="36" t="s">
        <v>1524</v>
      </c>
      <c r="C648" s="36">
        <v>5</v>
      </c>
      <c r="D648" s="36" t="s">
        <v>1610</v>
      </c>
      <c r="E648" s="36" t="s">
        <v>1430</v>
      </c>
      <c r="F648" s="37" t="s">
        <v>1632</v>
      </c>
      <c r="G648" s="37" t="s">
        <v>1633</v>
      </c>
      <c r="H648" s="43">
        <v>110</v>
      </c>
      <c r="I648" s="43">
        <v>1392</v>
      </c>
      <c r="J648" s="38" t="s">
        <v>188</v>
      </c>
      <c r="K648" s="38" t="s">
        <v>26</v>
      </c>
      <c r="L648" s="38" t="s">
        <v>26</v>
      </c>
      <c r="M648" s="38" t="s">
        <v>26</v>
      </c>
      <c r="N648" s="40">
        <v>40.815373513654599</v>
      </c>
      <c r="O648" s="40">
        <v>-75.733993683722005</v>
      </c>
      <c r="P648" s="41">
        <f>4494+2820</f>
        <v>7314</v>
      </c>
      <c r="Q648" s="41" t="s">
        <v>1636</v>
      </c>
      <c r="R648" s="41" t="s">
        <v>1530</v>
      </c>
      <c r="S648" s="41" t="s">
        <v>28</v>
      </c>
      <c r="T648" s="24">
        <f t="shared" si="16"/>
        <v>7891.8059999999996</v>
      </c>
    </row>
    <row r="649" spans="1:20" x14ac:dyDescent="0.25">
      <c r="A649" s="9">
        <v>217</v>
      </c>
      <c r="B649" s="9" t="s">
        <v>1524</v>
      </c>
      <c r="C649" s="9">
        <v>5</v>
      </c>
      <c r="D649" s="9" t="s">
        <v>1610</v>
      </c>
      <c r="E649" s="9" t="s">
        <v>1430</v>
      </c>
      <c r="F649" s="37" t="s">
        <v>1632</v>
      </c>
      <c r="G649" s="37" t="s">
        <v>1633</v>
      </c>
      <c r="H649" s="43">
        <v>120</v>
      </c>
      <c r="I649" s="43">
        <v>20</v>
      </c>
      <c r="J649" s="38" t="s">
        <v>1640</v>
      </c>
      <c r="K649" s="38" t="s">
        <v>25</v>
      </c>
      <c r="L649" s="38" t="s">
        <v>26</v>
      </c>
      <c r="M649" s="38" t="s">
        <v>26</v>
      </c>
      <c r="N649" s="44">
        <v>40.816665203996003</v>
      </c>
      <c r="O649" s="44">
        <v>-75.731180584043798</v>
      </c>
      <c r="P649" s="41">
        <f>489+888</f>
        <v>1377</v>
      </c>
      <c r="Q649" s="42">
        <v>44225</v>
      </c>
      <c r="R649" s="41" t="s">
        <v>1530</v>
      </c>
      <c r="S649" s="41" t="s">
        <v>34</v>
      </c>
      <c r="T649" s="24">
        <f t="shared" si="16"/>
        <v>1485.7829999999999</v>
      </c>
    </row>
    <row r="650" spans="1:20" x14ac:dyDescent="0.25">
      <c r="A650" s="36">
        <v>218</v>
      </c>
      <c r="B650" s="36" t="s">
        <v>1524</v>
      </c>
      <c r="C650" s="36">
        <v>5</v>
      </c>
      <c r="D650" s="36" t="s">
        <v>1610</v>
      </c>
      <c r="E650" s="36" t="s">
        <v>1641</v>
      </c>
      <c r="F650" s="37" t="s">
        <v>1642</v>
      </c>
      <c r="G650" s="37" t="s">
        <v>1643</v>
      </c>
      <c r="H650" s="37">
        <v>332</v>
      </c>
      <c r="I650" s="37">
        <v>1051</v>
      </c>
      <c r="J650" s="38" t="s">
        <v>1644</v>
      </c>
      <c r="K650" s="38" t="s">
        <v>25</v>
      </c>
      <c r="L650" s="39" t="s">
        <v>26</v>
      </c>
      <c r="M650" s="39" t="s">
        <v>26</v>
      </c>
      <c r="N650" s="40">
        <v>40.999882967125302</v>
      </c>
      <c r="O650" s="40">
        <v>-75.556188427126401</v>
      </c>
      <c r="P650" s="41">
        <v>274</v>
      </c>
      <c r="Q650" s="41" t="s">
        <v>1645</v>
      </c>
      <c r="R650" s="41" t="s">
        <v>1544</v>
      </c>
      <c r="S650" s="41" t="s">
        <v>28</v>
      </c>
      <c r="T650" s="24">
        <f t="shared" si="16"/>
        <v>295.64600000000002</v>
      </c>
    </row>
    <row r="651" spans="1:20" x14ac:dyDescent="0.25">
      <c r="A651" s="9">
        <v>219</v>
      </c>
      <c r="B651" s="9" t="s">
        <v>1524</v>
      </c>
      <c r="C651" s="9">
        <v>5</v>
      </c>
      <c r="D651" s="9" t="s">
        <v>1610</v>
      </c>
      <c r="E651" s="9" t="s">
        <v>1641</v>
      </c>
      <c r="F651" s="37" t="s">
        <v>1642</v>
      </c>
      <c r="G651" s="37" t="s">
        <v>1643</v>
      </c>
      <c r="H651" s="43">
        <v>342</v>
      </c>
      <c r="I651" s="43">
        <v>0</v>
      </c>
      <c r="J651" s="38" t="s">
        <v>1646</v>
      </c>
      <c r="K651" s="38" t="s">
        <v>25</v>
      </c>
      <c r="L651" s="38" t="s">
        <v>26</v>
      </c>
      <c r="M651" s="38" t="s">
        <v>26</v>
      </c>
      <c r="N651" s="44">
        <v>40.999581901433501</v>
      </c>
      <c r="O651" s="44">
        <v>-75.552291036065299</v>
      </c>
      <c r="P651" s="41">
        <v>591</v>
      </c>
      <c r="Q651" s="41" t="s">
        <v>1645</v>
      </c>
      <c r="R651" s="41" t="s">
        <v>1544</v>
      </c>
      <c r="S651" s="41" t="s">
        <v>28</v>
      </c>
      <c r="T651" s="24">
        <f t="shared" si="16"/>
        <v>637.68899999999996</v>
      </c>
    </row>
    <row r="652" spans="1:20" x14ac:dyDescent="0.25">
      <c r="A652" s="36">
        <v>220</v>
      </c>
      <c r="B652" s="36" t="s">
        <v>1524</v>
      </c>
      <c r="C652" s="36">
        <v>5</v>
      </c>
      <c r="D652" s="36" t="s">
        <v>1610</v>
      </c>
      <c r="E652" s="36" t="s">
        <v>1647</v>
      </c>
      <c r="F652" s="37" t="s">
        <v>1648</v>
      </c>
      <c r="G652" s="37" t="s">
        <v>1649</v>
      </c>
      <c r="H652" s="37">
        <v>60</v>
      </c>
      <c r="I652" s="37">
        <v>0</v>
      </c>
      <c r="J652" s="38" t="s">
        <v>1650</v>
      </c>
      <c r="K652" s="38" t="s">
        <v>25</v>
      </c>
      <c r="L652" s="39" t="s">
        <v>26</v>
      </c>
      <c r="M652" s="39" t="s">
        <v>26</v>
      </c>
      <c r="N652" s="40">
        <v>40.770498996311197</v>
      </c>
      <c r="O652" s="40">
        <v>-75.741752195559499</v>
      </c>
      <c r="P652" s="41">
        <v>381</v>
      </c>
      <c r="Q652" s="42">
        <v>44225</v>
      </c>
      <c r="R652" s="41" t="s">
        <v>1544</v>
      </c>
      <c r="S652" s="41" t="s">
        <v>28</v>
      </c>
      <c r="T652" s="24">
        <f t="shared" si="16"/>
        <v>411.09899999999999</v>
      </c>
    </row>
    <row r="653" spans="1:20" x14ac:dyDescent="0.25">
      <c r="A653" s="9">
        <v>221</v>
      </c>
      <c r="B653" s="9" t="s">
        <v>1524</v>
      </c>
      <c r="C653" s="9">
        <v>5</v>
      </c>
      <c r="D653" s="9" t="s">
        <v>1610</v>
      </c>
      <c r="E653" s="9" t="s">
        <v>1611</v>
      </c>
      <c r="F653" s="37" t="s">
        <v>1651</v>
      </c>
      <c r="G653" s="37" t="s">
        <v>1652</v>
      </c>
      <c r="H653" s="43">
        <v>10</v>
      </c>
      <c r="I653" s="43">
        <v>212</v>
      </c>
      <c r="J653" s="38" t="s">
        <v>1653</v>
      </c>
      <c r="K653" s="38" t="s">
        <v>25</v>
      </c>
      <c r="L653" s="38" t="s">
        <v>26</v>
      </c>
      <c r="M653" s="38" t="s">
        <v>26</v>
      </c>
      <c r="N653" s="44">
        <v>40.831314927971299</v>
      </c>
      <c r="O653" s="44">
        <v>-75.882181426799605</v>
      </c>
      <c r="P653" s="41">
        <f>389+344</f>
        <v>733</v>
      </c>
      <c r="Q653" s="41" t="s">
        <v>1613</v>
      </c>
      <c r="R653" s="41" t="s">
        <v>1530</v>
      </c>
      <c r="S653" s="41" t="s">
        <v>34</v>
      </c>
      <c r="T653" s="24">
        <f t="shared" si="16"/>
        <v>790.90699999999993</v>
      </c>
    </row>
    <row r="654" spans="1:20" x14ac:dyDescent="0.25">
      <c r="A654" s="36">
        <v>222</v>
      </c>
      <c r="B654" s="36" t="s">
        <v>1524</v>
      </c>
      <c r="C654" s="36">
        <v>5</v>
      </c>
      <c r="D654" s="36" t="s">
        <v>1610</v>
      </c>
      <c r="E654" s="36" t="s">
        <v>1654</v>
      </c>
      <c r="F654" s="37" t="s">
        <v>1655</v>
      </c>
      <c r="G654" s="37" t="s">
        <v>1652</v>
      </c>
      <c r="H654" s="43">
        <v>230</v>
      </c>
      <c r="I654" s="43">
        <v>317</v>
      </c>
      <c r="J654" s="38" t="s">
        <v>1656</v>
      </c>
      <c r="K654" s="38" t="s">
        <v>25</v>
      </c>
      <c r="L654" s="38" t="s">
        <v>26</v>
      </c>
      <c r="M654" s="38" t="s">
        <v>26</v>
      </c>
      <c r="N654" s="40">
        <v>40.830642805794298</v>
      </c>
      <c r="O654" s="40">
        <v>-75.721605308154594</v>
      </c>
      <c r="P654" s="41">
        <v>792</v>
      </c>
      <c r="Q654" s="42">
        <v>44225</v>
      </c>
      <c r="R654" s="41" t="s">
        <v>1544</v>
      </c>
      <c r="S654" s="41" t="s">
        <v>38</v>
      </c>
      <c r="T654" s="24">
        <f t="shared" si="16"/>
        <v>854.56799999999998</v>
      </c>
    </row>
    <row r="655" spans="1:20" x14ac:dyDescent="0.25">
      <c r="A655" s="9">
        <v>223</v>
      </c>
      <c r="B655" s="9" t="s">
        <v>1524</v>
      </c>
      <c r="C655" s="9">
        <v>5</v>
      </c>
      <c r="D655" s="9" t="s">
        <v>1610</v>
      </c>
      <c r="E655" s="9" t="s">
        <v>1618</v>
      </c>
      <c r="F655" s="37" t="s">
        <v>1657</v>
      </c>
      <c r="G655" s="37" t="s">
        <v>1658</v>
      </c>
      <c r="H655" s="43">
        <v>20</v>
      </c>
      <c r="I655" s="43">
        <v>657</v>
      </c>
      <c r="J655" s="38" t="s">
        <v>1659</v>
      </c>
      <c r="K655" s="38" t="s">
        <v>25</v>
      </c>
      <c r="L655" s="38" t="s">
        <v>26</v>
      </c>
      <c r="M655" s="38" t="s">
        <v>26</v>
      </c>
      <c r="N655" s="44">
        <v>40.872554805844899</v>
      </c>
      <c r="O655" s="44">
        <v>-75.735091948147698</v>
      </c>
      <c r="P655" s="41">
        <v>650</v>
      </c>
      <c r="Q655" s="42">
        <v>44210</v>
      </c>
      <c r="R655" s="41" t="s">
        <v>27</v>
      </c>
      <c r="S655" s="41" t="s">
        <v>28</v>
      </c>
      <c r="T655" s="24">
        <f t="shared" si="16"/>
        <v>701.35</v>
      </c>
    </row>
    <row r="656" spans="1:20" x14ac:dyDescent="0.25">
      <c r="A656" s="36">
        <v>224</v>
      </c>
      <c r="B656" s="36" t="s">
        <v>1524</v>
      </c>
      <c r="C656" s="36">
        <v>5</v>
      </c>
      <c r="D656" s="36" t="s">
        <v>1610</v>
      </c>
      <c r="E656" s="36" t="s">
        <v>1641</v>
      </c>
      <c r="F656" s="37" t="s">
        <v>1660</v>
      </c>
      <c r="G656" s="37" t="s">
        <v>1658</v>
      </c>
      <c r="H656" s="37">
        <v>100</v>
      </c>
      <c r="I656" s="37">
        <v>1034</v>
      </c>
      <c r="J656" s="38" t="s">
        <v>1661</v>
      </c>
      <c r="K656" s="38" t="s">
        <v>25</v>
      </c>
      <c r="L656" s="39" t="s">
        <v>26</v>
      </c>
      <c r="M656" s="39" t="s">
        <v>26</v>
      </c>
      <c r="N656" s="40">
        <v>40.904087794233597</v>
      </c>
      <c r="O656" s="40">
        <v>-75.681967954085394</v>
      </c>
      <c r="P656" s="41">
        <v>153</v>
      </c>
      <c r="Q656" s="42">
        <v>44210</v>
      </c>
      <c r="R656" s="41" t="s">
        <v>27</v>
      </c>
      <c r="S656" s="41" t="s">
        <v>517</v>
      </c>
      <c r="T656" s="24">
        <f t="shared" si="16"/>
        <v>165.08699999999999</v>
      </c>
    </row>
    <row r="657" spans="1:20" x14ac:dyDescent="0.25">
      <c r="A657" s="9">
        <v>225</v>
      </c>
      <c r="B657" s="9" t="s">
        <v>1524</v>
      </c>
      <c r="C657" s="9">
        <v>5</v>
      </c>
      <c r="D657" s="9" t="s">
        <v>1610</v>
      </c>
      <c r="E657" s="9" t="s">
        <v>1641</v>
      </c>
      <c r="F657" s="37" t="s">
        <v>1660</v>
      </c>
      <c r="G657" s="37" t="s">
        <v>1658</v>
      </c>
      <c r="H657" s="37">
        <v>180</v>
      </c>
      <c r="I657" s="37">
        <v>1109</v>
      </c>
      <c r="J657" s="38" t="s">
        <v>1662</v>
      </c>
      <c r="K657" s="38" t="s">
        <v>1663</v>
      </c>
      <c r="L657" s="39" t="s">
        <v>26</v>
      </c>
      <c r="M657" s="39" t="s">
        <v>26</v>
      </c>
      <c r="N657" s="44">
        <v>40.9517878418972</v>
      </c>
      <c r="O657" s="44">
        <v>-75.651172886436299</v>
      </c>
      <c r="P657" s="41">
        <v>1022</v>
      </c>
      <c r="Q657" s="42">
        <v>44210</v>
      </c>
      <c r="R657" s="41" t="s">
        <v>27</v>
      </c>
      <c r="S657" s="41" t="s">
        <v>38</v>
      </c>
      <c r="T657" s="24">
        <f t="shared" si="16"/>
        <v>1102.7380000000001</v>
      </c>
    </row>
    <row r="658" spans="1:20" x14ac:dyDescent="0.25">
      <c r="A658" s="36">
        <v>226</v>
      </c>
      <c r="B658" s="36" t="s">
        <v>1524</v>
      </c>
      <c r="C658" s="36">
        <v>5</v>
      </c>
      <c r="D658" s="36" t="s">
        <v>1610</v>
      </c>
      <c r="E658" s="36" t="s">
        <v>1664</v>
      </c>
      <c r="F658" s="37" t="s">
        <v>1665</v>
      </c>
      <c r="G658" s="37" t="s">
        <v>421</v>
      </c>
      <c r="H658" s="37">
        <v>20</v>
      </c>
      <c r="I658" s="37">
        <v>1774</v>
      </c>
      <c r="J658" s="38" t="s">
        <v>1666</v>
      </c>
      <c r="K658" s="38" t="s">
        <v>1663</v>
      </c>
      <c r="L658" s="39" t="s">
        <v>26</v>
      </c>
      <c r="M658" s="39" t="s">
        <v>26</v>
      </c>
      <c r="N658" s="40">
        <v>41.0550782429154</v>
      </c>
      <c r="O658" s="40">
        <v>-75.584735947324006</v>
      </c>
      <c r="P658" s="41">
        <f>437+453</f>
        <v>890</v>
      </c>
      <c r="Q658" s="41" t="s">
        <v>1613</v>
      </c>
      <c r="R658" s="41" t="s">
        <v>1530</v>
      </c>
      <c r="S658" s="41" t="s">
        <v>517</v>
      </c>
      <c r="T658" s="24">
        <f t="shared" si="16"/>
        <v>960.31</v>
      </c>
    </row>
    <row r="659" spans="1:20" x14ac:dyDescent="0.25">
      <c r="A659" s="9">
        <v>227</v>
      </c>
      <c r="B659" s="9" t="s">
        <v>1524</v>
      </c>
      <c r="C659" s="9">
        <v>5</v>
      </c>
      <c r="D659" s="9" t="s">
        <v>1610</v>
      </c>
      <c r="E659" s="9" t="s">
        <v>1098</v>
      </c>
      <c r="F659" s="37" t="s">
        <v>1667</v>
      </c>
      <c r="G659" s="37" t="s">
        <v>1668</v>
      </c>
      <c r="H659" s="37">
        <v>150</v>
      </c>
      <c r="I659" s="37">
        <v>1509</v>
      </c>
      <c r="J659" s="38" t="s">
        <v>1669</v>
      </c>
      <c r="K659" s="38" t="s">
        <v>25</v>
      </c>
      <c r="L659" s="39" t="s">
        <v>26</v>
      </c>
      <c r="M659" s="39" t="s">
        <v>26</v>
      </c>
      <c r="N659" s="44">
        <v>40.855474548001297</v>
      </c>
      <c r="O659" s="44">
        <v>-75.654488997538493</v>
      </c>
      <c r="P659" s="41">
        <f>14+6</f>
        <v>20</v>
      </c>
      <c r="Q659" s="42">
        <v>44218</v>
      </c>
      <c r="R659" s="41" t="s">
        <v>1530</v>
      </c>
      <c r="S659" s="41" t="s">
        <v>517</v>
      </c>
      <c r="T659" s="24">
        <f t="shared" si="16"/>
        <v>21.58</v>
      </c>
    </row>
    <row r="660" spans="1:20" x14ac:dyDescent="0.25">
      <c r="A660" s="36">
        <v>228</v>
      </c>
      <c r="B660" s="36" t="s">
        <v>1524</v>
      </c>
      <c r="C660" s="36">
        <v>5</v>
      </c>
      <c r="D660" s="36" t="s">
        <v>1610</v>
      </c>
      <c r="E660" s="36" t="s">
        <v>1098</v>
      </c>
      <c r="F660" s="37" t="s">
        <v>1667</v>
      </c>
      <c r="G660" s="37" t="s">
        <v>1668</v>
      </c>
      <c r="H660" s="43">
        <v>190</v>
      </c>
      <c r="I660" s="43">
        <v>1704</v>
      </c>
      <c r="J660" s="38" t="s">
        <v>1670</v>
      </c>
      <c r="K660" s="38" t="s">
        <v>25</v>
      </c>
      <c r="L660" s="38" t="s">
        <v>26</v>
      </c>
      <c r="M660" s="38" t="s">
        <v>26</v>
      </c>
      <c r="N660" s="40">
        <v>40.841955052228798</v>
      </c>
      <c r="O660" s="40">
        <v>-75.691517620297304</v>
      </c>
      <c r="P660" s="41">
        <v>1677</v>
      </c>
      <c r="Q660" s="42">
        <v>44218</v>
      </c>
      <c r="R660" s="41" t="s">
        <v>1544</v>
      </c>
      <c r="S660" s="41" t="s">
        <v>517</v>
      </c>
      <c r="T660" s="24">
        <f t="shared" si="16"/>
        <v>1809.4829999999999</v>
      </c>
    </row>
    <row r="661" spans="1:20" x14ac:dyDescent="0.25">
      <c r="A661" s="9">
        <v>229</v>
      </c>
      <c r="B661" s="9" t="s">
        <v>1524</v>
      </c>
      <c r="C661" s="9">
        <v>5</v>
      </c>
      <c r="D661" s="9" t="s">
        <v>1610</v>
      </c>
      <c r="E661" s="9" t="s">
        <v>1654</v>
      </c>
      <c r="F661" s="37" t="s">
        <v>1284</v>
      </c>
      <c r="G661" s="37" t="s">
        <v>1671</v>
      </c>
      <c r="H661" s="43">
        <v>10</v>
      </c>
      <c r="I661" s="43">
        <v>1431</v>
      </c>
      <c r="J661" s="38" t="s">
        <v>1672</v>
      </c>
      <c r="K661" s="38" t="s">
        <v>25</v>
      </c>
      <c r="L661" s="38" t="s">
        <v>26</v>
      </c>
      <c r="M661" s="38" t="s">
        <v>26</v>
      </c>
      <c r="N661" s="44">
        <v>40.833080638009299</v>
      </c>
      <c r="O661" s="44">
        <v>-75.716950389964694</v>
      </c>
      <c r="P661" s="41">
        <v>520</v>
      </c>
      <c r="Q661" s="42">
        <v>44225</v>
      </c>
      <c r="R661" s="41" t="s">
        <v>1544</v>
      </c>
      <c r="S661" s="41" t="s">
        <v>34</v>
      </c>
      <c r="T661" s="24">
        <f t="shared" si="16"/>
        <v>561.07999999999993</v>
      </c>
    </row>
    <row r="662" spans="1:20" x14ac:dyDescent="0.25">
      <c r="A662" s="36">
        <v>230</v>
      </c>
      <c r="B662" s="36" t="s">
        <v>1524</v>
      </c>
      <c r="C662" s="36">
        <v>5</v>
      </c>
      <c r="D662" s="36" t="s">
        <v>1610</v>
      </c>
      <c r="E662" s="36" t="s">
        <v>1654</v>
      </c>
      <c r="F662" s="37" t="s">
        <v>1400</v>
      </c>
      <c r="G662" s="37" t="s">
        <v>1671</v>
      </c>
      <c r="H662" s="43">
        <v>30</v>
      </c>
      <c r="I662" s="43">
        <v>562</v>
      </c>
      <c r="J662" s="38" t="s">
        <v>1673</v>
      </c>
      <c r="K662" s="38" t="s">
        <v>25</v>
      </c>
      <c r="L662" s="38" t="s">
        <v>26</v>
      </c>
      <c r="M662" s="38" t="s">
        <v>26</v>
      </c>
      <c r="N662" s="40">
        <v>40.833937705849998</v>
      </c>
      <c r="O662" s="40">
        <v>-75.710346359895993</v>
      </c>
      <c r="P662" s="41">
        <f>884+789</f>
        <v>1673</v>
      </c>
      <c r="Q662" s="42">
        <v>44225</v>
      </c>
      <c r="R662" s="41" t="s">
        <v>1530</v>
      </c>
      <c r="S662" s="41" t="s">
        <v>28</v>
      </c>
      <c r="T662" s="24">
        <f t="shared" si="16"/>
        <v>1805.1669999999999</v>
      </c>
    </row>
    <row r="663" spans="1:20" x14ac:dyDescent="0.25">
      <c r="A663" s="9">
        <v>231</v>
      </c>
      <c r="B663" s="9" t="s">
        <v>1524</v>
      </c>
      <c r="C663" s="9">
        <v>5</v>
      </c>
      <c r="D663" s="9" t="s">
        <v>1610</v>
      </c>
      <c r="E663" s="9" t="s">
        <v>1618</v>
      </c>
      <c r="F663" s="37" t="s">
        <v>1674</v>
      </c>
      <c r="G663" s="37" t="s">
        <v>1675</v>
      </c>
      <c r="H663" s="43">
        <v>170</v>
      </c>
      <c r="I663" s="43">
        <v>2098</v>
      </c>
      <c r="J663" s="38" t="s">
        <v>1676</v>
      </c>
      <c r="K663" s="38" t="s">
        <v>25</v>
      </c>
      <c r="L663" s="38" t="s">
        <v>26</v>
      </c>
      <c r="M663" s="38" t="s">
        <v>26</v>
      </c>
      <c r="N663" s="44">
        <v>40.864047544825397</v>
      </c>
      <c r="O663" s="44">
        <v>-75.741696770248495</v>
      </c>
      <c r="P663" s="41">
        <v>330</v>
      </c>
      <c r="Q663" s="42">
        <v>44215</v>
      </c>
      <c r="R663" s="41" t="s">
        <v>27</v>
      </c>
      <c r="S663" s="41" t="s">
        <v>34</v>
      </c>
      <c r="T663" s="24">
        <f t="shared" si="16"/>
        <v>356.07</v>
      </c>
    </row>
    <row r="664" spans="1:20" x14ac:dyDescent="0.25">
      <c r="A664" s="36">
        <v>258</v>
      </c>
      <c r="B664" s="36" t="s">
        <v>1524</v>
      </c>
      <c r="C664" s="36">
        <v>6</v>
      </c>
      <c r="D664" s="36" t="s">
        <v>1677</v>
      </c>
      <c r="E664" s="36" t="s">
        <v>1678</v>
      </c>
      <c r="F664" s="37" t="s">
        <v>1679</v>
      </c>
      <c r="G664" s="37" t="s">
        <v>1528</v>
      </c>
      <c r="H664" s="37">
        <v>330</v>
      </c>
      <c r="I664" s="37">
        <v>0</v>
      </c>
      <c r="J664" s="38" t="s">
        <v>1680</v>
      </c>
      <c r="K664" s="38" t="s">
        <v>25</v>
      </c>
      <c r="L664" s="39" t="s">
        <v>26</v>
      </c>
      <c r="M664" s="39" t="s">
        <v>26</v>
      </c>
      <c r="N664" s="40">
        <v>40.006338746988099</v>
      </c>
      <c r="O664" s="40">
        <v>-75.9378332973006</v>
      </c>
      <c r="P664" s="41">
        <f>311+328</f>
        <v>639</v>
      </c>
      <c r="Q664" s="42">
        <v>44237</v>
      </c>
      <c r="R664" s="41" t="s">
        <v>1530</v>
      </c>
      <c r="S664" s="41" t="s">
        <v>517</v>
      </c>
      <c r="T664" s="24">
        <f t="shared" ref="T664:T678" si="17">P664*$X$8</f>
        <v>783.41399999999999</v>
      </c>
    </row>
    <row r="665" spans="1:20" x14ac:dyDescent="0.25">
      <c r="A665" s="9">
        <v>259</v>
      </c>
      <c r="B665" s="9" t="s">
        <v>1524</v>
      </c>
      <c r="C665" s="9">
        <v>6</v>
      </c>
      <c r="D665" s="9" t="s">
        <v>1677</v>
      </c>
      <c r="E665" s="9" t="s">
        <v>1678</v>
      </c>
      <c r="F665" s="37" t="s">
        <v>1355</v>
      </c>
      <c r="G665" s="37" t="s">
        <v>890</v>
      </c>
      <c r="H665" s="37">
        <v>44</v>
      </c>
      <c r="I665" s="37">
        <v>320</v>
      </c>
      <c r="J665" s="38" t="s">
        <v>1681</v>
      </c>
      <c r="K665" s="38" t="s">
        <v>25</v>
      </c>
      <c r="L665" s="39" t="s">
        <v>26</v>
      </c>
      <c r="M665" s="39" t="s">
        <v>26</v>
      </c>
      <c r="N665" s="44">
        <v>39.9836245448734</v>
      </c>
      <c r="O665" s="44">
        <v>-75.934311843150496</v>
      </c>
      <c r="P665" s="41">
        <f>3457+3734</f>
        <v>7191</v>
      </c>
      <c r="Q665" s="42">
        <v>44237</v>
      </c>
      <c r="R665" s="41" t="s">
        <v>1530</v>
      </c>
      <c r="S665" s="41" t="s">
        <v>28</v>
      </c>
      <c r="T665" s="24">
        <f t="shared" si="17"/>
        <v>8816.1659999999993</v>
      </c>
    </row>
    <row r="666" spans="1:20" x14ac:dyDescent="0.25">
      <c r="A666" s="36">
        <v>260</v>
      </c>
      <c r="B666" s="36" t="s">
        <v>1524</v>
      </c>
      <c r="C666" s="36">
        <v>6</v>
      </c>
      <c r="D666" s="36" t="s">
        <v>1677</v>
      </c>
      <c r="E666" s="36" t="s">
        <v>1682</v>
      </c>
      <c r="F666" s="37" t="s">
        <v>1683</v>
      </c>
      <c r="G666" s="37" t="s">
        <v>890</v>
      </c>
      <c r="H666" s="43">
        <v>570</v>
      </c>
      <c r="I666" s="43">
        <v>0</v>
      </c>
      <c r="J666" s="38" t="s">
        <v>1684</v>
      </c>
      <c r="K666" s="38" t="s">
        <v>25</v>
      </c>
      <c r="L666" s="38" t="s">
        <v>26</v>
      </c>
      <c r="M666" s="38" t="s">
        <v>26</v>
      </c>
      <c r="N666" s="40">
        <v>40.041991563578399</v>
      </c>
      <c r="O666" s="40">
        <v>-75.499705083162695</v>
      </c>
      <c r="P666" s="41">
        <f>909+1008</f>
        <v>1917</v>
      </c>
      <c r="Q666" s="42">
        <v>44235</v>
      </c>
      <c r="R666" s="41" t="s">
        <v>1530</v>
      </c>
      <c r="S666" s="41" t="s">
        <v>28</v>
      </c>
      <c r="T666" s="24">
        <f t="shared" si="17"/>
        <v>2350.2419999999997</v>
      </c>
    </row>
    <row r="667" spans="1:20" x14ac:dyDescent="0.25">
      <c r="A667" s="9">
        <v>261</v>
      </c>
      <c r="B667" s="9" t="s">
        <v>1524</v>
      </c>
      <c r="C667" s="9">
        <v>6</v>
      </c>
      <c r="D667" s="9" t="s">
        <v>1677</v>
      </c>
      <c r="E667" s="9" t="s">
        <v>1685</v>
      </c>
      <c r="F667" s="37" t="s">
        <v>1686</v>
      </c>
      <c r="G667" s="37" t="s">
        <v>1687</v>
      </c>
      <c r="H667" s="37">
        <v>130</v>
      </c>
      <c r="I667" s="37">
        <v>1254</v>
      </c>
      <c r="J667" s="38" t="s">
        <v>1688</v>
      </c>
      <c r="K667" s="38" t="s">
        <v>25</v>
      </c>
      <c r="L667" s="39" t="s">
        <v>26</v>
      </c>
      <c r="M667" s="39" t="s">
        <v>26</v>
      </c>
      <c r="N667" s="44">
        <v>39.843660705852002</v>
      </c>
      <c r="O667" s="44">
        <v>-75.806301095155007</v>
      </c>
      <c r="P667" s="41">
        <v>464</v>
      </c>
      <c r="Q667" s="42">
        <v>44232</v>
      </c>
      <c r="R667" s="41" t="s">
        <v>27</v>
      </c>
      <c r="S667" s="41" t="s">
        <v>517</v>
      </c>
      <c r="T667" s="24">
        <f t="shared" si="17"/>
        <v>568.86400000000003</v>
      </c>
    </row>
    <row r="668" spans="1:20" x14ac:dyDescent="0.25">
      <c r="A668" s="36">
        <v>262</v>
      </c>
      <c r="B668" s="36" t="s">
        <v>1524</v>
      </c>
      <c r="C668" s="36">
        <v>6</v>
      </c>
      <c r="D668" s="36" t="s">
        <v>1677</v>
      </c>
      <c r="E668" s="36" t="s">
        <v>1689</v>
      </c>
      <c r="F668" s="37" t="s">
        <v>1690</v>
      </c>
      <c r="G668" s="37" t="s">
        <v>1691</v>
      </c>
      <c r="H668" s="43">
        <v>220</v>
      </c>
      <c r="I668" s="43">
        <v>1626</v>
      </c>
      <c r="J668" s="38" t="s">
        <v>1692</v>
      </c>
      <c r="K668" s="38" t="s">
        <v>25</v>
      </c>
      <c r="L668" s="38" t="s">
        <v>26</v>
      </c>
      <c r="M668" s="38" t="s">
        <v>26</v>
      </c>
      <c r="N668" s="40">
        <v>40.0262339660298</v>
      </c>
      <c r="O668" s="40">
        <v>-75.626963887201299</v>
      </c>
      <c r="P668" s="41">
        <f>4903+2820</f>
        <v>7723</v>
      </c>
      <c r="Q668" s="42">
        <v>44235</v>
      </c>
      <c r="R668" s="41" t="s">
        <v>1530</v>
      </c>
      <c r="S668" s="41" t="s">
        <v>517</v>
      </c>
      <c r="T668" s="24">
        <f t="shared" si="17"/>
        <v>9468.3979999999992</v>
      </c>
    </row>
    <row r="669" spans="1:20" x14ac:dyDescent="0.25">
      <c r="A669" s="9">
        <v>263</v>
      </c>
      <c r="B669" s="9" t="s">
        <v>1524</v>
      </c>
      <c r="C669" s="9">
        <v>6</v>
      </c>
      <c r="D669" s="9" t="s">
        <v>1677</v>
      </c>
      <c r="E669" s="9" t="s">
        <v>1693</v>
      </c>
      <c r="F669" s="37" t="s">
        <v>1690</v>
      </c>
      <c r="G669" s="37" t="s">
        <v>1691</v>
      </c>
      <c r="H669" s="43">
        <v>304</v>
      </c>
      <c r="I669" s="43">
        <v>0</v>
      </c>
      <c r="J669" s="38" t="s">
        <v>1694</v>
      </c>
      <c r="K669" s="38" t="s">
        <v>25</v>
      </c>
      <c r="L669" s="38" t="s">
        <v>26</v>
      </c>
      <c r="M669" s="38" t="s">
        <v>26</v>
      </c>
      <c r="N669" s="44">
        <v>40.057995935780902</v>
      </c>
      <c r="O669" s="44">
        <v>-75.663074679721205</v>
      </c>
      <c r="P669" s="41">
        <f>2004+3597</f>
        <v>5601</v>
      </c>
      <c r="Q669" s="42">
        <v>44243</v>
      </c>
      <c r="R669" s="41" t="s">
        <v>1530</v>
      </c>
      <c r="S669" s="41" t="s">
        <v>517</v>
      </c>
      <c r="T669" s="24">
        <f t="shared" si="17"/>
        <v>6866.826</v>
      </c>
    </row>
    <row r="670" spans="1:20" x14ac:dyDescent="0.25">
      <c r="A670" s="36">
        <v>264</v>
      </c>
      <c r="B670" s="36" t="s">
        <v>1524</v>
      </c>
      <c r="C670" s="36">
        <v>6</v>
      </c>
      <c r="D670" s="36" t="s">
        <v>1677</v>
      </c>
      <c r="E670" s="36" t="s">
        <v>1695</v>
      </c>
      <c r="F670" s="37" t="s">
        <v>1696</v>
      </c>
      <c r="G670" s="37" t="s">
        <v>1697</v>
      </c>
      <c r="H670" s="43">
        <v>200</v>
      </c>
      <c r="I670" s="43">
        <v>0</v>
      </c>
      <c r="J670" s="38" t="s">
        <v>1698</v>
      </c>
      <c r="K670" s="38" t="s">
        <v>25</v>
      </c>
      <c r="L670" s="38" t="s">
        <v>26</v>
      </c>
      <c r="M670" s="38" t="s">
        <v>26</v>
      </c>
      <c r="N670" s="40">
        <v>39.9596685519696</v>
      </c>
      <c r="O670" s="40">
        <v>-75.630045037079199</v>
      </c>
      <c r="P670" s="41">
        <v>2218</v>
      </c>
      <c r="Q670" s="42">
        <v>44237</v>
      </c>
      <c r="R670" s="41" t="s">
        <v>27</v>
      </c>
      <c r="S670" s="41" t="s">
        <v>34</v>
      </c>
      <c r="T670" s="24">
        <f t="shared" si="17"/>
        <v>2719.268</v>
      </c>
    </row>
    <row r="671" spans="1:20" x14ac:dyDescent="0.25">
      <c r="A671" s="9">
        <v>265</v>
      </c>
      <c r="B671" s="9" t="s">
        <v>1524</v>
      </c>
      <c r="C671" s="9">
        <v>6</v>
      </c>
      <c r="D671" s="9" t="s">
        <v>1677</v>
      </c>
      <c r="E671" s="9" t="s">
        <v>1699</v>
      </c>
      <c r="F671" s="37" t="s">
        <v>1700</v>
      </c>
      <c r="G671" s="37" t="s">
        <v>1701</v>
      </c>
      <c r="H671" s="43">
        <v>60</v>
      </c>
      <c r="I671" s="43">
        <v>0</v>
      </c>
      <c r="J671" s="38" t="s">
        <v>1702</v>
      </c>
      <c r="K671" s="38" t="s">
        <v>25</v>
      </c>
      <c r="L671" s="38" t="s">
        <v>26</v>
      </c>
      <c r="M671" s="38" t="s">
        <v>26</v>
      </c>
      <c r="N671" s="44">
        <v>39.926969486013697</v>
      </c>
      <c r="O671" s="44">
        <v>-75.583104077659002</v>
      </c>
      <c r="P671" s="41">
        <v>3182</v>
      </c>
      <c r="Q671" s="42">
        <v>44232</v>
      </c>
      <c r="R671" s="41" t="s">
        <v>27</v>
      </c>
      <c r="S671" s="41" t="s">
        <v>517</v>
      </c>
      <c r="T671" s="24">
        <f t="shared" si="17"/>
        <v>3901.1320000000001</v>
      </c>
    </row>
    <row r="672" spans="1:20" x14ac:dyDescent="0.25">
      <c r="A672" s="36">
        <v>266</v>
      </c>
      <c r="B672" s="36" t="s">
        <v>1524</v>
      </c>
      <c r="C672" s="36">
        <v>6</v>
      </c>
      <c r="D672" s="36" t="s">
        <v>1677</v>
      </c>
      <c r="E672" s="36" t="s">
        <v>1703</v>
      </c>
      <c r="F672" s="37" t="s">
        <v>1704</v>
      </c>
      <c r="G672" s="37" t="s">
        <v>1705</v>
      </c>
      <c r="H672" s="43">
        <v>330</v>
      </c>
      <c r="I672" s="43">
        <v>0</v>
      </c>
      <c r="J672" s="38" t="s">
        <v>1706</v>
      </c>
      <c r="K672" s="38" t="s">
        <v>25</v>
      </c>
      <c r="L672" s="38" t="s">
        <v>26</v>
      </c>
      <c r="M672" s="38" t="s">
        <v>26</v>
      </c>
      <c r="N672" s="40">
        <v>40.052146022623504</v>
      </c>
      <c r="O672" s="40">
        <v>-75.565168204203502</v>
      </c>
      <c r="P672" s="41">
        <f>2211+2263</f>
        <v>4474</v>
      </c>
      <c r="Q672" s="42">
        <v>44243</v>
      </c>
      <c r="R672" s="41" t="s">
        <v>1530</v>
      </c>
      <c r="S672" s="41" t="s">
        <v>28</v>
      </c>
      <c r="T672" s="24">
        <f t="shared" si="17"/>
        <v>5485.1239999999998</v>
      </c>
    </row>
    <row r="673" spans="1:20" x14ac:dyDescent="0.25">
      <c r="A673" s="9">
        <v>267</v>
      </c>
      <c r="B673" s="9" t="s">
        <v>1524</v>
      </c>
      <c r="C673" s="9">
        <v>6</v>
      </c>
      <c r="D673" s="9" t="s">
        <v>1677</v>
      </c>
      <c r="E673" s="9" t="s">
        <v>1707</v>
      </c>
      <c r="F673" s="37" t="s">
        <v>1708</v>
      </c>
      <c r="G673" s="37" t="s">
        <v>1709</v>
      </c>
      <c r="H673" s="43">
        <v>100</v>
      </c>
      <c r="I673" s="43">
        <v>1400</v>
      </c>
      <c r="J673" s="38" t="s">
        <v>1710</v>
      </c>
      <c r="K673" s="38" t="s">
        <v>25</v>
      </c>
      <c r="L673" s="38" t="s">
        <v>26</v>
      </c>
      <c r="M673" s="38" t="s">
        <v>26</v>
      </c>
      <c r="N673" s="44">
        <v>39.768245001959201</v>
      </c>
      <c r="O673" s="44">
        <v>-75.937467883782801</v>
      </c>
      <c r="P673" s="41">
        <v>968</v>
      </c>
      <c r="Q673" s="42">
        <v>44232</v>
      </c>
      <c r="R673" s="41" t="s">
        <v>27</v>
      </c>
      <c r="S673" s="41" t="s">
        <v>38</v>
      </c>
      <c r="T673" s="24">
        <f t="shared" si="17"/>
        <v>1186.768</v>
      </c>
    </row>
    <row r="674" spans="1:20" x14ac:dyDescent="0.25">
      <c r="A674" s="36">
        <v>268</v>
      </c>
      <c r="B674" s="36" t="s">
        <v>1524</v>
      </c>
      <c r="C674" s="36">
        <v>6</v>
      </c>
      <c r="D674" s="36" t="s">
        <v>1677</v>
      </c>
      <c r="E674" s="36" t="s">
        <v>1711</v>
      </c>
      <c r="F674" s="37" t="s">
        <v>1712</v>
      </c>
      <c r="G674" s="37" t="s">
        <v>1713</v>
      </c>
      <c r="H674" s="37">
        <v>40</v>
      </c>
      <c r="I674" s="37">
        <v>0</v>
      </c>
      <c r="J674" s="38" t="s">
        <v>1714</v>
      </c>
      <c r="K674" s="38" t="s">
        <v>25</v>
      </c>
      <c r="L674" s="39" t="s">
        <v>26</v>
      </c>
      <c r="M674" s="39" t="s">
        <v>26</v>
      </c>
      <c r="N674" s="40">
        <v>39.741542003991903</v>
      </c>
      <c r="O674" s="40">
        <v>-75.804443467773197</v>
      </c>
      <c r="P674" s="41">
        <v>1176</v>
      </c>
      <c r="Q674" s="42">
        <v>44232</v>
      </c>
      <c r="R674" s="41" t="s">
        <v>27</v>
      </c>
      <c r="S674" s="41" t="s">
        <v>517</v>
      </c>
      <c r="T674" s="24">
        <f t="shared" si="17"/>
        <v>1441.7760000000001</v>
      </c>
    </row>
    <row r="675" spans="1:20" x14ac:dyDescent="0.25">
      <c r="A675" s="9">
        <v>269</v>
      </c>
      <c r="B675" s="9" t="s">
        <v>1524</v>
      </c>
      <c r="C675" s="9">
        <v>6</v>
      </c>
      <c r="D675" s="9" t="s">
        <v>1677</v>
      </c>
      <c r="E675" s="9" t="s">
        <v>1715</v>
      </c>
      <c r="F675" s="37" t="s">
        <v>1593</v>
      </c>
      <c r="G675" s="37" t="s">
        <v>1716</v>
      </c>
      <c r="H675" s="37">
        <v>110</v>
      </c>
      <c r="I675" s="37">
        <v>0</v>
      </c>
      <c r="J675" s="38" t="s">
        <v>1717</v>
      </c>
      <c r="K675" s="38" t="s">
        <v>25</v>
      </c>
      <c r="L675" s="39" t="s">
        <v>26</v>
      </c>
      <c r="M675" s="39" t="s">
        <v>26</v>
      </c>
      <c r="N675" s="44">
        <v>39.866315236299997</v>
      </c>
      <c r="O675" s="44">
        <v>-75.850760990996207</v>
      </c>
      <c r="P675" s="41">
        <v>716</v>
      </c>
      <c r="Q675" s="42">
        <v>44232</v>
      </c>
      <c r="R675" s="41" t="s">
        <v>27</v>
      </c>
      <c r="S675" s="41" t="s">
        <v>34</v>
      </c>
      <c r="T675" s="24">
        <f t="shared" si="17"/>
        <v>877.81600000000003</v>
      </c>
    </row>
    <row r="676" spans="1:20" x14ac:dyDescent="0.25">
      <c r="A676" s="36">
        <v>270</v>
      </c>
      <c r="B676" s="36" t="s">
        <v>1524</v>
      </c>
      <c r="C676" s="36">
        <v>6</v>
      </c>
      <c r="D676" s="36" t="s">
        <v>1677</v>
      </c>
      <c r="E676" s="36" t="s">
        <v>1699</v>
      </c>
      <c r="F676" s="37" t="s">
        <v>1593</v>
      </c>
      <c r="G676" s="37" t="s">
        <v>1716</v>
      </c>
      <c r="H676" s="43">
        <v>400</v>
      </c>
      <c r="I676" s="43">
        <v>679</v>
      </c>
      <c r="J676" s="38" t="s">
        <v>1718</v>
      </c>
      <c r="K676" s="38" t="s">
        <v>25</v>
      </c>
      <c r="L676" s="38" t="s">
        <v>26</v>
      </c>
      <c r="M676" s="38" t="s">
        <v>26</v>
      </c>
      <c r="N676" s="40">
        <v>39.920696934857197</v>
      </c>
      <c r="O676" s="40">
        <v>-75.574771500407707</v>
      </c>
      <c r="P676" s="41">
        <f>2263+2748</f>
        <v>5011</v>
      </c>
      <c r="Q676" s="42">
        <v>44232</v>
      </c>
      <c r="R676" s="41" t="s">
        <v>1530</v>
      </c>
      <c r="S676" s="41" t="s">
        <v>34</v>
      </c>
      <c r="T676" s="24">
        <f t="shared" si="17"/>
        <v>6143.4859999999999</v>
      </c>
    </row>
    <row r="677" spans="1:20" x14ac:dyDescent="0.25">
      <c r="A677" s="9">
        <v>271</v>
      </c>
      <c r="B677" s="9" t="s">
        <v>1524</v>
      </c>
      <c r="C677" s="9">
        <v>6</v>
      </c>
      <c r="D677" s="9" t="s">
        <v>1677</v>
      </c>
      <c r="E677" s="9" t="s">
        <v>1719</v>
      </c>
      <c r="F677" s="37" t="s">
        <v>1720</v>
      </c>
      <c r="G677" s="37" t="s">
        <v>606</v>
      </c>
      <c r="H677" s="43">
        <v>20</v>
      </c>
      <c r="I677" s="43">
        <v>2106</v>
      </c>
      <c r="J677" s="38" t="s">
        <v>1721</v>
      </c>
      <c r="K677" s="38" t="s">
        <v>25</v>
      </c>
      <c r="L677" s="39" t="s">
        <v>26</v>
      </c>
      <c r="M677" s="39" t="s">
        <v>26</v>
      </c>
      <c r="N677" s="44">
        <v>39.970509639840003</v>
      </c>
      <c r="O677" s="44">
        <v>-75.583780494999402</v>
      </c>
      <c r="P677" s="41">
        <v>120</v>
      </c>
      <c r="Q677" s="42">
        <v>44237</v>
      </c>
      <c r="R677" s="41" t="s">
        <v>27</v>
      </c>
      <c r="S677" s="41" t="s">
        <v>28</v>
      </c>
      <c r="T677" s="24">
        <f t="shared" si="17"/>
        <v>147.12</v>
      </c>
    </row>
    <row r="678" spans="1:20" x14ac:dyDescent="0.25">
      <c r="A678" s="36">
        <v>272</v>
      </c>
      <c r="B678" s="36" t="s">
        <v>1524</v>
      </c>
      <c r="C678" s="36">
        <v>6</v>
      </c>
      <c r="D678" s="36" t="s">
        <v>1677</v>
      </c>
      <c r="E678" s="36" t="s">
        <v>1722</v>
      </c>
      <c r="F678" s="37" t="s">
        <v>756</v>
      </c>
      <c r="G678" s="37" t="s">
        <v>1154</v>
      </c>
      <c r="H678" s="37">
        <v>130</v>
      </c>
      <c r="I678" s="37">
        <v>0</v>
      </c>
      <c r="J678" s="38" t="s">
        <v>1723</v>
      </c>
      <c r="K678" s="38" t="s">
        <v>25</v>
      </c>
      <c r="L678" s="39" t="s">
        <v>26</v>
      </c>
      <c r="M678" s="39" t="s">
        <v>26</v>
      </c>
      <c r="N678" s="40">
        <v>40.1180846254193</v>
      </c>
      <c r="O678" s="40">
        <v>-75.720156962928996</v>
      </c>
      <c r="P678" s="41">
        <f>293+307</f>
        <v>600</v>
      </c>
      <c r="Q678" s="42">
        <v>44243</v>
      </c>
      <c r="R678" s="41" t="s">
        <v>1530</v>
      </c>
      <c r="S678" s="41" t="s">
        <v>517</v>
      </c>
      <c r="T678" s="24">
        <f t="shared" si="17"/>
        <v>735.6</v>
      </c>
    </row>
    <row r="679" spans="1:20" x14ac:dyDescent="0.25">
      <c r="A679" s="9">
        <v>323</v>
      </c>
      <c r="B679" s="9" t="s">
        <v>1524</v>
      </c>
      <c r="C679" s="9">
        <v>3</v>
      </c>
      <c r="D679" s="9" t="s">
        <v>1724</v>
      </c>
      <c r="E679" s="9" t="s">
        <v>1725</v>
      </c>
      <c r="F679" s="37" t="s">
        <v>1726</v>
      </c>
      <c r="G679" s="37" t="s">
        <v>646</v>
      </c>
      <c r="H679" s="43">
        <v>60</v>
      </c>
      <c r="I679" s="43">
        <v>334</v>
      </c>
      <c r="J679" s="38" t="s">
        <v>1727</v>
      </c>
      <c r="K679" s="38" t="s">
        <v>25</v>
      </c>
      <c r="L679" s="38" t="s">
        <v>26</v>
      </c>
      <c r="M679" s="38" t="s">
        <v>26</v>
      </c>
      <c r="N679" s="44">
        <v>40.983803233678998</v>
      </c>
      <c r="O679" s="44">
        <v>-76.483117224800594</v>
      </c>
      <c r="P679" s="41">
        <f>454+290</f>
        <v>744</v>
      </c>
      <c r="Q679" s="42">
        <v>44243</v>
      </c>
      <c r="R679" s="41" t="s">
        <v>1530</v>
      </c>
      <c r="S679" s="41" t="s">
        <v>517</v>
      </c>
      <c r="T679" s="24">
        <f t="shared" ref="T679:T703" si="18">P679*$X$5</f>
        <v>749.952</v>
      </c>
    </row>
    <row r="680" spans="1:20" x14ac:dyDescent="0.25">
      <c r="A680" s="36">
        <v>324</v>
      </c>
      <c r="B680" s="36" t="s">
        <v>1524</v>
      </c>
      <c r="C680" s="36">
        <v>3</v>
      </c>
      <c r="D680" s="36" t="s">
        <v>1724</v>
      </c>
      <c r="E680" s="36" t="s">
        <v>1728</v>
      </c>
      <c r="F680" s="37" t="s">
        <v>77</v>
      </c>
      <c r="G680" s="37" t="s">
        <v>646</v>
      </c>
      <c r="H680" s="43">
        <v>110</v>
      </c>
      <c r="I680" s="43">
        <v>750</v>
      </c>
      <c r="J680" s="38" t="s">
        <v>1729</v>
      </c>
      <c r="K680" s="38" t="s">
        <v>25</v>
      </c>
      <c r="L680" s="38" t="s">
        <v>26</v>
      </c>
      <c r="M680" s="38" t="s">
        <v>26</v>
      </c>
      <c r="N680" s="40">
        <v>40.998442360730202</v>
      </c>
      <c r="O680" s="40">
        <v>-76.467205438783594</v>
      </c>
      <c r="P680" s="41">
        <f>93+103</f>
        <v>196</v>
      </c>
      <c r="Q680" s="42">
        <v>44244</v>
      </c>
      <c r="R680" s="41" t="s">
        <v>1530</v>
      </c>
      <c r="S680" s="41" t="s">
        <v>38</v>
      </c>
      <c r="T680" s="24">
        <f t="shared" si="18"/>
        <v>197.56800000000001</v>
      </c>
    </row>
    <row r="681" spans="1:20" x14ac:dyDescent="0.25">
      <c r="A681" s="9">
        <v>325</v>
      </c>
      <c r="B681" s="9" t="s">
        <v>1524</v>
      </c>
      <c r="C681" s="9">
        <v>3</v>
      </c>
      <c r="D681" s="9" t="s">
        <v>1724</v>
      </c>
      <c r="E681" s="9" t="s">
        <v>1728</v>
      </c>
      <c r="F681" s="37" t="s">
        <v>77</v>
      </c>
      <c r="G681" s="37" t="s">
        <v>646</v>
      </c>
      <c r="H681" s="43">
        <v>110</v>
      </c>
      <c r="I681" s="43">
        <v>1647</v>
      </c>
      <c r="J681" s="38" t="s">
        <v>1730</v>
      </c>
      <c r="K681" s="38" t="s">
        <v>25</v>
      </c>
      <c r="L681" s="38" t="s">
        <v>26</v>
      </c>
      <c r="M681" s="38" t="s">
        <v>26</v>
      </c>
      <c r="N681" s="44">
        <v>40.999682306516</v>
      </c>
      <c r="O681" s="44">
        <v>-76.464404804932798</v>
      </c>
      <c r="P681" s="41">
        <f>1013+305</f>
        <v>1318</v>
      </c>
      <c r="Q681" s="42">
        <v>44243</v>
      </c>
      <c r="R681" s="41" t="s">
        <v>1530</v>
      </c>
      <c r="S681" s="41" t="s">
        <v>38</v>
      </c>
      <c r="T681" s="24">
        <f t="shared" si="18"/>
        <v>1328.5440000000001</v>
      </c>
    </row>
    <row r="682" spans="1:20" x14ac:dyDescent="0.25">
      <c r="A682" s="9">
        <v>327</v>
      </c>
      <c r="B682" s="9" t="s">
        <v>1524</v>
      </c>
      <c r="C682" s="9">
        <v>3</v>
      </c>
      <c r="D682" s="9" t="s">
        <v>1724</v>
      </c>
      <c r="E682" s="9" t="s">
        <v>1728</v>
      </c>
      <c r="F682" s="37" t="s">
        <v>77</v>
      </c>
      <c r="G682" s="37" t="s">
        <v>646</v>
      </c>
      <c r="H682" s="43">
        <v>110</v>
      </c>
      <c r="I682" s="43">
        <v>2782</v>
      </c>
      <c r="J682" s="38" t="s">
        <v>1731</v>
      </c>
      <c r="K682" s="38" t="s">
        <v>25</v>
      </c>
      <c r="L682" s="38" t="s">
        <v>26</v>
      </c>
      <c r="M682" s="38" t="s">
        <v>26</v>
      </c>
      <c r="N682" s="44">
        <v>41.001252652656902</v>
      </c>
      <c r="O682" s="44">
        <v>-76.460861726189293</v>
      </c>
      <c r="P682" s="41">
        <v>284</v>
      </c>
      <c r="Q682" s="42">
        <v>44243</v>
      </c>
      <c r="R682" s="41" t="s">
        <v>1530</v>
      </c>
      <c r="S682" s="41" t="s">
        <v>38</v>
      </c>
      <c r="T682" s="24">
        <f t="shared" si="18"/>
        <v>286.27199999999999</v>
      </c>
    </row>
    <row r="683" spans="1:20" x14ac:dyDescent="0.25">
      <c r="A683" s="36">
        <v>328</v>
      </c>
      <c r="B683" s="36" t="s">
        <v>1524</v>
      </c>
      <c r="C683" s="36">
        <v>3</v>
      </c>
      <c r="D683" s="36" t="s">
        <v>1724</v>
      </c>
      <c r="E683" s="36" t="s">
        <v>1728</v>
      </c>
      <c r="F683" s="37" t="s">
        <v>77</v>
      </c>
      <c r="G683" s="37" t="s">
        <v>646</v>
      </c>
      <c r="H683" s="43">
        <v>120</v>
      </c>
      <c r="I683" s="43">
        <v>206</v>
      </c>
      <c r="J683" s="38" t="s">
        <v>1732</v>
      </c>
      <c r="K683" s="38" t="s">
        <v>25</v>
      </c>
      <c r="L683" s="38" t="s">
        <v>26</v>
      </c>
      <c r="M683" s="38" t="s">
        <v>26</v>
      </c>
      <c r="N683" s="40">
        <v>41.001822926088899</v>
      </c>
      <c r="O683" s="40">
        <v>-76.459487869367806</v>
      </c>
      <c r="P683" s="41">
        <f>206</f>
        <v>206</v>
      </c>
      <c r="Q683" s="42">
        <v>44250</v>
      </c>
      <c r="R683" s="41" t="s">
        <v>1530</v>
      </c>
      <c r="S683" s="41" t="s">
        <v>38</v>
      </c>
      <c r="T683" s="24">
        <f t="shared" si="18"/>
        <v>207.648</v>
      </c>
    </row>
    <row r="684" spans="1:20" x14ac:dyDescent="0.25">
      <c r="A684" s="9">
        <v>329</v>
      </c>
      <c r="B684" s="9" t="s">
        <v>1524</v>
      </c>
      <c r="C684" s="9">
        <v>3</v>
      </c>
      <c r="D684" s="9" t="s">
        <v>1724</v>
      </c>
      <c r="E684" s="9" t="s">
        <v>1728</v>
      </c>
      <c r="F684" s="37" t="s">
        <v>77</v>
      </c>
      <c r="G684" s="37" t="s">
        <v>646</v>
      </c>
      <c r="H684" s="43">
        <v>130</v>
      </c>
      <c r="I684" s="43">
        <v>486</v>
      </c>
      <c r="J684" s="38" t="s">
        <v>1733</v>
      </c>
      <c r="K684" s="38" t="s">
        <v>25</v>
      </c>
      <c r="L684" s="38" t="s">
        <v>26</v>
      </c>
      <c r="M684" s="38" t="s">
        <v>26</v>
      </c>
      <c r="N684" s="44">
        <v>41.003168842468597</v>
      </c>
      <c r="O684" s="44">
        <v>-76.456445275299799</v>
      </c>
      <c r="P684" s="41">
        <f>883</f>
        <v>883</v>
      </c>
      <c r="Q684" s="42">
        <v>44250</v>
      </c>
      <c r="R684" s="41" t="s">
        <v>1530</v>
      </c>
      <c r="S684" s="41" t="s">
        <v>38</v>
      </c>
      <c r="T684" s="24">
        <f t="shared" si="18"/>
        <v>890.06399999999996</v>
      </c>
    </row>
    <row r="685" spans="1:20" x14ac:dyDescent="0.25">
      <c r="A685" s="36">
        <v>330</v>
      </c>
      <c r="B685" s="36" t="s">
        <v>1524</v>
      </c>
      <c r="C685" s="36">
        <v>3</v>
      </c>
      <c r="D685" s="36" t="s">
        <v>1724</v>
      </c>
      <c r="E685" s="36" t="s">
        <v>1728</v>
      </c>
      <c r="F685" s="37" t="s">
        <v>77</v>
      </c>
      <c r="G685" s="37" t="s">
        <v>646</v>
      </c>
      <c r="H685" s="43">
        <v>130</v>
      </c>
      <c r="I685" s="43">
        <v>696</v>
      </c>
      <c r="J685" s="38" t="s">
        <v>1734</v>
      </c>
      <c r="K685" s="38" t="s">
        <v>25</v>
      </c>
      <c r="L685" s="38" t="s">
        <v>26</v>
      </c>
      <c r="M685" s="38" t="s">
        <v>26</v>
      </c>
      <c r="N685" s="40">
        <v>41.003457457777102</v>
      </c>
      <c r="O685" s="40">
        <v>-76.455787377198902</v>
      </c>
      <c r="P685" s="41">
        <v>109</v>
      </c>
      <c r="Q685" s="42">
        <v>44243</v>
      </c>
      <c r="R685" s="41" t="s">
        <v>1530</v>
      </c>
      <c r="S685" s="41" t="s">
        <v>38</v>
      </c>
      <c r="T685" s="24">
        <f t="shared" si="18"/>
        <v>109.872</v>
      </c>
    </row>
    <row r="686" spans="1:20" x14ac:dyDescent="0.25">
      <c r="A686" s="9">
        <v>331</v>
      </c>
      <c r="B686" s="9" t="s">
        <v>1524</v>
      </c>
      <c r="C686" s="9">
        <v>3</v>
      </c>
      <c r="D686" s="9" t="s">
        <v>1724</v>
      </c>
      <c r="E686" s="9" t="s">
        <v>1728</v>
      </c>
      <c r="F686" s="37" t="s">
        <v>444</v>
      </c>
      <c r="G686" s="37" t="s">
        <v>646</v>
      </c>
      <c r="H686" s="43">
        <v>150</v>
      </c>
      <c r="I686" s="43">
        <v>1095</v>
      </c>
      <c r="J686" s="38" t="s">
        <v>1735</v>
      </c>
      <c r="K686" s="38" t="s">
        <v>25</v>
      </c>
      <c r="L686" s="38" t="s">
        <v>26</v>
      </c>
      <c r="M686" s="38" t="s">
        <v>26</v>
      </c>
      <c r="N686" s="44">
        <v>41.0026625637378</v>
      </c>
      <c r="O686" s="44">
        <v>-76.4505292206007</v>
      </c>
      <c r="P686" s="41">
        <v>392</v>
      </c>
      <c r="Q686" s="42">
        <v>44243</v>
      </c>
      <c r="R686" s="41" t="s">
        <v>1530</v>
      </c>
      <c r="S686" s="41" t="s">
        <v>517</v>
      </c>
      <c r="T686" s="24">
        <f t="shared" si="18"/>
        <v>395.13600000000002</v>
      </c>
    </row>
    <row r="687" spans="1:20" x14ac:dyDescent="0.25">
      <c r="A687" s="36">
        <v>332</v>
      </c>
      <c r="B687" s="36" t="s">
        <v>1524</v>
      </c>
      <c r="C687" s="36">
        <v>3</v>
      </c>
      <c r="D687" s="36" t="s">
        <v>1724</v>
      </c>
      <c r="E687" s="36" t="s">
        <v>1728</v>
      </c>
      <c r="F687" s="37" t="s">
        <v>1736</v>
      </c>
      <c r="G687" s="37" t="s">
        <v>646</v>
      </c>
      <c r="H687" s="43">
        <v>170</v>
      </c>
      <c r="I687" s="43">
        <v>438</v>
      </c>
      <c r="J687" s="38" t="s">
        <v>1737</v>
      </c>
      <c r="K687" s="38" t="s">
        <v>25</v>
      </c>
      <c r="L687" s="38" t="s">
        <v>26</v>
      </c>
      <c r="M687" s="45" t="s">
        <v>26</v>
      </c>
      <c r="N687" s="40">
        <v>41.002473288298098</v>
      </c>
      <c r="O687" s="40">
        <v>-76.444225538336497</v>
      </c>
      <c r="P687" s="41">
        <f>101+109</f>
        <v>210</v>
      </c>
      <c r="Q687" s="42">
        <v>44243</v>
      </c>
      <c r="R687" s="41" t="s">
        <v>1530</v>
      </c>
      <c r="S687" s="41" t="s">
        <v>517</v>
      </c>
      <c r="T687" s="24">
        <f t="shared" si="18"/>
        <v>211.68</v>
      </c>
    </row>
    <row r="688" spans="1:20" x14ac:dyDescent="0.25">
      <c r="A688" s="9">
        <v>333</v>
      </c>
      <c r="B688" s="9" t="s">
        <v>1524</v>
      </c>
      <c r="C688" s="9">
        <v>3</v>
      </c>
      <c r="D688" s="9" t="s">
        <v>1724</v>
      </c>
      <c r="E688" s="9" t="s">
        <v>1728</v>
      </c>
      <c r="F688" s="37" t="s">
        <v>1736</v>
      </c>
      <c r="G688" s="37" t="s">
        <v>646</v>
      </c>
      <c r="H688" s="43">
        <v>170</v>
      </c>
      <c r="I688" s="43">
        <v>3068</v>
      </c>
      <c r="J688" s="38" t="s">
        <v>1738</v>
      </c>
      <c r="K688" s="38" t="s">
        <v>25</v>
      </c>
      <c r="L688" s="38" t="s">
        <v>26</v>
      </c>
      <c r="M688" s="38" t="s">
        <v>26</v>
      </c>
      <c r="N688" s="44">
        <v>41.005070850504303</v>
      </c>
      <c r="O688" s="44">
        <v>-76.435348124645699</v>
      </c>
      <c r="P688" s="41">
        <f>1711+1917</f>
        <v>3628</v>
      </c>
      <c r="Q688" s="42">
        <v>44243</v>
      </c>
      <c r="R688" s="41" t="s">
        <v>1530</v>
      </c>
      <c r="S688" s="41" t="s">
        <v>517</v>
      </c>
      <c r="T688" s="24">
        <f t="shared" si="18"/>
        <v>3657.0239999999999</v>
      </c>
    </row>
    <row r="689" spans="1:20" x14ac:dyDescent="0.25">
      <c r="A689" s="36">
        <v>334</v>
      </c>
      <c r="B689" s="36" t="s">
        <v>1524</v>
      </c>
      <c r="C689" s="36">
        <v>3</v>
      </c>
      <c r="D689" s="36" t="s">
        <v>1724</v>
      </c>
      <c r="E689" s="36" t="s">
        <v>1739</v>
      </c>
      <c r="F689" s="37" t="s">
        <v>1736</v>
      </c>
      <c r="G689" s="37" t="s">
        <v>646</v>
      </c>
      <c r="H689" s="43">
        <v>250</v>
      </c>
      <c r="I689" s="43">
        <v>0</v>
      </c>
      <c r="J689" s="38" t="s">
        <v>1740</v>
      </c>
      <c r="K689" s="38" t="s">
        <v>25</v>
      </c>
      <c r="L689" s="38" t="s">
        <v>26</v>
      </c>
      <c r="M689" s="38" t="s">
        <v>26</v>
      </c>
      <c r="N689" s="40">
        <v>41.022664501948498</v>
      </c>
      <c r="O689" s="40">
        <v>-76.372963945624804</v>
      </c>
      <c r="P689" s="41">
        <f>212+220</f>
        <v>432</v>
      </c>
      <c r="Q689" s="42">
        <v>44250</v>
      </c>
      <c r="R689" s="41" t="s">
        <v>1530</v>
      </c>
      <c r="S689" s="41" t="s">
        <v>517</v>
      </c>
      <c r="T689" s="24">
        <f t="shared" si="18"/>
        <v>435.45600000000002</v>
      </c>
    </row>
    <row r="690" spans="1:20" x14ac:dyDescent="0.25">
      <c r="A690" s="9">
        <v>335</v>
      </c>
      <c r="B690" s="9" t="s">
        <v>1524</v>
      </c>
      <c r="C690" s="9">
        <v>3</v>
      </c>
      <c r="D690" s="9" t="s">
        <v>1724</v>
      </c>
      <c r="E690" s="9" t="s">
        <v>1741</v>
      </c>
      <c r="F690" s="37" t="s">
        <v>320</v>
      </c>
      <c r="G690" s="37" t="s">
        <v>646</v>
      </c>
      <c r="H690" s="43">
        <v>390</v>
      </c>
      <c r="I690" s="43">
        <v>911</v>
      </c>
      <c r="J690" s="38" t="s">
        <v>1742</v>
      </c>
      <c r="K690" s="38" t="s">
        <v>25</v>
      </c>
      <c r="L690" s="38" t="s">
        <v>26</v>
      </c>
      <c r="M690" s="38" t="s">
        <v>26</v>
      </c>
      <c r="N690" s="44">
        <v>41.048647224554401</v>
      </c>
      <c r="O690" s="44">
        <v>-76.260862035494796</v>
      </c>
      <c r="P690" s="41">
        <f>244+303</f>
        <v>547</v>
      </c>
      <c r="Q690" s="42">
        <v>44250</v>
      </c>
      <c r="R690" s="41" t="s">
        <v>1530</v>
      </c>
      <c r="S690" s="41" t="s">
        <v>38</v>
      </c>
      <c r="T690" s="24">
        <f t="shared" si="18"/>
        <v>551.37599999999998</v>
      </c>
    </row>
    <row r="691" spans="1:20" x14ac:dyDescent="0.25">
      <c r="A691" s="36">
        <v>336</v>
      </c>
      <c r="B691" s="36" t="s">
        <v>1524</v>
      </c>
      <c r="C691" s="36">
        <v>3</v>
      </c>
      <c r="D691" s="36" t="s">
        <v>1724</v>
      </c>
      <c r="E691" s="36" t="s">
        <v>1741</v>
      </c>
      <c r="F691" s="37" t="s">
        <v>320</v>
      </c>
      <c r="G691" s="37" t="s">
        <v>646</v>
      </c>
      <c r="H691" s="43">
        <v>400</v>
      </c>
      <c r="I691" s="43">
        <v>1130</v>
      </c>
      <c r="J691" s="38" t="s">
        <v>1743</v>
      </c>
      <c r="K691" s="38" t="s">
        <v>25</v>
      </c>
      <c r="L691" s="38" t="s">
        <v>26</v>
      </c>
      <c r="M691" s="38" t="s">
        <v>26</v>
      </c>
      <c r="N691" s="40">
        <v>41.049829588411399</v>
      </c>
      <c r="O691" s="40">
        <v>-76.251836838831295</v>
      </c>
      <c r="P691" s="41">
        <f>524+479</f>
        <v>1003</v>
      </c>
      <c r="Q691" s="42">
        <v>44250</v>
      </c>
      <c r="R691" s="41" t="s">
        <v>1530</v>
      </c>
      <c r="S691" s="41" t="s">
        <v>517</v>
      </c>
      <c r="T691" s="24">
        <f t="shared" si="18"/>
        <v>1011.024</v>
      </c>
    </row>
    <row r="692" spans="1:20" x14ac:dyDescent="0.25">
      <c r="A692" s="9">
        <v>337</v>
      </c>
      <c r="B692" s="9" t="s">
        <v>1524</v>
      </c>
      <c r="C692" s="9">
        <v>3</v>
      </c>
      <c r="D692" s="9" t="s">
        <v>1724</v>
      </c>
      <c r="E692" s="9" t="s">
        <v>1741</v>
      </c>
      <c r="F692" s="37" t="s">
        <v>320</v>
      </c>
      <c r="G692" s="37" t="s">
        <v>646</v>
      </c>
      <c r="H692" s="43">
        <v>410</v>
      </c>
      <c r="I692" s="43">
        <v>232</v>
      </c>
      <c r="J692" s="38" t="s">
        <v>1744</v>
      </c>
      <c r="K692" s="38" t="s">
        <v>25</v>
      </c>
      <c r="L692" s="38" t="s">
        <v>26</v>
      </c>
      <c r="M692" s="38" t="s">
        <v>26</v>
      </c>
      <c r="N692" s="44">
        <v>41.050276280147997</v>
      </c>
      <c r="O692" s="44">
        <v>-76.248316094810207</v>
      </c>
      <c r="P692" s="41">
        <f>191+241</f>
        <v>432</v>
      </c>
      <c r="Q692" s="42">
        <v>44250</v>
      </c>
      <c r="R692" s="41" t="s">
        <v>1530</v>
      </c>
      <c r="S692" s="41" t="s">
        <v>517</v>
      </c>
      <c r="T692" s="24">
        <f t="shared" si="18"/>
        <v>435.45600000000002</v>
      </c>
    </row>
    <row r="693" spans="1:20" x14ac:dyDescent="0.25">
      <c r="A693" s="36">
        <v>338</v>
      </c>
      <c r="B693" s="36" t="s">
        <v>1524</v>
      </c>
      <c r="C693" s="36">
        <v>3</v>
      </c>
      <c r="D693" s="36" t="s">
        <v>1724</v>
      </c>
      <c r="E693" s="36" t="s">
        <v>1741</v>
      </c>
      <c r="F693" s="37" t="s">
        <v>509</v>
      </c>
      <c r="G693" s="37" t="s">
        <v>646</v>
      </c>
      <c r="H693" s="43">
        <v>421</v>
      </c>
      <c r="I693" s="43">
        <v>2327</v>
      </c>
      <c r="J693" s="38" t="s">
        <v>1745</v>
      </c>
      <c r="K693" s="38" t="s">
        <v>25</v>
      </c>
      <c r="L693" s="38" t="s">
        <v>26</v>
      </c>
      <c r="M693" s="38" t="s">
        <v>26</v>
      </c>
      <c r="N693" s="40">
        <v>41.054442053556897</v>
      </c>
      <c r="O693" s="40">
        <v>-76.235906521239997</v>
      </c>
      <c r="P693" s="41">
        <f>1113+730</f>
        <v>1843</v>
      </c>
      <c r="Q693" s="42">
        <v>44250</v>
      </c>
      <c r="R693" s="41" t="s">
        <v>1530</v>
      </c>
      <c r="S693" s="41" t="s">
        <v>517</v>
      </c>
      <c r="T693" s="24">
        <f t="shared" si="18"/>
        <v>1857.7439999999999</v>
      </c>
    </row>
    <row r="694" spans="1:20" x14ac:dyDescent="0.25">
      <c r="A694" s="9">
        <v>339</v>
      </c>
      <c r="B694" s="9" t="s">
        <v>1524</v>
      </c>
      <c r="C694" s="9">
        <v>3</v>
      </c>
      <c r="D694" s="9" t="s">
        <v>1724</v>
      </c>
      <c r="E694" s="9" t="s">
        <v>1741</v>
      </c>
      <c r="F694" s="37" t="s">
        <v>320</v>
      </c>
      <c r="G694" s="37" t="s">
        <v>646</v>
      </c>
      <c r="H694" s="43">
        <v>430</v>
      </c>
      <c r="I694" s="43">
        <v>565</v>
      </c>
      <c r="J694" s="38" t="s">
        <v>1745</v>
      </c>
      <c r="K694" s="38" t="s">
        <v>25</v>
      </c>
      <c r="L694" s="38" t="s">
        <v>26</v>
      </c>
      <c r="M694" s="38" t="s">
        <v>26</v>
      </c>
      <c r="N694" s="44">
        <v>41.053906723283497</v>
      </c>
      <c r="O694" s="44">
        <v>-76.235344580959406</v>
      </c>
      <c r="P694" s="41">
        <f>1407+496</f>
        <v>1903</v>
      </c>
      <c r="Q694" s="42">
        <v>44250</v>
      </c>
      <c r="R694" s="41" t="s">
        <v>1530</v>
      </c>
      <c r="S694" s="41" t="s">
        <v>517</v>
      </c>
      <c r="T694" s="24">
        <f t="shared" si="18"/>
        <v>1918.2239999999999</v>
      </c>
    </row>
    <row r="695" spans="1:20" x14ac:dyDescent="0.25">
      <c r="A695" s="36">
        <v>340</v>
      </c>
      <c r="B695" s="36" t="s">
        <v>1524</v>
      </c>
      <c r="C695" s="36">
        <v>3</v>
      </c>
      <c r="D695" s="36" t="s">
        <v>1724</v>
      </c>
      <c r="E695" s="36" t="s">
        <v>1746</v>
      </c>
      <c r="F695" s="37" t="s">
        <v>1747</v>
      </c>
      <c r="G695" s="37" t="s">
        <v>1748</v>
      </c>
      <c r="H695" s="37">
        <v>320</v>
      </c>
      <c r="I695" s="37">
        <v>701</v>
      </c>
      <c r="J695" s="38" t="s">
        <v>1749</v>
      </c>
      <c r="K695" s="38" t="s">
        <v>25</v>
      </c>
      <c r="L695" s="39" t="s">
        <v>26</v>
      </c>
      <c r="M695" s="39" t="s">
        <v>26</v>
      </c>
      <c r="N695" s="40">
        <v>40.935970494610899</v>
      </c>
      <c r="O695" s="40">
        <v>-76.448792276067806</v>
      </c>
      <c r="P695" s="41">
        <f>167</f>
        <v>167</v>
      </c>
      <c r="Q695" s="42">
        <v>44253</v>
      </c>
      <c r="R695" s="41" t="s">
        <v>27</v>
      </c>
      <c r="S695" s="41" t="s">
        <v>38</v>
      </c>
      <c r="T695" s="24">
        <f t="shared" si="18"/>
        <v>168.33600000000001</v>
      </c>
    </row>
    <row r="696" spans="1:20" x14ac:dyDescent="0.25">
      <c r="A696" s="9">
        <v>341</v>
      </c>
      <c r="B696" s="9" t="s">
        <v>1524</v>
      </c>
      <c r="C696" s="9">
        <v>3</v>
      </c>
      <c r="D696" s="9" t="s">
        <v>1724</v>
      </c>
      <c r="E696" s="9" t="s">
        <v>1750</v>
      </c>
      <c r="F696" s="37" t="s">
        <v>1751</v>
      </c>
      <c r="G696" s="37" t="s">
        <v>1748</v>
      </c>
      <c r="H696" s="37">
        <v>610</v>
      </c>
      <c r="I696" s="37">
        <v>1271</v>
      </c>
      <c r="J696" s="38" t="s">
        <v>1752</v>
      </c>
      <c r="K696" s="38" t="s">
        <v>25</v>
      </c>
      <c r="L696" s="39" t="s">
        <v>26</v>
      </c>
      <c r="M696" s="39" t="s">
        <v>26</v>
      </c>
      <c r="N696" s="44">
        <v>41.060537009573402</v>
      </c>
      <c r="O696" s="44">
        <v>-76.493402224253998</v>
      </c>
      <c r="P696" s="41">
        <f>156</f>
        <v>156</v>
      </c>
      <c r="Q696" s="42">
        <v>44252</v>
      </c>
      <c r="R696" s="41" t="s">
        <v>27</v>
      </c>
      <c r="S696" s="41" t="s">
        <v>38</v>
      </c>
      <c r="T696" s="24">
        <f t="shared" si="18"/>
        <v>157.24799999999999</v>
      </c>
    </row>
    <row r="697" spans="1:20" x14ac:dyDescent="0.25">
      <c r="A697" s="36">
        <v>342</v>
      </c>
      <c r="B697" s="36" t="s">
        <v>1524</v>
      </c>
      <c r="C697" s="36">
        <v>3</v>
      </c>
      <c r="D697" s="36" t="s">
        <v>1724</v>
      </c>
      <c r="E697" s="36" t="s">
        <v>1753</v>
      </c>
      <c r="F697" s="37" t="s">
        <v>1751</v>
      </c>
      <c r="G697" s="37" t="s">
        <v>1748</v>
      </c>
      <c r="H697" s="37">
        <v>620</v>
      </c>
      <c r="I697" s="37">
        <v>1459</v>
      </c>
      <c r="J697" s="38" t="s">
        <v>1754</v>
      </c>
      <c r="K697" s="38" t="s">
        <v>25</v>
      </c>
      <c r="L697" s="39" t="s">
        <v>26</v>
      </c>
      <c r="M697" s="39" t="s">
        <v>26</v>
      </c>
      <c r="N697" s="40">
        <v>41.065966037094597</v>
      </c>
      <c r="O697" s="40">
        <v>-76.498902364819898</v>
      </c>
      <c r="P697" s="41">
        <f>776</f>
        <v>776</v>
      </c>
      <c r="Q697" s="42">
        <v>44252</v>
      </c>
      <c r="R697" s="41" t="s">
        <v>27</v>
      </c>
      <c r="S697" s="41" t="s">
        <v>38</v>
      </c>
      <c r="T697" s="24">
        <f t="shared" si="18"/>
        <v>782.20799999999997</v>
      </c>
    </row>
    <row r="698" spans="1:20" x14ac:dyDescent="0.25">
      <c r="A698" s="9">
        <v>343</v>
      </c>
      <c r="B698" s="9" t="s">
        <v>1524</v>
      </c>
      <c r="C698" s="9">
        <v>3</v>
      </c>
      <c r="D698" s="9" t="s">
        <v>1724</v>
      </c>
      <c r="E698" s="9" t="s">
        <v>1755</v>
      </c>
      <c r="F698" s="37" t="s">
        <v>61</v>
      </c>
      <c r="G698" s="37" t="s">
        <v>1748</v>
      </c>
      <c r="H698" s="37">
        <v>710</v>
      </c>
      <c r="I698" s="37">
        <v>294</v>
      </c>
      <c r="J698" s="38" t="s">
        <v>1756</v>
      </c>
      <c r="K698" s="38" t="s">
        <v>25</v>
      </c>
      <c r="L698" s="39" t="s">
        <v>26</v>
      </c>
      <c r="M698" s="39" t="s">
        <v>26</v>
      </c>
      <c r="N698" s="44">
        <v>41.113589775682598</v>
      </c>
      <c r="O698" s="44">
        <v>-76.524765773587504</v>
      </c>
      <c r="P698" s="41">
        <f>148+153</f>
        <v>301</v>
      </c>
      <c r="Q698" s="42">
        <v>44252</v>
      </c>
      <c r="R698" s="41" t="s">
        <v>1530</v>
      </c>
      <c r="S698" s="41" t="s">
        <v>38</v>
      </c>
      <c r="T698" s="24">
        <f t="shared" si="18"/>
        <v>303.40800000000002</v>
      </c>
    </row>
    <row r="699" spans="1:20" x14ac:dyDescent="0.25">
      <c r="A699" s="36">
        <v>344</v>
      </c>
      <c r="B699" s="36" t="s">
        <v>1524</v>
      </c>
      <c r="C699" s="36">
        <v>3</v>
      </c>
      <c r="D699" s="36" t="s">
        <v>1724</v>
      </c>
      <c r="E699" s="36" t="s">
        <v>1757</v>
      </c>
      <c r="F699" s="37" t="s">
        <v>1758</v>
      </c>
      <c r="G699" s="37" t="s">
        <v>710</v>
      </c>
      <c r="H699" s="37">
        <v>200</v>
      </c>
      <c r="I699" s="37">
        <v>1470</v>
      </c>
      <c r="J699" s="38" t="s">
        <v>1759</v>
      </c>
      <c r="K699" s="38" t="s">
        <v>25</v>
      </c>
      <c r="L699" s="39" t="s">
        <v>26</v>
      </c>
      <c r="M699" s="39" t="s">
        <v>26</v>
      </c>
      <c r="N699" s="40">
        <v>41.074783812531003</v>
      </c>
      <c r="O699" s="40">
        <v>-76.378212911921807</v>
      </c>
      <c r="P699" s="41">
        <f>24+33</f>
        <v>57</v>
      </c>
      <c r="Q699" s="42">
        <v>44250</v>
      </c>
      <c r="R699" s="41" t="s">
        <v>1530</v>
      </c>
      <c r="S699" s="41" t="s">
        <v>517</v>
      </c>
      <c r="T699" s="24">
        <f t="shared" si="18"/>
        <v>57.456000000000003</v>
      </c>
    </row>
    <row r="700" spans="1:20" x14ac:dyDescent="0.25">
      <c r="A700" s="9">
        <v>345</v>
      </c>
      <c r="B700" s="9" t="s">
        <v>1524</v>
      </c>
      <c r="C700" s="9">
        <v>3</v>
      </c>
      <c r="D700" s="9" t="s">
        <v>1724</v>
      </c>
      <c r="E700" s="9" t="s">
        <v>1098</v>
      </c>
      <c r="F700" s="37" t="s">
        <v>1760</v>
      </c>
      <c r="G700" s="37" t="s">
        <v>1761</v>
      </c>
      <c r="H700" s="37">
        <v>10</v>
      </c>
      <c r="I700" s="37">
        <v>975</v>
      </c>
      <c r="J700" s="38" t="s">
        <v>1762</v>
      </c>
      <c r="K700" s="38" t="s">
        <v>25</v>
      </c>
      <c r="L700" s="39" t="s">
        <v>26</v>
      </c>
      <c r="M700" s="39" t="s">
        <v>26</v>
      </c>
      <c r="N700" s="44">
        <v>40.885283595078299</v>
      </c>
      <c r="O700" s="44">
        <v>-76.506367992872498</v>
      </c>
      <c r="P700" s="41">
        <f>176+205</f>
        <v>381</v>
      </c>
      <c r="Q700" s="42">
        <v>44253</v>
      </c>
      <c r="R700" s="41" t="s">
        <v>1530</v>
      </c>
      <c r="S700" s="41" t="s">
        <v>38</v>
      </c>
      <c r="T700" s="24">
        <f t="shared" si="18"/>
        <v>384.048</v>
      </c>
    </row>
    <row r="701" spans="1:20" x14ac:dyDescent="0.25">
      <c r="A701" s="36">
        <v>346</v>
      </c>
      <c r="B701" s="36" t="s">
        <v>1524</v>
      </c>
      <c r="C701" s="36">
        <v>3</v>
      </c>
      <c r="D701" s="36" t="s">
        <v>1724</v>
      </c>
      <c r="E701" s="36" t="s">
        <v>1728</v>
      </c>
      <c r="F701" s="37" t="s">
        <v>1763</v>
      </c>
      <c r="G701" s="37" t="s">
        <v>1761</v>
      </c>
      <c r="H701" s="43">
        <v>280</v>
      </c>
      <c r="I701" s="43">
        <v>94</v>
      </c>
      <c r="J701" s="38" t="s">
        <v>611</v>
      </c>
      <c r="K701" s="38" t="s">
        <v>25</v>
      </c>
      <c r="L701" s="38" t="s">
        <v>26</v>
      </c>
      <c r="M701" s="38" t="s">
        <v>26</v>
      </c>
      <c r="N701" s="40">
        <v>41.004671132955799</v>
      </c>
      <c r="O701" s="40">
        <v>-76.453799528658095</v>
      </c>
      <c r="P701" s="41">
        <f>412+374</f>
        <v>786</v>
      </c>
      <c r="Q701" s="42">
        <v>44250</v>
      </c>
      <c r="R701" s="41" t="s">
        <v>1530</v>
      </c>
      <c r="S701" s="41" t="s">
        <v>517</v>
      </c>
      <c r="T701" s="24">
        <f t="shared" si="18"/>
        <v>792.28800000000001</v>
      </c>
    </row>
    <row r="702" spans="1:20" x14ac:dyDescent="0.25">
      <c r="A702" s="9">
        <v>347</v>
      </c>
      <c r="B702" s="9" t="s">
        <v>1524</v>
      </c>
      <c r="C702" s="9">
        <v>3</v>
      </c>
      <c r="D702" s="9" t="s">
        <v>1724</v>
      </c>
      <c r="E702" s="9" t="s">
        <v>1728</v>
      </c>
      <c r="F702" s="37" t="s">
        <v>1763</v>
      </c>
      <c r="G702" s="37" t="s">
        <v>1761</v>
      </c>
      <c r="H702" s="43">
        <v>300</v>
      </c>
      <c r="I702" s="43">
        <v>0</v>
      </c>
      <c r="J702" s="38" t="s">
        <v>1764</v>
      </c>
      <c r="K702" s="38" t="s">
        <v>25</v>
      </c>
      <c r="L702" s="38" t="s">
        <v>26</v>
      </c>
      <c r="M702" s="38" t="s">
        <v>26</v>
      </c>
      <c r="N702" s="44">
        <v>41.013889541086002</v>
      </c>
      <c r="O702" s="44">
        <v>-76.442567752153096</v>
      </c>
      <c r="P702" s="41">
        <f>87+80</f>
        <v>167</v>
      </c>
      <c r="Q702" s="42">
        <v>44250</v>
      </c>
      <c r="R702" s="41" t="s">
        <v>1530</v>
      </c>
      <c r="S702" s="41" t="s">
        <v>517</v>
      </c>
      <c r="T702" s="24">
        <f t="shared" si="18"/>
        <v>168.33600000000001</v>
      </c>
    </row>
    <row r="703" spans="1:20" x14ac:dyDescent="0.25">
      <c r="A703" s="36">
        <v>348</v>
      </c>
      <c r="B703" s="36" t="s">
        <v>1524</v>
      </c>
      <c r="C703" s="36">
        <v>3</v>
      </c>
      <c r="D703" s="36" t="s">
        <v>1724</v>
      </c>
      <c r="E703" s="36" t="s">
        <v>1765</v>
      </c>
      <c r="F703" s="37" t="s">
        <v>1766</v>
      </c>
      <c r="G703" s="37" t="s">
        <v>1767</v>
      </c>
      <c r="H703" s="37">
        <v>80</v>
      </c>
      <c r="I703" s="37">
        <v>0</v>
      </c>
      <c r="J703" s="38" t="s">
        <v>1768</v>
      </c>
      <c r="K703" s="38" t="s">
        <v>25</v>
      </c>
      <c r="L703" s="39" t="s">
        <v>26</v>
      </c>
      <c r="M703" s="39" t="s">
        <v>26</v>
      </c>
      <c r="N703" s="40">
        <v>41.1275315168484</v>
      </c>
      <c r="O703" s="40">
        <v>-76.313010609039793</v>
      </c>
      <c r="P703" s="41">
        <f>140</f>
        <v>140</v>
      </c>
      <c r="Q703" s="42">
        <v>44252</v>
      </c>
      <c r="R703" s="41" t="s">
        <v>27</v>
      </c>
      <c r="S703" s="41" t="s">
        <v>34</v>
      </c>
      <c r="T703" s="24">
        <f t="shared" si="18"/>
        <v>141.12</v>
      </c>
    </row>
    <row r="704" spans="1:20" x14ac:dyDescent="0.25">
      <c r="A704" s="9">
        <v>410</v>
      </c>
      <c r="B704" s="9" t="s">
        <v>1524</v>
      </c>
      <c r="C704" s="9">
        <v>8</v>
      </c>
      <c r="D704" s="9" t="s">
        <v>1513</v>
      </c>
      <c r="E704" s="9" t="s">
        <v>1769</v>
      </c>
      <c r="F704" s="37" t="s">
        <v>1770</v>
      </c>
      <c r="G704" s="37" t="s">
        <v>1162</v>
      </c>
      <c r="H704" s="43">
        <v>330</v>
      </c>
      <c r="I704" s="43">
        <v>571</v>
      </c>
      <c r="J704" s="38" t="s">
        <v>1771</v>
      </c>
      <c r="K704" s="38" t="s">
        <v>25</v>
      </c>
      <c r="L704" s="39" t="s">
        <v>26</v>
      </c>
      <c r="M704" s="39" t="s">
        <v>26</v>
      </c>
      <c r="N704" s="44">
        <v>40.286616393253503</v>
      </c>
      <c r="O704" s="44">
        <v>-76.881729850898395</v>
      </c>
      <c r="P704" s="41">
        <f>363+219</f>
        <v>582</v>
      </c>
      <c r="Q704" s="42">
        <v>44281</v>
      </c>
      <c r="R704" s="41" t="s">
        <v>1530</v>
      </c>
      <c r="S704" s="41" t="s">
        <v>34</v>
      </c>
      <c r="T704" s="24">
        <f t="shared" ref="T704:T722" si="19">P704*$X$9</f>
        <v>727.5</v>
      </c>
    </row>
    <row r="705" spans="1:20" x14ac:dyDescent="0.25">
      <c r="A705" s="36">
        <v>411</v>
      </c>
      <c r="B705" s="36" t="s">
        <v>1524</v>
      </c>
      <c r="C705" s="36">
        <v>8</v>
      </c>
      <c r="D705" s="36" t="s">
        <v>1513</v>
      </c>
      <c r="E705" s="36" t="s">
        <v>1772</v>
      </c>
      <c r="F705" s="37" t="s">
        <v>1773</v>
      </c>
      <c r="G705" s="37" t="s">
        <v>1774</v>
      </c>
      <c r="H705" s="37">
        <v>220</v>
      </c>
      <c r="I705" s="37">
        <v>182</v>
      </c>
      <c r="J705" s="38" t="s">
        <v>1775</v>
      </c>
      <c r="K705" s="38" t="s">
        <v>25</v>
      </c>
      <c r="L705" s="39" t="s">
        <v>26</v>
      </c>
      <c r="M705" s="39" t="s">
        <v>26</v>
      </c>
      <c r="N705" s="40">
        <v>40.484539767814603</v>
      </c>
      <c r="O705" s="40">
        <v>-76.932138505150107</v>
      </c>
      <c r="P705" s="41">
        <f>182+160</f>
        <v>342</v>
      </c>
      <c r="Q705" s="42">
        <v>44281</v>
      </c>
      <c r="R705" s="41" t="s">
        <v>1530</v>
      </c>
      <c r="S705" s="41" t="s">
        <v>38</v>
      </c>
      <c r="T705" s="24">
        <f t="shared" si="19"/>
        <v>427.5</v>
      </c>
    </row>
    <row r="706" spans="1:20" x14ac:dyDescent="0.25">
      <c r="A706" s="9">
        <v>412</v>
      </c>
      <c r="B706" s="9" t="s">
        <v>1524</v>
      </c>
      <c r="C706" s="9">
        <v>8</v>
      </c>
      <c r="D706" s="9" t="s">
        <v>1513</v>
      </c>
      <c r="E706" s="9" t="s">
        <v>1776</v>
      </c>
      <c r="F706" s="37" t="s">
        <v>233</v>
      </c>
      <c r="G706" s="37" t="s">
        <v>1774</v>
      </c>
      <c r="H706" s="37">
        <v>330</v>
      </c>
      <c r="I706" s="37">
        <v>855</v>
      </c>
      <c r="J706" s="38" t="s">
        <v>1657</v>
      </c>
      <c r="K706" s="38" t="s">
        <v>25</v>
      </c>
      <c r="L706" s="39" t="s">
        <v>26</v>
      </c>
      <c r="M706" s="39" t="s">
        <v>26</v>
      </c>
      <c r="N706" s="44">
        <v>40.541071459234303</v>
      </c>
      <c r="O706" s="44">
        <v>-76.961865750974297</v>
      </c>
      <c r="P706" s="41">
        <f>453</f>
        <v>453</v>
      </c>
      <c r="Q706" s="42">
        <v>44281</v>
      </c>
      <c r="R706" s="41" t="s">
        <v>1530</v>
      </c>
      <c r="S706" s="41" t="s">
        <v>38</v>
      </c>
      <c r="T706" s="24">
        <f t="shared" si="19"/>
        <v>566.25</v>
      </c>
    </row>
    <row r="707" spans="1:20" x14ac:dyDescent="0.25">
      <c r="A707" s="36">
        <v>413</v>
      </c>
      <c r="B707" s="36" t="s">
        <v>1524</v>
      </c>
      <c r="C707" s="36">
        <v>8</v>
      </c>
      <c r="D707" s="36" t="s">
        <v>1513</v>
      </c>
      <c r="E707" s="36" t="s">
        <v>853</v>
      </c>
      <c r="F707" s="37" t="s">
        <v>1777</v>
      </c>
      <c r="G707" s="37" t="s">
        <v>751</v>
      </c>
      <c r="H707" s="37">
        <v>210</v>
      </c>
      <c r="I707" s="37">
        <v>1536</v>
      </c>
      <c r="J707" s="38" t="s">
        <v>1778</v>
      </c>
      <c r="K707" s="38" t="s">
        <v>25</v>
      </c>
      <c r="L707" s="39" t="s">
        <v>26</v>
      </c>
      <c r="M707" s="39" t="s">
        <v>26</v>
      </c>
      <c r="N707" s="40">
        <v>40.553841621354202</v>
      </c>
      <c r="O707" s="40">
        <v>-76.802265303891303</v>
      </c>
      <c r="P707" s="41">
        <f>172+171</f>
        <v>343</v>
      </c>
      <c r="Q707" s="42">
        <v>44281</v>
      </c>
      <c r="R707" s="41" t="s">
        <v>1530</v>
      </c>
      <c r="S707" s="41" t="s">
        <v>517</v>
      </c>
      <c r="T707" s="24">
        <f t="shared" si="19"/>
        <v>428.75</v>
      </c>
    </row>
    <row r="708" spans="1:20" x14ac:dyDescent="0.25">
      <c r="A708" s="9">
        <v>414</v>
      </c>
      <c r="B708" s="9" t="s">
        <v>1524</v>
      </c>
      <c r="C708" s="9">
        <v>8</v>
      </c>
      <c r="D708" s="9" t="s">
        <v>1513</v>
      </c>
      <c r="E708" s="9" t="s">
        <v>853</v>
      </c>
      <c r="F708" s="37" t="s">
        <v>1777</v>
      </c>
      <c r="G708" s="37" t="s">
        <v>751</v>
      </c>
      <c r="H708" s="37">
        <v>210</v>
      </c>
      <c r="I708" s="37">
        <v>1583</v>
      </c>
      <c r="J708" s="38" t="s">
        <v>1779</v>
      </c>
      <c r="K708" s="38" t="s">
        <v>25</v>
      </c>
      <c r="L708" s="39" t="s">
        <v>26</v>
      </c>
      <c r="M708" s="39" t="s">
        <v>26</v>
      </c>
      <c r="N708" s="44">
        <v>40.553912547451297</v>
      </c>
      <c r="O708" s="44">
        <v>-76.802124376033802</v>
      </c>
      <c r="P708" s="41">
        <f>226</f>
        <v>226</v>
      </c>
      <c r="Q708" s="42">
        <v>44281</v>
      </c>
      <c r="R708" s="41" t="s">
        <v>27</v>
      </c>
      <c r="S708" s="41" t="s">
        <v>38</v>
      </c>
      <c r="T708" s="24">
        <f t="shared" si="19"/>
        <v>282.5</v>
      </c>
    </row>
    <row r="709" spans="1:20" x14ac:dyDescent="0.25">
      <c r="A709" s="36">
        <v>415</v>
      </c>
      <c r="B709" s="36" t="s">
        <v>1524</v>
      </c>
      <c r="C709" s="36">
        <v>8</v>
      </c>
      <c r="D709" s="36" t="s">
        <v>1513</v>
      </c>
      <c r="E709" s="36" t="s">
        <v>853</v>
      </c>
      <c r="F709" s="37" t="s">
        <v>1777</v>
      </c>
      <c r="G709" s="37" t="s">
        <v>751</v>
      </c>
      <c r="H709" s="37">
        <v>220</v>
      </c>
      <c r="I709" s="37">
        <v>425</v>
      </c>
      <c r="J709" s="38" t="s">
        <v>1780</v>
      </c>
      <c r="K709" s="38" t="s">
        <v>25</v>
      </c>
      <c r="L709" s="39" t="s">
        <v>26</v>
      </c>
      <c r="M709" s="39" t="s">
        <v>26</v>
      </c>
      <c r="N709" s="40">
        <v>40.556781006170098</v>
      </c>
      <c r="O709" s="40">
        <v>-76.795785094729695</v>
      </c>
      <c r="P709" s="41">
        <f>290</f>
        <v>290</v>
      </c>
      <c r="Q709" s="42">
        <v>44281</v>
      </c>
      <c r="R709" s="41" t="s">
        <v>27</v>
      </c>
      <c r="S709" s="41" t="s">
        <v>517</v>
      </c>
      <c r="T709" s="24">
        <f t="shared" si="19"/>
        <v>362.5</v>
      </c>
    </row>
    <row r="710" spans="1:20" x14ac:dyDescent="0.25">
      <c r="A710" s="9">
        <v>416</v>
      </c>
      <c r="B710" s="9" t="s">
        <v>1524</v>
      </c>
      <c r="C710" s="9">
        <v>8</v>
      </c>
      <c r="D710" s="9" t="s">
        <v>1513</v>
      </c>
      <c r="E710" s="9" t="s">
        <v>853</v>
      </c>
      <c r="F710" s="37" t="s">
        <v>1777</v>
      </c>
      <c r="G710" s="37" t="s">
        <v>751</v>
      </c>
      <c r="H710" s="37">
        <v>250</v>
      </c>
      <c r="I710" s="37">
        <v>86</v>
      </c>
      <c r="J710" s="38" t="s">
        <v>1781</v>
      </c>
      <c r="K710" s="38" t="s">
        <v>25</v>
      </c>
      <c r="L710" s="39" t="s">
        <v>26</v>
      </c>
      <c r="M710" s="39" t="s">
        <v>26</v>
      </c>
      <c r="N710" s="44">
        <v>40.568268286914403</v>
      </c>
      <c r="O710" s="44">
        <v>-76.773555747868301</v>
      </c>
      <c r="P710" s="41">
        <f>187</f>
        <v>187</v>
      </c>
      <c r="Q710" s="42">
        <v>44281</v>
      </c>
      <c r="R710" s="41" t="s">
        <v>27</v>
      </c>
      <c r="S710" s="41" t="s">
        <v>38</v>
      </c>
      <c r="T710" s="24">
        <f t="shared" si="19"/>
        <v>233.75</v>
      </c>
    </row>
    <row r="711" spans="1:20" x14ac:dyDescent="0.25">
      <c r="A711" s="36">
        <v>417</v>
      </c>
      <c r="B711" s="36" t="s">
        <v>1524</v>
      </c>
      <c r="C711" s="36">
        <v>8</v>
      </c>
      <c r="D711" s="36" t="s">
        <v>1513</v>
      </c>
      <c r="E711" s="36" t="s">
        <v>1782</v>
      </c>
      <c r="F711" s="37" t="s">
        <v>77</v>
      </c>
      <c r="G711" s="37" t="s">
        <v>751</v>
      </c>
      <c r="H711" s="37">
        <v>330</v>
      </c>
      <c r="I711" s="37">
        <v>1646</v>
      </c>
      <c r="J711" s="38" t="s">
        <v>335</v>
      </c>
      <c r="K711" s="38" t="s">
        <v>25</v>
      </c>
      <c r="L711" s="39" t="s">
        <v>26</v>
      </c>
      <c r="M711" s="39" t="s">
        <v>26</v>
      </c>
      <c r="N711" s="40">
        <v>40.567126039075397</v>
      </c>
      <c r="O711" s="40">
        <v>-76.703685573160797</v>
      </c>
      <c r="P711" s="41">
        <f>221+127</f>
        <v>348</v>
      </c>
      <c r="Q711" s="42">
        <v>44277</v>
      </c>
      <c r="R711" s="41" t="s">
        <v>1530</v>
      </c>
      <c r="S711" s="41" t="s">
        <v>517</v>
      </c>
      <c r="T711" s="24">
        <f t="shared" si="19"/>
        <v>435</v>
      </c>
    </row>
    <row r="712" spans="1:20" x14ac:dyDescent="0.25">
      <c r="A712" s="9">
        <v>418</v>
      </c>
      <c r="B712" s="9" t="s">
        <v>1524</v>
      </c>
      <c r="C712" s="9">
        <v>8</v>
      </c>
      <c r="D712" s="9" t="s">
        <v>1513</v>
      </c>
      <c r="E712" s="9" t="s">
        <v>1782</v>
      </c>
      <c r="F712" s="37" t="s">
        <v>77</v>
      </c>
      <c r="G712" s="37" t="s">
        <v>751</v>
      </c>
      <c r="H712" s="37">
        <v>340</v>
      </c>
      <c r="I712" s="37">
        <v>722</v>
      </c>
      <c r="J712" s="38" t="s">
        <v>1783</v>
      </c>
      <c r="K712" s="38" t="s">
        <v>25</v>
      </c>
      <c r="L712" s="39" t="s">
        <v>26</v>
      </c>
      <c r="M712" s="39" t="s">
        <v>26</v>
      </c>
      <c r="N712" s="44">
        <v>40.567019303095201</v>
      </c>
      <c r="O712" s="44">
        <v>-76.697913945432902</v>
      </c>
      <c r="P712" s="41">
        <f>100+106</f>
        <v>206</v>
      </c>
      <c r="Q712" s="42">
        <v>44277</v>
      </c>
      <c r="R712" s="41" t="s">
        <v>1530</v>
      </c>
      <c r="S712" s="41" t="s">
        <v>38</v>
      </c>
      <c r="T712" s="24">
        <f t="shared" si="19"/>
        <v>257.5</v>
      </c>
    </row>
    <row r="713" spans="1:20" x14ac:dyDescent="0.25">
      <c r="A713" s="36">
        <v>419</v>
      </c>
      <c r="B713" s="36" t="s">
        <v>1524</v>
      </c>
      <c r="C713" s="36">
        <v>8</v>
      </c>
      <c r="D713" s="36" t="s">
        <v>1513</v>
      </c>
      <c r="E713" s="36" t="s">
        <v>1782</v>
      </c>
      <c r="F713" s="37" t="s">
        <v>77</v>
      </c>
      <c r="G713" s="37" t="s">
        <v>751</v>
      </c>
      <c r="H713" s="37">
        <v>340</v>
      </c>
      <c r="I713" s="37">
        <v>865</v>
      </c>
      <c r="J713" s="38" t="s">
        <v>1784</v>
      </c>
      <c r="K713" s="38" t="s">
        <v>25</v>
      </c>
      <c r="L713" s="39" t="s">
        <v>26</v>
      </c>
      <c r="M713" s="39" t="s">
        <v>26</v>
      </c>
      <c r="N713" s="40">
        <v>40.5670082587934</v>
      </c>
      <c r="O713" s="40">
        <v>-76.697399739895204</v>
      </c>
      <c r="P713" s="41">
        <f>1966</f>
        <v>1966</v>
      </c>
      <c r="Q713" s="42">
        <v>44277</v>
      </c>
      <c r="R713" s="41" t="s">
        <v>27</v>
      </c>
      <c r="S713" s="41" t="s">
        <v>517</v>
      </c>
      <c r="T713" s="24">
        <f t="shared" si="19"/>
        <v>2457.5</v>
      </c>
    </row>
    <row r="714" spans="1:20" x14ac:dyDescent="0.25">
      <c r="A714" s="9">
        <v>420</v>
      </c>
      <c r="B714" s="9" t="s">
        <v>1524</v>
      </c>
      <c r="C714" s="9">
        <v>8</v>
      </c>
      <c r="D714" s="9" t="s">
        <v>1513</v>
      </c>
      <c r="E714" s="9" t="s">
        <v>1785</v>
      </c>
      <c r="F714" s="37" t="s">
        <v>1777</v>
      </c>
      <c r="G714" s="37" t="s">
        <v>751</v>
      </c>
      <c r="H714" s="37">
        <v>410</v>
      </c>
      <c r="I714" s="37">
        <v>1260</v>
      </c>
      <c r="J714" s="38" t="s">
        <v>22</v>
      </c>
      <c r="K714" s="38" t="s">
        <v>25</v>
      </c>
      <c r="L714" s="39" t="s">
        <v>26</v>
      </c>
      <c r="M714" s="39" t="s">
        <v>26</v>
      </c>
      <c r="N714" s="44">
        <v>40.575496635870003</v>
      </c>
      <c r="O714" s="44">
        <v>-76.620223539416799</v>
      </c>
      <c r="P714" s="41">
        <f>1688</f>
        <v>1688</v>
      </c>
      <c r="Q714" s="42">
        <v>44277</v>
      </c>
      <c r="R714" s="41" t="s">
        <v>27</v>
      </c>
      <c r="S714" s="41" t="s">
        <v>517</v>
      </c>
      <c r="T714" s="24">
        <f t="shared" si="19"/>
        <v>2110</v>
      </c>
    </row>
    <row r="715" spans="1:20" x14ac:dyDescent="0.25">
      <c r="A715" s="36">
        <v>421</v>
      </c>
      <c r="B715" s="36" t="s">
        <v>1524</v>
      </c>
      <c r="C715" s="36">
        <v>8</v>
      </c>
      <c r="D715" s="36" t="s">
        <v>1513</v>
      </c>
      <c r="E715" s="36" t="s">
        <v>1786</v>
      </c>
      <c r="F715" s="37" t="s">
        <v>1787</v>
      </c>
      <c r="G715" s="37" t="s">
        <v>1788</v>
      </c>
      <c r="H715" s="37">
        <v>64</v>
      </c>
      <c r="I715" s="37">
        <v>427</v>
      </c>
      <c r="J715" s="38" t="s">
        <v>1789</v>
      </c>
      <c r="K715" s="38" t="s">
        <v>25</v>
      </c>
      <c r="L715" s="39" t="s">
        <v>26</v>
      </c>
      <c r="M715" s="39" t="s">
        <v>26</v>
      </c>
      <c r="N715" s="40">
        <v>40.391902811763501</v>
      </c>
      <c r="O715" s="40">
        <v>-76.943660813074203</v>
      </c>
      <c r="P715" s="41">
        <f>5+5</f>
        <v>10</v>
      </c>
      <c r="Q715" s="42">
        <v>44281</v>
      </c>
      <c r="R715" s="41" t="s">
        <v>1530</v>
      </c>
      <c r="S715" s="41" t="s">
        <v>38</v>
      </c>
      <c r="T715" s="24">
        <f t="shared" si="19"/>
        <v>12.5</v>
      </c>
    </row>
    <row r="716" spans="1:20" x14ac:dyDescent="0.25">
      <c r="A716" s="9">
        <v>422</v>
      </c>
      <c r="B716" s="9" t="s">
        <v>1524</v>
      </c>
      <c r="C716" s="9">
        <v>8</v>
      </c>
      <c r="D716" s="9" t="s">
        <v>1513</v>
      </c>
      <c r="E716" s="9" t="s">
        <v>1769</v>
      </c>
      <c r="F716" s="37" t="s">
        <v>1770</v>
      </c>
      <c r="G716" s="37" t="s">
        <v>1790</v>
      </c>
      <c r="H716" s="43">
        <v>20</v>
      </c>
      <c r="I716" s="43">
        <v>1553</v>
      </c>
      <c r="J716" s="38" t="s">
        <v>1791</v>
      </c>
      <c r="K716" s="38" t="s">
        <v>25</v>
      </c>
      <c r="L716" s="39" t="s">
        <v>26</v>
      </c>
      <c r="M716" s="39" t="s">
        <v>26</v>
      </c>
      <c r="N716" s="44">
        <v>40.275521066382801</v>
      </c>
      <c r="O716" s="44">
        <v>-76.878413893211103</v>
      </c>
      <c r="P716" s="41">
        <f>385+385</f>
        <v>770</v>
      </c>
      <c r="Q716" s="42">
        <v>44281</v>
      </c>
      <c r="R716" s="41" t="s">
        <v>1530</v>
      </c>
      <c r="S716" s="41" t="s">
        <v>34</v>
      </c>
      <c r="T716" s="24">
        <f t="shared" si="19"/>
        <v>962.5</v>
      </c>
    </row>
    <row r="717" spans="1:20" x14ac:dyDescent="0.25">
      <c r="A717" s="36">
        <v>423</v>
      </c>
      <c r="B717" s="36" t="s">
        <v>1524</v>
      </c>
      <c r="C717" s="36">
        <v>8</v>
      </c>
      <c r="D717" s="36" t="s">
        <v>1513</v>
      </c>
      <c r="E717" s="36" t="s">
        <v>1715</v>
      </c>
      <c r="F717" s="37" t="s">
        <v>1792</v>
      </c>
      <c r="G717" s="37" t="s">
        <v>1790</v>
      </c>
      <c r="H717" s="37">
        <v>380</v>
      </c>
      <c r="I717" s="37">
        <v>0</v>
      </c>
      <c r="J717" s="38" t="s">
        <v>1793</v>
      </c>
      <c r="K717" s="38" t="s">
        <v>25</v>
      </c>
      <c r="L717" s="39" t="s">
        <v>26</v>
      </c>
      <c r="M717" s="39" t="s">
        <v>26</v>
      </c>
      <c r="N717" s="40">
        <v>40.1713504051976</v>
      </c>
      <c r="O717" s="40">
        <v>-76.652201812942494</v>
      </c>
      <c r="P717" s="41">
        <f>150</f>
        <v>150</v>
      </c>
      <c r="Q717" s="42">
        <v>44286</v>
      </c>
      <c r="R717" s="41" t="s">
        <v>27</v>
      </c>
      <c r="S717" s="41" t="s">
        <v>28</v>
      </c>
      <c r="T717" s="24">
        <f t="shared" si="19"/>
        <v>187.5</v>
      </c>
    </row>
    <row r="718" spans="1:20" x14ac:dyDescent="0.25">
      <c r="A718" s="9">
        <v>424</v>
      </c>
      <c r="B718" s="9" t="s">
        <v>1524</v>
      </c>
      <c r="C718" s="9">
        <v>8</v>
      </c>
      <c r="D718" s="9" t="s">
        <v>1513</v>
      </c>
      <c r="E718" s="9" t="s">
        <v>467</v>
      </c>
      <c r="F718" s="37" t="s">
        <v>1794</v>
      </c>
      <c r="G718" s="37" t="s">
        <v>1192</v>
      </c>
      <c r="H718" s="43">
        <v>70</v>
      </c>
      <c r="I718" s="43">
        <v>2344</v>
      </c>
      <c r="J718" s="38" t="s">
        <v>1795</v>
      </c>
      <c r="K718" s="38" t="s">
        <v>25</v>
      </c>
      <c r="L718" s="39" t="s">
        <v>26</v>
      </c>
      <c r="M718" s="39" t="s">
        <v>26</v>
      </c>
      <c r="N718" s="44">
        <v>40.284740261580197</v>
      </c>
      <c r="O718" s="44">
        <v>-76.652527440811497</v>
      </c>
      <c r="P718" s="41">
        <f>2123+1647</f>
        <v>3770</v>
      </c>
      <c r="Q718" s="42">
        <v>44288</v>
      </c>
      <c r="R718" s="41" t="s">
        <v>1530</v>
      </c>
      <c r="S718" s="41" t="s">
        <v>34</v>
      </c>
      <c r="T718" s="24">
        <f t="shared" si="19"/>
        <v>4712.5</v>
      </c>
    </row>
    <row r="719" spans="1:20" x14ac:dyDescent="0.25">
      <c r="A719" s="36">
        <v>425</v>
      </c>
      <c r="B719" s="36" t="s">
        <v>1524</v>
      </c>
      <c r="C719" s="36">
        <v>8</v>
      </c>
      <c r="D719" s="36" t="s">
        <v>1513</v>
      </c>
      <c r="E719" s="36" t="s">
        <v>467</v>
      </c>
      <c r="F719" s="37" t="s">
        <v>1796</v>
      </c>
      <c r="G719" s="37" t="s">
        <v>1555</v>
      </c>
      <c r="H719" s="43">
        <v>90</v>
      </c>
      <c r="I719" s="43">
        <v>2042</v>
      </c>
      <c r="J719" s="38" t="s">
        <v>1797</v>
      </c>
      <c r="K719" s="38" t="s">
        <v>25</v>
      </c>
      <c r="L719" s="39" t="s">
        <v>26</v>
      </c>
      <c r="M719" s="39" t="s">
        <v>26</v>
      </c>
      <c r="N719" s="40">
        <v>40.2430829761621</v>
      </c>
      <c r="O719" s="40">
        <v>-76.707772559264299</v>
      </c>
      <c r="P719" s="41">
        <f>2907</f>
        <v>2907</v>
      </c>
      <c r="Q719" s="42">
        <v>44286</v>
      </c>
      <c r="R719" s="41" t="s">
        <v>27</v>
      </c>
      <c r="S719" s="41" t="s">
        <v>38</v>
      </c>
      <c r="T719" s="24">
        <f t="shared" si="19"/>
        <v>3633.75</v>
      </c>
    </row>
    <row r="720" spans="1:20" x14ac:dyDescent="0.25">
      <c r="A720" s="9">
        <v>426</v>
      </c>
      <c r="B720" s="9" t="s">
        <v>1524</v>
      </c>
      <c r="C720" s="9">
        <v>8</v>
      </c>
      <c r="D720" s="9" t="s">
        <v>1513</v>
      </c>
      <c r="E720" s="9" t="s">
        <v>467</v>
      </c>
      <c r="F720" s="37" t="s">
        <v>1798</v>
      </c>
      <c r="G720" s="37" t="s">
        <v>634</v>
      </c>
      <c r="H720" s="43">
        <v>80</v>
      </c>
      <c r="I720" s="43">
        <v>680</v>
      </c>
      <c r="J720" s="38" t="s">
        <v>1799</v>
      </c>
      <c r="K720" s="38" t="s">
        <v>25</v>
      </c>
      <c r="L720" s="39" t="s">
        <v>26</v>
      </c>
      <c r="M720" s="39" t="s">
        <v>26</v>
      </c>
      <c r="N720" s="44">
        <v>40.240694413744997</v>
      </c>
      <c r="O720" s="44">
        <v>-76.682829428568397</v>
      </c>
      <c r="P720" s="41">
        <f>93</f>
        <v>93</v>
      </c>
      <c r="Q720" s="42">
        <v>44286</v>
      </c>
      <c r="R720" s="41" t="s">
        <v>27</v>
      </c>
      <c r="S720" s="41" t="s">
        <v>38</v>
      </c>
      <c r="T720" s="24">
        <f t="shared" si="19"/>
        <v>116.25</v>
      </c>
    </row>
    <row r="721" spans="1:20" x14ac:dyDescent="0.25">
      <c r="A721" s="36">
        <v>427</v>
      </c>
      <c r="B721" s="36" t="s">
        <v>1524</v>
      </c>
      <c r="C721" s="36">
        <v>8</v>
      </c>
      <c r="D721" s="36" t="s">
        <v>1513</v>
      </c>
      <c r="E721" s="36" t="s">
        <v>1800</v>
      </c>
      <c r="F721" s="37" t="s">
        <v>1801</v>
      </c>
      <c r="G721" s="37" t="s">
        <v>1238</v>
      </c>
      <c r="H721" s="43">
        <v>40</v>
      </c>
      <c r="I721" s="43">
        <v>234</v>
      </c>
      <c r="J721" s="38" t="s">
        <v>1802</v>
      </c>
      <c r="K721" s="38" t="s">
        <v>25</v>
      </c>
      <c r="L721" s="39" t="s">
        <v>26</v>
      </c>
      <c r="M721" s="39" t="s">
        <v>26</v>
      </c>
      <c r="N721" s="40">
        <v>40.2772340995839</v>
      </c>
      <c r="O721" s="40">
        <v>-76.8415149092815</v>
      </c>
      <c r="P721" s="41">
        <f>123</f>
        <v>123</v>
      </c>
      <c r="Q721" s="42">
        <v>44286</v>
      </c>
      <c r="R721" s="41" t="s">
        <v>27</v>
      </c>
      <c r="S721" s="41" t="s">
        <v>34</v>
      </c>
      <c r="T721" s="24">
        <f t="shared" si="19"/>
        <v>153.75</v>
      </c>
    </row>
    <row r="722" spans="1:20" x14ac:dyDescent="0.25">
      <c r="A722" s="9">
        <v>428</v>
      </c>
      <c r="B722" s="9" t="s">
        <v>1524</v>
      </c>
      <c r="C722" s="9">
        <v>8</v>
      </c>
      <c r="D722" s="9" t="s">
        <v>1513</v>
      </c>
      <c r="E722" s="9" t="s">
        <v>1772</v>
      </c>
      <c r="F722" s="37" t="s">
        <v>1803</v>
      </c>
      <c r="G722" s="37" t="s">
        <v>503</v>
      </c>
      <c r="H722" s="37">
        <v>20</v>
      </c>
      <c r="I722" s="37">
        <v>2870</v>
      </c>
      <c r="J722" s="38" t="s">
        <v>1804</v>
      </c>
      <c r="K722" s="38" t="s">
        <v>25</v>
      </c>
      <c r="L722" s="39" t="s">
        <v>26</v>
      </c>
      <c r="M722" s="39" t="s">
        <v>26</v>
      </c>
      <c r="N722" s="44">
        <v>40.4506874484956</v>
      </c>
      <c r="O722" s="44">
        <v>-76.9044104255522</v>
      </c>
      <c r="P722" s="41">
        <f>179+267</f>
        <v>446</v>
      </c>
      <c r="Q722" s="42">
        <v>44281</v>
      </c>
      <c r="R722" s="41" t="s">
        <v>1530</v>
      </c>
      <c r="S722" s="41" t="s">
        <v>38</v>
      </c>
      <c r="T722" s="24">
        <f t="shared" si="19"/>
        <v>557.5</v>
      </c>
    </row>
    <row r="723" spans="1:20" x14ac:dyDescent="0.25">
      <c r="A723" s="36">
        <v>429</v>
      </c>
      <c r="B723" s="36" t="s">
        <v>1524</v>
      </c>
      <c r="C723" s="36">
        <v>6</v>
      </c>
      <c r="D723" s="36" t="s">
        <v>1494</v>
      </c>
      <c r="E723" s="36" t="s">
        <v>1805</v>
      </c>
      <c r="F723" s="37" t="s">
        <v>1806</v>
      </c>
      <c r="G723" s="37" t="s">
        <v>1807</v>
      </c>
      <c r="H723" s="43">
        <v>180</v>
      </c>
      <c r="I723" s="43">
        <v>1851</v>
      </c>
      <c r="J723" s="38" t="s">
        <v>1808</v>
      </c>
      <c r="K723" s="38" t="s">
        <v>25</v>
      </c>
      <c r="L723" s="39" t="s">
        <v>26</v>
      </c>
      <c r="M723" s="39" t="s">
        <v>26</v>
      </c>
      <c r="N723" s="40">
        <v>39.913868993138301</v>
      </c>
      <c r="O723" s="40">
        <v>-75.433408716941301</v>
      </c>
      <c r="P723" s="41">
        <f>2050+2316</f>
        <v>4366</v>
      </c>
      <c r="Q723" s="42">
        <v>44232</v>
      </c>
      <c r="R723" s="41" t="s">
        <v>1530</v>
      </c>
      <c r="S723" s="41" t="s">
        <v>517</v>
      </c>
      <c r="T723" s="24">
        <f t="shared" ref="T723:T739" si="20">P723*$X$8</f>
        <v>5352.7160000000003</v>
      </c>
    </row>
    <row r="724" spans="1:20" x14ac:dyDescent="0.25">
      <c r="A724" s="9">
        <v>430</v>
      </c>
      <c r="B724" s="9" t="s">
        <v>1524</v>
      </c>
      <c r="C724" s="9">
        <v>6</v>
      </c>
      <c r="D724" s="9" t="s">
        <v>1494</v>
      </c>
      <c r="E724" s="9" t="s">
        <v>1805</v>
      </c>
      <c r="F724" s="37" t="s">
        <v>1806</v>
      </c>
      <c r="G724" s="37" t="s">
        <v>1807</v>
      </c>
      <c r="H724" s="43">
        <v>190</v>
      </c>
      <c r="I724" s="43">
        <v>0</v>
      </c>
      <c r="J724" s="38" t="s">
        <v>1808</v>
      </c>
      <c r="K724" s="38" t="s">
        <v>25</v>
      </c>
      <c r="L724" s="39" t="s">
        <v>26</v>
      </c>
      <c r="M724" s="39" t="s">
        <v>26</v>
      </c>
      <c r="N724" s="44">
        <v>39.914295006835999</v>
      </c>
      <c r="O724" s="44">
        <v>-75.430127410422699</v>
      </c>
      <c r="P724" s="41">
        <f>4907+2665</f>
        <v>7572</v>
      </c>
      <c r="Q724" s="42">
        <v>44232</v>
      </c>
      <c r="R724" s="41" t="s">
        <v>1530</v>
      </c>
      <c r="S724" s="41" t="s">
        <v>517</v>
      </c>
      <c r="T724" s="24">
        <f t="shared" si="20"/>
        <v>9283.271999999999</v>
      </c>
    </row>
    <row r="725" spans="1:20" x14ac:dyDescent="0.25">
      <c r="A725" s="36">
        <v>431</v>
      </c>
      <c r="B725" s="36" t="s">
        <v>1524</v>
      </c>
      <c r="C725" s="36">
        <v>6</v>
      </c>
      <c r="D725" s="36" t="s">
        <v>1494</v>
      </c>
      <c r="E725" s="36" t="s">
        <v>1809</v>
      </c>
      <c r="F725" s="37" t="s">
        <v>1810</v>
      </c>
      <c r="G725" s="37" t="s">
        <v>1807</v>
      </c>
      <c r="H725" s="43">
        <v>370</v>
      </c>
      <c r="I725" s="43">
        <v>3109</v>
      </c>
      <c r="J725" s="38" t="s">
        <v>1811</v>
      </c>
      <c r="K725" s="38" t="s">
        <v>25</v>
      </c>
      <c r="L725" s="39" t="s">
        <v>26</v>
      </c>
      <c r="M725" s="39" t="s">
        <v>26</v>
      </c>
      <c r="N725" s="40">
        <v>39.965818492410101</v>
      </c>
      <c r="O725" s="40">
        <v>-75.300206055384706</v>
      </c>
      <c r="P725" s="41">
        <f>4781+4563</f>
        <v>9344</v>
      </c>
      <c r="Q725" s="42">
        <v>44270</v>
      </c>
      <c r="R725" s="41" t="s">
        <v>1530</v>
      </c>
      <c r="S725" s="41" t="s">
        <v>517</v>
      </c>
      <c r="T725" s="24">
        <f t="shared" si="20"/>
        <v>11455.744000000001</v>
      </c>
    </row>
    <row r="726" spans="1:20" x14ac:dyDescent="0.25">
      <c r="A726" s="9">
        <v>432</v>
      </c>
      <c r="B726" s="9" t="s">
        <v>1524</v>
      </c>
      <c r="C726" s="9">
        <v>6</v>
      </c>
      <c r="D726" s="9" t="s">
        <v>1494</v>
      </c>
      <c r="E726" s="9" t="s">
        <v>1809</v>
      </c>
      <c r="F726" s="37" t="s">
        <v>1812</v>
      </c>
      <c r="G726" s="37" t="s">
        <v>1813</v>
      </c>
      <c r="H726" s="43">
        <v>220</v>
      </c>
      <c r="I726" s="43">
        <v>792</v>
      </c>
      <c r="J726" s="38" t="s">
        <v>1814</v>
      </c>
      <c r="K726" s="38" t="s">
        <v>25</v>
      </c>
      <c r="L726" s="39" t="s">
        <v>26</v>
      </c>
      <c r="M726" s="39" t="s">
        <v>26</v>
      </c>
      <c r="N726" s="44">
        <v>39.9618684142728</v>
      </c>
      <c r="O726" s="44">
        <v>-75.262242773320594</v>
      </c>
      <c r="P726" s="41">
        <f>8879</f>
        <v>8879</v>
      </c>
      <c r="Q726" s="42">
        <v>44270</v>
      </c>
      <c r="R726" s="41" t="s">
        <v>1530</v>
      </c>
      <c r="S726" s="41" t="s">
        <v>28</v>
      </c>
      <c r="T726" s="24">
        <f t="shared" si="20"/>
        <v>10885.654</v>
      </c>
    </row>
    <row r="727" spans="1:20" x14ac:dyDescent="0.25">
      <c r="A727" s="36">
        <v>433</v>
      </c>
      <c r="B727" s="36" t="s">
        <v>1524</v>
      </c>
      <c r="C727" s="36">
        <v>6</v>
      </c>
      <c r="D727" s="36" t="s">
        <v>1494</v>
      </c>
      <c r="E727" s="36" t="s">
        <v>1581</v>
      </c>
      <c r="F727" s="37" t="s">
        <v>1815</v>
      </c>
      <c r="G727" s="37" t="s">
        <v>1816</v>
      </c>
      <c r="H727" s="43">
        <v>181</v>
      </c>
      <c r="I727" s="43">
        <v>658</v>
      </c>
      <c r="J727" s="38" t="s">
        <v>1817</v>
      </c>
      <c r="K727" s="38" t="s">
        <v>25</v>
      </c>
      <c r="L727" s="39" t="s">
        <v>26</v>
      </c>
      <c r="M727" s="39" t="s">
        <v>26</v>
      </c>
      <c r="N727" s="40">
        <v>39.870799943654497</v>
      </c>
      <c r="O727" s="40">
        <v>-75.285446180618194</v>
      </c>
      <c r="P727" s="41">
        <v>544</v>
      </c>
      <c r="Q727" s="42">
        <v>44235</v>
      </c>
      <c r="R727" s="41" t="s">
        <v>27</v>
      </c>
      <c r="S727" s="41" t="s">
        <v>34</v>
      </c>
      <c r="T727" s="24">
        <f t="shared" si="20"/>
        <v>666.94399999999996</v>
      </c>
    </row>
    <row r="728" spans="1:20" x14ac:dyDescent="0.25">
      <c r="A728" s="9">
        <v>434</v>
      </c>
      <c r="B728" s="9" t="s">
        <v>1524</v>
      </c>
      <c r="C728" s="9">
        <v>6</v>
      </c>
      <c r="D728" s="9" t="s">
        <v>1494</v>
      </c>
      <c r="E728" s="9" t="s">
        <v>1818</v>
      </c>
      <c r="F728" s="37" t="s">
        <v>1819</v>
      </c>
      <c r="G728" s="37" t="s">
        <v>1497</v>
      </c>
      <c r="H728" s="43">
        <v>180</v>
      </c>
      <c r="I728" s="43">
        <v>1445</v>
      </c>
      <c r="J728" s="38" t="s">
        <v>1820</v>
      </c>
      <c r="K728" s="38" t="s">
        <v>25</v>
      </c>
      <c r="L728" s="39" t="s">
        <v>26</v>
      </c>
      <c r="M728" s="39" t="s">
        <v>26</v>
      </c>
      <c r="N728" s="44">
        <v>39.960758775194101</v>
      </c>
      <c r="O728" s="44">
        <v>-75.356018720285704</v>
      </c>
      <c r="P728" s="41">
        <f>4808+3587</f>
        <v>8395</v>
      </c>
      <c r="Q728" s="42">
        <v>44232</v>
      </c>
      <c r="R728" s="41" t="s">
        <v>1530</v>
      </c>
      <c r="S728" s="41" t="s">
        <v>38</v>
      </c>
      <c r="T728" s="24">
        <f t="shared" si="20"/>
        <v>10292.27</v>
      </c>
    </row>
    <row r="729" spans="1:20" x14ac:dyDescent="0.25">
      <c r="A729" s="36">
        <v>435</v>
      </c>
      <c r="B729" s="36" t="s">
        <v>1524</v>
      </c>
      <c r="C729" s="36">
        <v>6</v>
      </c>
      <c r="D729" s="36" t="s">
        <v>1494</v>
      </c>
      <c r="E729" s="36" t="s">
        <v>1821</v>
      </c>
      <c r="F729" s="37" t="s">
        <v>1822</v>
      </c>
      <c r="G729" s="37" t="s">
        <v>75</v>
      </c>
      <c r="H729" s="43">
        <v>12</v>
      </c>
      <c r="I729" s="43">
        <v>1434</v>
      </c>
      <c r="J729" s="38" t="s">
        <v>1823</v>
      </c>
      <c r="K729" s="38" t="s">
        <v>25</v>
      </c>
      <c r="L729" s="39" t="s">
        <v>26</v>
      </c>
      <c r="M729" s="39" t="s">
        <v>26</v>
      </c>
      <c r="N729" s="40">
        <v>39.882567571497802</v>
      </c>
      <c r="O729" s="40">
        <v>-75.522382662021897</v>
      </c>
      <c r="P729" s="41">
        <f>2387+3804</f>
        <v>6191</v>
      </c>
      <c r="Q729" s="42">
        <v>44232</v>
      </c>
      <c r="R729" s="41" t="s">
        <v>1530</v>
      </c>
      <c r="S729" s="41" t="s">
        <v>28</v>
      </c>
      <c r="T729" s="24">
        <f t="shared" si="20"/>
        <v>7590.1660000000002</v>
      </c>
    </row>
    <row r="730" spans="1:20" x14ac:dyDescent="0.25">
      <c r="A730" s="9">
        <v>436</v>
      </c>
      <c r="B730" s="9" t="s">
        <v>1524</v>
      </c>
      <c r="C730" s="9">
        <v>6</v>
      </c>
      <c r="D730" s="9" t="s">
        <v>1494</v>
      </c>
      <c r="E730" s="9" t="s">
        <v>1824</v>
      </c>
      <c r="F730" s="37" t="s">
        <v>1825</v>
      </c>
      <c r="G730" s="37" t="s">
        <v>1826</v>
      </c>
      <c r="H730" s="43">
        <v>70</v>
      </c>
      <c r="I730" s="43">
        <v>0</v>
      </c>
      <c r="J730" s="38" t="s">
        <v>1827</v>
      </c>
      <c r="K730" s="38" t="s">
        <v>1828</v>
      </c>
      <c r="L730" s="39" t="s">
        <v>26</v>
      </c>
      <c r="M730" s="39" t="s">
        <v>26</v>
      </c>
      <c r="N730" s="44">
        <v>39.895078008435</v>
      </c>
      <c r="O730" s="44">
        <v>-75.314906562675404</v>
      </c>
      <c r="P730" s="41">
        <f>2194+1487</f>
        <v>3681</v>
      </c>
      <c r="Q730" s="42">
        <v>44238</v>
      </c>
      <c r="R730" s="41" t="s">
        <v>1530</v>
      </c>
      <c r="S730" s="41" t="s">
        <v>517</v>
      </c>
      <c r="T730" s="24">
        <f t="shared" si="20"/>
        <v>4512.9059999999999</v>
      </c>
    </row>
    <row r="731" spans="1:20" x14ac:dyDescent="0.25">
      <c r="A731" s="36">
        <v>437</v>
      </c>
      <c r="B731" s="36" t="s">
        <v>1524</v>
      </c>
      <c r="C731" s="36">
        <v>6</v>
      </c>
      <c r="D731" s="36" t="s">
        <v>1494</v>
      </c>
      <c r="E731" s="36" t="s">
        <v>1829</v>
      </c>
      <c r="F731" s="37" t="s">
        <v>1830</v>
      </c>
      <c r="G731" s="37" t="s">
        <v>84</v>
      </c>
      <c r="H731" s="43">
        <v>44</v>
      </c>
      <c r="I731" s="43">
        <v>907</v>
      </c>
      <c r="J731" s="38" t="s">
        <v>1831</v>
      </c>
      <c r="K731" s="38" t="s">
        <v>25</v>
      </c>
      <c r="L731" s="39" t="s">
        <v>26</v>
      </c>
      <c r="M731" s="39" t="s">
        <v>26</v>
      </c>
      <c r="N731" s="40">
        <v>40.000880382039298</v>
      </c>
      <c r="O731" s="40">
        <v>-75.308397403738397</v>
      </c>
      <c r="P731" s="41">
        <f>24+11</f>
        <v>35</v>
      </c>
      <c r="Q731" s="42">
        <v>44270</v>
      </c>
      <c r="R731" s="41" t="s">
        <v>1530</v>
      </c>
      <c r="S731" s="41" t="s">
        <v>38</v>
      </c>
      <c r="T731" s="24">
        <f t="shared" si="20"/>
        <v>42.91</v>
      </c>
    </row>
    <row r="732" spans="1:20" x14ac:dyDescent="0.25">
      <c r="A732" s="9">
        <v>438</v>
      </c>
      <c r="B732" s="9" t="s">
        <v>1524</v>
      </c>
      <c r="C732" s="9">
        <v>6</v>
      </c>
      <c r="D732" s="9" t="s">
        <v>1494</v>
      </c>
      <c r="E732" s="9" t="s">
        <v>1824</v>
      </c>
      <c r="F732" s="37" t="s">
        <v>1832</v>
      </c>
      <c r="G732" s="37" t="s">
        <v>212</v>
      </c>
      <c r="H732" s="43">
        <v>100</v>
      </c>
      <c r="I732" s="43">
        <v>1614</v>
      </c>
      <c r="J732" s="38" t="s">
        <v>1833</v>
      </c>
      <c r="K732" s="38" t="s">
        <v>25</v>
      </c>
      <c r="L732" s="39" t="s">
        <v>26</v>
      </c>
      <c r="M732" s="39" t="s">
        <v>26</v>
      </c>
      <c r="N732" s="44">
        <v>39.897064151570298</v>
      </c>
      <c r="O732" s="44">
        <v>-75.311811557696998</v>
      </c>
      <c r="P732" s="41">
        <v>1359</v>
      </c>
      <c r="Q732" s="42">
        <v>44235</v>
      </c>
      <c r="R732" s="41" t="s">
        <v>27</v>
      </c>
      <c r="S732" s="41" t="s">
        <v>28</v>
      </c>
      <c r="T732" s="24">
        <f t="shared" si="20"/>
        <v>1666.134</v>
      </c>
    </row>
    <row r="733" spans="1:20" x14ac:dyDescent="0.25">
      <c r="A733" s="36">
        <v>439</v>
      </c>
      <c r="B733" s="36" t="s">
        <v>1524</v>
      </c>
      <c r="C733" s="36">
        <v>6</v>
      </c>
      <c r="D733" s="36" t="s">
        <v>1494</v>
      </c>
      <c r="E733" s="36" t="s">
        <v>1834</v>
      </c>
      <c r="F733" s="37" t="s">
        <v>1835</v>
      </c>
      <c r="G733" s="37" t="s">
        <v>1836</v>
      </c>
      <c r="H733" s="43">
        <v>50</v>
      </c>
      <c r="I733" s="43">
        <v>568</v>
      </c>
      <c r="J733" s="38" t="s">
        <v>1837</v>
      </c>
      <c r="K733" s="38" t="s">
        <v>25</v>
      </c>
      <c r="L733" s="39" t="s">
        <v>26</v>
      </c>
      <c r="M733" s="39" t="s">
        <v>26</v>
      </c>
      <c r="N733" s="40">
        <v>39.913000080494101</v>
      </c>
      <c r="O733" s="40">
        <v>-75.278682129317104</v>
      </c>
      <c r="P733" s="41">
        <v>1169</v>
      </c>
      <c r="Q733" s="42">
        <v>44235</v>
      </c>
      <c r="R733" s="41" t="s">
        <v>27</v>
      </c>
      <c r="S733" s="41" t="s">
        <v>38</v>
      </c>
      <c r="T733" s="24">
        <f t="shared" si="20"/>
        <v>1433.194</v>
      </c>
    </row>
    <row r="734" spans="1:20" x14ac:dyDescent="0.25">
      <c r="A734" s="9">
        <v>440</v>
      </c>
      <c r="B734" s="9" t="s">
        <v>1524</v>
      </c>
      <c r="C734" s="9">
        <v>6</v>
      </c>
      <c r="D734" s="9" t="s">
        <v>1494</v>
      </c>
      <c r="E734" s="9" t="s">
        <v>1564</v>
      </c>
      <c r="F734" s="37" t="s">
        <v>1806</v>
      </c>
      <c r="G734" s="37" t="s">
        <v>1838</v>
      </c>
      <c r="H734" s="43">
        <v>130</v>
      </c>
      <c r="I734" s="43">
        <v>755</v>
      </c>
      <c r="J734" s="38" t="s">
        <v>1839</v>
      </c>
      <c r="K734" s="38" t="s">
        <v>25</v>
      </c>
      <c r="L734" s="39" t="s">
        <v>26</v>
      </c>
      <c r="M734" s="39" t="s">
        <v>26</v>
      </c>
      <c r="N734" s="44">
        <v>39.922318440736802</v>
      </c>
      <c r="O734" s="44">
        <v>-75.318596863382297</v>
      </c>
      <c r="P734" s="41">
        <v>2784</v>
      </c>
      <c r="Q734" s="42">
        <v>44235</v>
      </c>
      <c r="R734" s="41" t="s">
        <v>27</v>
      </c>
      <c r="S734" s="41" t="s">
        <v>28</v>
      </c>
      <c r="T734" s="24">
        <f t="shared" si="20"/>
        <v>3413.1839999999997</v>
      </c>
    </row>
    <row r="735" spans="1:20" x14ac:dyDescent="0.25">
      <c r="A735" s="36">
        <v>441</v>
      </c>
      <c r="B735" s="36" t="s">
        <v>1524</v>
      </c>
      <c r="C735" s="36">
        <v>6</v>
      </c>
      <c r="D735" s="36" t="s">
        <v>1494</v>
      </c>
      <c r="E735" s="36" t="s">
        <v>1840</v>
      </c>
      <c r="F735" s="37" t="s">
        <v>958</v>
      </c>
      <c r="G735" s="37" t="s">
        <v>1838</v>
      </c>
      <c r="H735" s="43">
        <v>180</v>
      </c>
      <c r="I735" s="43">
        <v>930</v>
      </c>
      <c r="J735" s="38" t="s">
        <v>1841</v>
      </c>
      <c r="K735" s="38" t="s">
        <v>25</v>
      </c>
      <c r="L735" s="39" t="s">
        <v>26</v>
      </c>
      <c r="M735" s="39" t="s">
        <v>26</v>
      </c>
      <c r="N735" s="40">
        <v>39.937929455666101</v>
      </c>
      <c r="O735" s="40">
        <v>-75.273762095652799</v>
      </c>
      <c r="P735" s="41">
        <f>1776+1395</f>
        <v>3171</v>
      </c>
      <c r="Q735" s="42">
        <v>44270</v>
      </c>
      <c r="R735" s="41" t="s">
        <v>1530</v>
      </c>
      <c r="S735" s="41" t="s">
        <v>34</v>
      </c>
      <c r="T735" s="24">
        <f t="shared" si="20"/>
        <v>3887.6459999999997</v>
      </c>
    </row>
    <row r="736" spans="1:20" x14ac:dyDescent="0.25">
      <c r="A736" s="9">
        <v>442</v>
      </c>
      <c r="B736" s="9" t="s">
        <v>1524</v>
      </c>
      <c r="C736" s="9">
        <v>6</v>
      </c>
      <c r="D736" s="9" t="s">
        <v>1494</v>
      </c>
      <c r="E736" s="9" t="s">
        <v>1840</v>
      </c>
      <c r="F736" s="37" t="s">
        <v>1842</v>
      </c>
      <c r="G736" s="37" t="s">
        <v>1843</v>
      </c>
      <c r="H736" s="43">
        <v>31</v>
      </c>
      <c r="I736" s="43">
        <v>534</v>
      </c>
      <c r="J736" s="38" t="s">
        <v>1841</v>
      </c>
      <c r="K736" s="38" t="s">
        <v>25</v>
      </c>
      <c r="L736" s="39" t="s">
        <v>26</v>
      </c>
      <c r="M736" s="39" t="s">
        <v>26</v>
      </c>
      <c r="N736" s="44">
        <v>39.947422093302997</v>
      </c>
      <c r="O736" s="44">
        <v>-75.279813131116001</v>
      </c>
      <c r="P736" s="41">
        <f>1062+1095</f>
        <v>2157</v>
      </c>
      <c r="Q736" s="42">
        <v>44270</v>
      </c>
      <c r="R736" s="41" t="s">
        <v>1530</v>
      </c>
      <c r="S736" s="41" t="s">
        <v>28</v>
      </c>
      <c r="T736" s="24">
        <f t="shared" si="20"/>
        <v>2644.482</v>
      </c>
    </row>
    <row r="737" spans="1:20" x14ac:dyDescent="0.25">
      <c r="A737" s="36">
        <v>443</v>
      </c>
      <c r="B737" s="36" t="s">
        <v>1524</v>
      </c>
      <c r="C737" s="36">
        <v>6</v>
      </c>
      <c r="D737" s="36" t="s">
        <v>1494</v>
      </c>
      <c r="E737" s="36" t="s">
        <v>1809</v>
      </c>
      <c r="F737" s="37" t="s">
        <v>1842</v>
      </c>
      <c r="G737" s="37" t="s">
        <v>1843</v>
      </c>
      <c r="H737" s="43">
        <v>60</v>
      </c>
      <c r="I737" s="43">
        <v>1172</v>
      </c>
      <c r="J737" s="38" t="s">
        <v>1844</v>
      </c>
      <c r="K737" s="38" t="s">
        <v>25</v>
      </c>
      <c r="L737" s="39" t="s">
        <v>26</v>
      </c>
      <c r="M737" s="39" t="s">
        <v>26</v>
      </c>
      <c r="N737" s="40">
        <v>39.9543071898064</v>
      </c>
      <c r="O737" s="40">
        <v>-75.254766733340006</v>
      </c>
      <c r="P737" s="41">
        <f>761</f>
        <v>761</v>
      </c>
      <c r="Q737" s="42">
        <v>44270</v>
      </c>
      <c r="R737" s="41" t="s">
        <v>1530</v>
      </c>
      <c r="S737" s="41" t="s">
        <v>34</v>
      </c>
      <c r="T737" s="24">
        <f t="shared" si="20"/>
        <v>932.98599999999999</v>
      </c>
    </row>
    <row r="738" spans="1:20" x14ac:dyDescent="0.25">
      <c r="A738" s="9">
        <v>444</v>
      </c>
      <c r="B738" s="9" t="s">
        <v>1524</v>
      </c>
      <c r="C738" s="9">
        <v>6</v>
      </c>
      <c r="D738" s="9" t="s">
        <v>1494</v>
      </c>
      <c r="E738" s="9" t="s">
        <v>1845</v>
      </c>
      <c r="F738" s="37" t="s">
        <v>1846</v>
      </c>
      <c r="G738" s="37" t="s">
        <v>786</v>
      </c>
      <c r="H738" s="43">
        <v>60</v>
      </c>
      <c r="I738" s="43">
        <v>2849</v>
      </c>
      <c r="J738" s="38" t="s">
        <v>1847</v>
      </c>
      <c r="K738" s="38" t="s">
        <v>25</v>
      </c>
      <c r="L738" s="39" t="s">
        <v>26</v>
      </c>
      <c r="M738" s="39" t="s">
        <v>26</v>
      </c>
      <c r="N738" s="44">
        <v>39.907124020121401</v>
      </c>
      <c r="O738" s="44">
        <v>-75.328015702888393</v>
      </c>
      <c r="P738" s="41">
        <v>2788</v>
      </c>
      <c r="Q738" s="42">
        <v>44235</v>
      </c>
      <c r="R738" s="41" t="s">
        <v>27</v>
      </c>
      <c r="S738" s="41" t="s">
        <v>28</v>
      </c>
      <c r="T738" s="24">
        <f t="shared" si="20"/>
        <v>3418.0879999999997</v>
      </c>
    </row>
    <row r="739" spans="1:20" x14ac:dyDescent="0.25">
      <c r="A739" s="36">
        <v>445</v>
      </c>
      <c r="B739" s="36" t="s">
        <v>1524</v>
      </c>
      <c r="C739" s="36">
        <v>6</v>
      </c>
      <c r="D739" s="36" t="s">
        <v>1494</v>
      </c>
      <c r="E739" s="36" t="s">
        <v>1809</v>
      </c>
      <c r="F739" s="37" t="s">
        <v>1441</v>
      </c>
      <c r="G739" s="37" t="s">
        <v>1159</v>
      </c>
      <c r="H739" s="43">
        <v>30</v>
      </c>
      <c r="I739" s="43">
        <v>1311</v>
      </c>
      <c r="J739" s="38" t="s">
        <v>1848</v>
      </c>
      <c r="K739" s="38" t="s">
        <v>25</v>
      </c>
      <c r="L739" s="39" t="s">
        <v>26</v>
      </c>
      <c r="M739" s="39" t="s">
        <v>26</v>
      </c>
      <c r="N739" s="40">
        <v>39.952009317462199</v>
      </c>
      <c r="O739" s="40">
        <v>-75.307451319161501</v>
      </c>
      <c r="P739" s="41">
        <f>234+573</f>
        <v>807</v>
      </c>
      <c r="Q739" s="42">
        <v>44270</v>
      </c>
      <c r="R739" s="41" t="s">
        <v>1530</v>
      </c>
      <c r="S739" s="41" t="s">
        <v>28</v>
      </c>
      <c r="T739" s="24">
        <f t="shared" si="20"/>
        <v>989.38199999999995</v>
      </c>
    </row>
    <row r="740" spans="1:20" x14ac:dyDescent="0.25">
      <c r="A740" s="9">
        <v>607</v>
      </c>
      <c r="B740" s="9" t="s">
        <v>1524</v>
      </c>
      <c r="C740" s="9">
        <v>8</v>
      </c>
      <c r="D740" s="9" t="s">
        <v>1461</v>
      </c>
      <c r="E740" s="9" t="s">
        <v>1849</v>
      </c>
      <c r="F740" s="37" t="s">
        <v>1850</v>
      </c>
      <c r="G740" s="37" t="s">
        <v>1549</v>
      </c>
      <c r="H740" s="37">
        <v>480</v>
      </c>
      <c r="I740" s="37">
        <v>2559</v>
      </c>
      <c r="J740" s="38" t="s">
        <v>1851</v>
      </c>
      <c r="K740" s="38" t="s">
        <v>25</v>
      </c>
      <c r="L740" s="39" t="s">
        <v>26</v>
      </c>
      <c r="M740" s="39" t="s">
        <v>26</v>
      </c>
      <c r="N740" s="44">
        <v>39.9901486944703</v>
      </c>
      <c r="O740" s="44">
        <v>-76.265132926813607</v>
      </c>
      <c r="P740" s="41">
        <f>638+547</f>
        <v>1185</v>
      </c>
      <c r="Q740" s="42">
        <v>44243</v>
      </c>
      <c r="R740" s="41" t="s">
        <v>1530</v>
      </c>
      <c r="S740" s="41" t="s">
        <v>28</v>
      </c>
      <c r="T740" s="24">
        <f t="shared" ref="T740:T770" si="21">P740*$X$9</f>
        <v>1481.25</v>
      </c>
    </row>
    <row r="741" spans="1:20" x14ac:dyDescent="0.25">
      <c r="A741" s="36">
        <v>608</v>
      </c>
      <c r="B741" s="36" t="s">
        <v>1524</v>
      </c>
      <c r="C741" s="36">
        <v>8</v>
      </c>
      <c r="D741" s="36" t="s">
        <v>1461</v>
      </c>
      <c r="E741" s="36" t="s">
        <v>1849</v>
      </c>
      <c r="F741" s="37" t="s">
        <v>1852</v>
      </c>
      <c r="G741" s="37" t="s">
        <v>1549</v>
      </c>
      <c r="H741" s="43">
        <v>510</v>
      </c>
      <c r="I741" s="43">
        <v>2509</v>
      </c>
      <c r="J741" s="38" t="s">
        <v>1853</v>
      </c>
      <c r="K741" s="38" t="s">
        <v>1828</v>
      </c>
      <c r="L741" s="39" t="s">
        <v>26</v>
      </c>
      <c r="M741" s="39" t="s">
        <v>26</v>
      </c>
      <c r="N741" s="40">
        <v>39.992350208607803</v>
      </c>
      <c r="O741" s="40">
        <v>-76.285847788491296</v>
      </c>
      <c r="P741" s="41">
        <f>2427+2607</f>
        <v>5034</v>
      </c>
      <c r="Q741" s="42">
        <v>44238</v>
      </c>
      <c r="R741" s="41" t="s">
        <v>1530</v>
      </c>
      <c r="S741" s="41" t="s">
        <v>38</v>
      </c>
      <c r="T741" s="24">
        <f t="shared" si="21"/>
        <v>6292.5</v>
      </c>
    </row>
    <row r="742" spans="1:20" x14ac:dyDescent="0.25">
      <c r="A742" s="9">
        <v>609</v>
      </c>
      <c r="B742" s="9" t="s">
        <v>1524</v>
      </c>
      <c r="C742" s="9">
        <v>8</v>
      </c>
      <c r="D742" s="9" t="s">
        <v>1461</v>
      </c>
      <c r="E742" s="9" t="s">
        <v>1854</v>
      </c>
      <c r="F742" s="37" t="s">
        <v>1855</v>
      </c>
      <c r="G742" s="37" t="s">
        <v>1856</v>
      </c>
      <c r="H742" s="37">
        <v>50</v>
      </c>
      <c r="I742" s="37">
        <v>0</v>
      </c>
      <c r="J742" s="38" t="s">
        <v>1857</v>
      </c>
      <c r="K742" s="38" t="s">
        <v>25</v>
      </c>
      <c r="L742" s="39" t="s">
        <v>26</v>
      </c>
      <c r="M742" s="39" t="s">
        <v>26</v>
      </c>
      <c r="N742" s="44">
        <v>40.114527883358797</v>
      </c>
      <c r="O742" s="44">
        <v>-76.646687829761106</v>
      </c>
      <c r="P742" s="41">
        <f>1121</f>
        <v>1121</v>
      </c>
      <c r="Q742" s="42">
        <v>44286</v>
      </c>
      <c r="R742" s="41" t="s">
        <v>27</v>
      </c>
      <c r="S742" s="41" t="s">
        <v>517</v>
      </c>
      <c r="T742" s="24">
        <f t="shared" si="21"/>
        <v>1401.25</v>
      </c>
    </row>
    <row r="743" spans="1:20" x14ac:dyDescent="0.25">
      <c r="A743" s="36">
        <v>610</v>
      </c>
      <c r="B743" s="36" t="s">
        <v>1524</v>
      </c>
      <c r="C743" s="36">
        <v>8</v>
      </c>
      <c r="D743" s="36" t="s">
        <v>1461</v>
      </c>
      <c r="E743" s="36" t="s">
        <v>1858</v>
      </c>
      <c r="F743" s="37" t="s">
        <v>1696</v>
      </c>
      <c r="G743" s="37" t="s">
        <v>1859</v>
      </c>
      <c r="H743" s="37">
        <v>490</v>
      </c>
      <c r="I743" s="37">
        <v>0</v>
      </c>
      <c r="J743" s="38" t="s">
        <v>1860</v>
      </c>
      <c r="K743" s="38" t="s">
        <v>25</v>
      </c>
      <c r="L743" s="39" t="s">
        <v>26</v>
      </c>
      <c r="M743" s="39" t="s">
        <v>26</v>
      </c>
      <c r="N743" s="40">
        <v>39.984250553278997</v>
      </c>
      <c r="O743" s="40">
        <v>-76.073402808016596</v>
      </c>
      <c r="P743" s="41">
        <f>456+452</f>
        <v>908</v>
      </c>
      <c r="Q743" s="42">
        <v>44237</v>
      </c>
      <c r="R743" s="41" t="s">
        <v>1530</v>
      </c>
      <c r="S743" s="41" t="s">
        <v>28</v>
      </c>
      <c r="T743" s="24">
        <f t="shared" si="21"/>
        <v>1135</v>
      </c>
    </row>
    <row r="744" spans="1:20" x14ac:dyDescent="0.25">
      <c r="A744" s="9">
        <v>611</v>
      </c>
      <c r="B744" s="9" t="s">
        <v>1524</v>
      </c>
      <c r="C744" s="9">
        <v>8</v>
      </c>
      <c r="D744" s="9" t="s">
        <v>1461</v>
      </c>
      <c r="E744" s="9" t="s">
        <v>1861</v>
      </c>
      <c r="F744" s="37" t="s">
        <v>1862</v>
      </c>
      <c r="G744" s="37" t="s">
        <v>1863</v>
      </c>
      <c r="H744" s="37">
        <v>890</v>
      </c>
      <c r="I744" s="37">
        <v>1728</v>
      </c>
      <c r="J744" s="38" t="s">
        <v>1864</v>
      </c>
      <c r="K744" s="38" t="s">
        <v>25</v>
      </c>
      <c r="L744" s="39" t="s">
        <v>26</v>
      </c>
      <c r="M744" s="39" t="s">
        <v>26</v>
      </c>
      <c r="N744" s="44">
        <v>40.0116230939852</v>
      </c>
      <c r="O744" s="44">
        <v>-76.046486354321104</v>
      </c>
      <c r="P744" s="41">
        <f>526+520</f>
        <v>1046</v>
      </c>
      <c r="Q744" s="42">
        <v>44237</v>
      </c>
      <c r="R744" s="41" t="s">
        <v>1530</v>
      </c>
      <c r="S744" s="41" t="s">
        <v>28</v>
      </c>
      <c r="T744" s="24">
        <f t="shared" si="21"/>
        <v>1307.5</v>
      </c>
    </row>
    <row r="745" spans="1:20" x14ac:dyDescent="0.25">
      <c r="A745" s="36">
        <v>612</v>
      </c>
      <c r="B745" s="36" t="s">
        <v>1524</v>
      </c>
      <c r="C745" s="36">
        <v>8</v>
      </c>
      <c r="D745" s="36" t="s">
        <v>1461</v>
      </c>
      <c r="E745" s="36" t="s">
        <v>1865</v>
      </c>
      <c r="F745" s="37" t="s">
        <v>1866</v>
      </c>
      <c r="G745" s="37" t="s">
        <v>1867</v>
      </c>
      <c r="H745" s="37">
        <v>170</v>
      </c>
      <c r="I745" s="37">
        <v>777</v>
      </c>
      <c r="J745" s="38" t="s">
        <v>1868</v>
      </c>
      <c r="K745" s="38" t="s">
        <v>25</v>
      </c>
      <c r="L745" s="39" t="s">
        <v>26</v>
      </c>
      <c r="M745" s="39" t="s">
        <v>26</v>
      </c>
      <c r="N745" s="40">
        <v>40.116143012496899</v>
      </c>
      <c r="O745" s="40">
        <v>-76.096746792787101</v>
      </c>
      <c r="P745" s="41">
        <f>475+542</f>
        <v>1017</v>
      </c>
      <c r="Q745" s="42">
        <v>44243</v>
      </c>
      <c r="R745" s="41" t="s">
        <v>1530</v>
      </c>
      <c r="S745" s="41" t="s">
        <v>517</v>
      </c>
      <c r="T745" s="24">
        <f t="shared" si="21"/>
        <v>1271.25</v>
      </c>
    </row>
    <row r="746" spans="1:20" x14ac:dyDescent="0.25">
      <c r="A746" s="9">
        <v>613</v>
      </c>
      <c r="B746" s="9" t="s">
        <v>1524</v>
      </c>
      <c r="C746" s="9">
        <v>8</v>
      </c>
      <c r="D746" s="9" t="s">
        <v>1461</v>
      </c>
      <c r="E746" s="9" t="s">
        <v>1865</v>
      </c>
      <c r="F746" s="37" t="s">
        <v>1869</v>
      </c>
      <c r="G746" s="37" t="s">
        <v>1139</v>
      </c>
      <c r="H746" s="37">
        <v>130</v>
      </c>
      <c r="I746" s="37">
        <v>739</v>
      </c>
      <c r="J746" s="38" t="s">
        <v>1870</v>
      </c>
      <c r="K746" s="38" t="s">
        <v>25</v>
      </c>
      <c r="L746" s="39" t="s">
        <v>26</v>
      </c>
      <c r="M746" s="39" t="s">
        <v>26</v>
      </c>
      <c r="N746" s="44">
        <v>40.072735755266599</v>
      </c>
      <c r="O746" s="44">
        <v>-76.105435052863498</v>
      </c>
      <c r="P746" s="41">
        <f>414</f>
        <v>414</v>
      </c>
      <c r="Q746" s="41" t="s">
        <v>1871</v>
      </c>
      <c r="R746" s="41" t="s">
        <v>27</v>
      </c>
      <c r="S746" s="41" t="s">
        <v>34</v>
      </c>
      <c r="T746" s="24">
        <f t="shared" si="21"/>
        <v>517.5</v>
      </c>
    </row>
    <row r="747" spans="1:20" x14ac:dyDescent="0.25">
      <c r="A747" s="36">
        <v>614</v>
      </c>
      <c r="B747" s="36" t="s">
        <v>1524</v>
      </c>
      <c r="C747" s="36">
        <v>8</v>
      </c>
      <c r="D747" s="36" t="s">
        <v>1461</v>
      </c>
      <c r="E747" s="36" t="s">
        <v>1849</v>
      </c>
      <c r="F747" s="37" t="s">
        <v>1872</v>
      </c>
      <c r="G747" s="37" t="s">
        <v>1873</v>
      </c>
      <c r="H747" s="37">
        <v>20</v>
      </c>
      <c r="I747" s="37">
        <v>0</v>
      </c>
      <c r="J747" s="38" t="s">
        <v>1874</v>
      </c>
      <c r="K747" s="38" t="s">
        <v>25</v>
      </c>
      <c r="L747" s="39" t="s">
        <v>26</v>
      </c>
      <c r="M747" s="39" t="s">
        <v>26</v>
      </c>
      <c r="N747" s="40">
        <v>39.9991457878643</v>
      </c>
      <c r="O747" s="40">
        <v>-76.264657753114605</v>
      </c>
      <c r="P747" s="41">
        <f>2125+1819</f>
        <v>3944</v>
      </c>
      <c r="Q747" s="42">
        <v>44243</v>
      </c>
      <c r="R747" s="41" t="s">
        <v>1530</v>
      </c>
      <c r="S747" s="41" t="s">
        <v>517</v>
      </c>
      <c r="T747" s="24">
        <f t="shared" si="21"/>
        <v>4930</v>
      </c>
    </row>
    <row r="748" spans="1:20" x14ac:dyDescent="0.25">
      <c r="A748" s="9">
        <v>615</v>
      </c>
      <c r="B748" s="9" t="s">
        <v>1524</v>
      </c>
      <c r="C748" s="9">
        <v>8</v>
      </c>
      <c r="D748" s="9" t="s">
        <v>1461</v>
      </c>
      <c r="E748" s="9" t="s">
        <v>1875</v>
      </c>
      <c r="F748" s="37" t="s">
        <v>1876</v>
      </c>
      <c r="G748" s="37" t="s">
        <v>310</v>
      </c>
      <c r="H748" s="37">
        <v>120</v>
      </c>
      <c r="I748" s="37">
        <v>0</v>
      </c>
      <c r="J748" s="38" t="s">
        <v>1877</v>
      </c>
      <c r="K748" s="38" t="s">
        <v>25</v>
      </c>
      <c r="L748" s="39" t="s">
        <v>26</v>
      </c>
      <c r="M748" s="39" t="s">
        <v>26</v>
      </c>
      <c r="N748" s="44">
        <v>39.9678650892862</v>
      </c>
      <c r="O748" s="44">
        <v>-76.322360055328005</v>
      </c>
      <c r="P748" s="41">
        <f>340+353</f>
        <v>693</v>
      </c>
      <c r="Q748" s="42">
        <v>44243</v>
      </c>
      <c r="R748" s="41" t="s">
        <v>1530</v>
      </c>
      <c r="S748" s="41" t="s">
        <v>38</v>
      </c>
      <c r="T748" s="24">
        <f t="shared" si="21"/>
        <v>866.25</v>
      </c>
    </row>
    <row r="749" spans="1:20" x14ac:dyDescent="0.25">
      <c r="A749" s="36">
        <v>616</v>
      </c>
      <c r="B749" s="36" t="s">
        <v>1524</v>
      </c>
      <c r="C749" s="36">
        <v>8</v>
      </c>
      <c r="D749" s="36" t="s">
        <v>1461</v>
      </c>
      <c r="E749" s="36" t="s">
        <v>1063</v>
      </c>
      <c r="F749" s="37" t="s">
        <v>1878</v>
      </c>
      <c r="G749" s="37" t="s">
        <v>1099</v>
      </c>
      <c r="H749" s="37">
        <v>90</v>
      </c>
      <c r="I749" s="37">
        <v>0</v>
      </c>
      <c r="J749" s="38" t="s">
        <v>1879</v>
      </c>
      <c r="K749" s="38" t="s">
        <v>25</v>
      </c>
      <c r="L749" s="39" t="s">
        <v>26</v>
      </c>
      <c r="M749" s="39" t="s">
        <v>26</v>
      </c>
      <c r="N749" s="40">
        <v>40.173648326456401</v>
      </c>
      <c r="O749" s="40">
        <v>-76.338350379999099</v>
      </c>
      <c r="P749" s="41">
        <f>1866</f>
        <v>1866</v>
      </c>
      <c r="Q749" s="42">
        <v>44286</v>
      </c>
      <c r="R749" s="41" t="s">
        <v>27</v>
      </c>
      <c r="S749" s="41" t="s">
        <v>34</v>
      </c>
      <c r="T749" s="24">
        <f t="shared" si="21"/>
        <v>2332.5</v>
      </c>
    </row>
    <row r="750" spans="1:20" x14ac:dyDescent="0.25">
      <c r="A750" s="9">
        <v>651</v>
      </c>
      <c r="B750" s="9" t="s">
        <v>1524</v>
      </c>
      <c r="C750" s="9">
        <v>8</v>
      </c>
      <c r="D750" s="9" t="s">
        <v>1503</v>
      </c>
      <c r="E750" s="9" t="s">
        <v>1880</v>
      </c>
      <c r="F750" s="37" t="s">
        <v>1881</v>
      </c>
      <c r="G750" s="37" t="s">
        <v>1882</v>
      </c>
      <c r="H750" s="43">
        <v>70</v>
      </c>
      <c r="I750" s="43">
        <v>2038</v>
      </c>
      <c r="J750" s="38" t="s">
        <v>1883</v>
      </c>
      <c r="K750" s="38" t="s">
        <v>25</v>
      </c>
      <c r="L750" s="39" t="s">
        <v>26</v>
      </c>
      <c r="M750" s="39" t="s">
        <v>26</v>
      </c>
      <c r="N750" s="44">
        <v>40.294215429287298</v>
      </c>
      <c r="O750" s="44">
        <v>-76.424552832735003</v>
      </c>
      <c r="P750" s="41">
        <f>1504</f>
        <v>1504</v>
      </c>
      <c r="Q750" s="42">
        <v>44288</v>
      </c>
      <c r="R750" s="41" t="s">
        <v>27</v>
      </c>
      <c r="S750" s="41" t="s">
        <v>38</v>
      </c>
      <c r="T750" s="24">
        <f t="shared" si="21"/>
        <v>1880</v>
      </c>
    </row>
    <row r="751" spans="1:20" x14ac:dyDescent="0.25">
      <c r="A751" s="36">
        <v>652</v>
      </c>
      <c r="B751" s="36" t="s">
        <v>1524</v>
      </c>
      <c r="C751" s="36">
        <v>8</v>
      </c>
      <c r="D751" s="36" t="s">
        <v>1503</v>
      </c>
      <c r="E751" s="36" t="s">
        <v>1884</v>
      </c>
      <c r="F751" s="37" t="s">
        <v>1885</v>
      </c>
      <c r="G751" s="37" t="s">
        <v>1882</v>
      </c>
      <c r="H751" s="43">
        <v>170</v>
      </c>
      <c r="I751" s="43">
        <v>3402</v>
      </c>
      <c r="J751" s="38" t="s">
        <v>1886</v>
      </c>
      <c r="K751" s="38" t="s">
        <v>25</v>
      </c>
      <c r="L751" s="39" t="s">
        <v>26</v>
      </c>
      <c r="M751" s="39" t="s">
        <v>26</v>
      </c>
      <c r="N751" s="40">
        <v>40.377219438205699</v>
      </c>
      <c r="O751" s="40">
        <v>-76.4726413935593</v>
      </c>
      <c r="P751" s="41">
        <f>616</f>
        <v>616</v>
      </c>
      <c r="Q751" s="42">
        <v>44292</v>
      </c>
      <c r="R751" s="41" t="s">
        <v>27</v>
      </c>
      <c r="S751" s="41" t="s">
        <v>517</v>
      </c>
      <c r="T751" s="24">
        <f t="shared" si="21"/>
        <v>770</v>
      </c>
    </row>
    <row r="752" spans="1:20" x14ac:dyDescent="0.25">
      <c r="A752" s="9">
        <v>653</v>
      </c>
      <c r="B752" s="9" t="s">
        <v>1524</v>
      </c>
      <c r="C752" s="9">
        <v>8</v>
      </c>
      <c r="D752" s="9" t="s">
        <v>1503</v>
      </c>
      <c r="E752" s="9" t="s">
        <v>1504</v>
      </c>
      <c r="F752" s="37" t="s">
        <v>1887</v>
      </c>
      <c r="G752" s="37" t="s">
        <v>1505</v>
      </c>
      <c r="H752" s="43">
        <v>250</v>
      </c>
      <c r="I752" s="43">
        <v>0</v>
      </c>
      <c r="J752" s="38" t="s">
        <v>1888</v>
      </c>
      <c r="K752" s="38" t="s">
        <v>25</v>
      </c>
      <c r="L752" s="39" t="s">
        <v>26</v>
      </c>
      <c r="M752" s="39" t="s">
        <v>26</v>
      </c>
      <c r="N752" s="44">
        <v>40.282958637274596</v>
      </c>
      <c r="O752" s="44">
        <v>-76.572917382721798</v>
      </c>
      <c r="P752" s="41">
        <v>2590</v>
      </c>
      <c r="Q752" s="46">
        <v>44244</v>
      </c>
      <c r="R752" s="41" t="s">
        <v>27</v>
      </c>
      <c r="S752" s="41" t="s">
        <v>517</v>
      </c>
      <c r="T752" s="24">
        <f t="shared" si="21"/>
        <v>3237.5</v>
      </c>
    </row>
    <row r="753" spans="1:20" x14ac:dyDescent="0.25">
      <c r="A753" s="36">
        <v>654</v>
      </c>
      <c r="B753" s="36" t="s">
        <v>1524</v>
      </c>
      <c r="C753" s="36">
        <v>8</v>
      </c>
      <c r="D753" s="36" t="s">
        <v>1503</v>
      </c>
      <c r="E753" s="36" t="s">
        <v>1504</v>
      </c>
      <c r="F753" s="37" t="s">
        <v>1887</v>
      </c>
      <c r="G753" s="37" t="s">
        <v>1505</v>
      </c>
      <c r="H753" s="43">
        <v>260</v>
      </c>
      <c r="I753" s="43">
        <v>0</v>
      </c>
      <c r="J753" s="38" t="s">
        <v>1889</v>
      </c>
      <c r="K753" s="38" t="s">
        <v>25</v>
      </c>
      <c r="L753" s="39" t="s">
        <v>26</v>
      </c>
      <c r="M753" s="39" t="s">
        <v>26</v>
      </c>
      <c r="N753" s="40">
        <v>40.288676396053098</v>
      </c>
      <c r="O753" s="40">
        <v>-76.574565189396907</v>
      </c>
      <c r="P753" s="41">
        <v>5918</v>
      </c>
      <c r="Q753" s="46">
        <v>44244</v>
      </c>
      <c r="R753" s="41" t="s">
        <v>27</v>
      </c>
      <c r="S753" s="41" t="s">
        <v>38</v>
      </c>
      <c r="T753" s="24">
        <f t="shared" si="21"/>
        <v>7397.5</v>
      </c>
    </row>
    <row r="754" spans="1:20" x14ac:dyDescent="0.25">
      <c r="A754" s="9">
        <v>655</v>
      </c>
      <c r="B754" s="9" t="s">
        <v>1524</v>
      </c>
      <c r="C754" s="9">
        <v>8</v>
      </c>
      <c r="D754" s="9" t="s">
        <v>1503</v>
      </c>
      <c r="E754" s="9" t="s">
        <v>1890</v>
      </c>
      <c r="F754" s="37" t="s">
        <v>1887</v>
      </c>
      <c r="G754" s="37" t="s">
        <v>1505</v>
      </c>
      <c r="H754" s="43">
        <v>280</v>
      </c>
      <c r="I754" s="43">
        <v>0</v>
      </c>
      <c r="J754" s="38" t="s">
        <v>1891</v>
      </c>
      <c r="K754" s="38" t="s">
        <v>25</v>
      </c>
      <c r="L754" s="39" t="s">
        <v>26</v>
      </c>
      <c r="M754" s="39" t="s">
        <v>26</v>
      </c>
      <c r="N754" s="44">
        <v>40.305527030277702</v>
      </c>
      <c r="O754" s="44">
        <v>-76.582249898461896</v>
      </c>
      <c r="P754" s="41">
        <v>1002</v>
      </c>
      <c r="Q754" s="46">
        <v>44244</v>
      </c>
      <c r="R754" s="41" t="s">
        <v>27</v>
      </c>
      <c r="S754" s="41" t="s">
        <v>517</v>
      </c>
      <c r="T754" s="24">
        <f t="shared" si="21"/>
        <v>1252.5</v>
      </c>
    </row>
    <row r="755" spans="1:20" x14ac:dyDescent="0.25">
      <c r="A755" s="36">
        <v>656</v>
      </c>
      <c r="B755" s="36" t="s">
        <v>1524</v>
      </c>
      <c r="C755" s="36">
        <v>8</v>
      </c>
      <c r="D755" s="36" t="s">
        <v>1503</v>
      </c>
      <c r="E755" s="36" t="s">
        <v>1892</v>
      </c>
      <c r="F755" s="37" t="s">
        <v>1893</v>
      </c>
      <c r="G755" s="37" t="s">
        <v>1856</v>
      </c>
      <c r="H755" s="37">
        <v>200</v>
      </c>
      <c r="I755" s="37">
        <v>0</v>
      </c>
      <c r="J755" s="38" t="s">
        <v>1894</v>
      </c>
      <c r="K755" s="38" t="s">
        <v>25</v>
      </c>
      <c r="L755" s="39" t="s">
        <v>26</v>
      </c>
      <c r="M755" s="39" t="s">
        <v>26</v>
      </c>
      <c r="N755" s="40">
        <v>40.307341175770603</v>
      </c>
      <c r="O755" s="40">
        <v>-76.448519196013294</v>
      </c>
      <c r="P755" s="41">
        <f>1796</f>
        <v>1796</v>
      </c>
      <c r="Q755" s="42">
        <v>44288</v>
      </c>
      <c r="R755" s="41" t="s">
        <v>27</v>
      </c>
      <c r="S755" s="41" t="s">
        <v>517</v>
      </c>
      <c r="T755" s="24">
        <f t="shared" si="21"/>
        <v>2245</v>
      </c>
    </row>
    <row r="756" spans="1:20" x14ac:dyDescent="0.25">
      <c r="A756" s="9">
        <v>657</v>
      </c>
      <c r="B756" s="9" t="s">
        <v>1524</v>
      </c>
      <c r="C756" s="9">
        <v>8</v>
      </c>
      <c r="D756" s="9" t="s">
        <v>1503</v>
      </c>
      <c r="E756" s="9" t="s">
        <v>1504</v>
      </c>
      <c r="F756" s="37" t="s">
        <v>1895</v>
      </c>
      <c r="G756" s="37" t="s">
        <v>75</v>
      </c>
      <c r="H756" s="43">
        <v>10</v>
      </c>
      <c r="I756" s="43">
        <v>1406</v>
      </c>
      <c r="J756" s="38" t="s">
        <v>1896</v>
      </c>
      <c r="K756" s="38" t="s">
        <v>25</v>
      </c>
      <c r="L756" s="39" t="s">
        <v>26</v>
      </c>
      <c r="M756" s="39" t="s">
        <v>26</v>
      </c>
      <c r="N756" s="44">
        <v>40.277066101112297</v>
      </c>
      <c r="O756" s="44">
        <v>-76.595788669087995</v>
      </c>
      <c r="P756" s="41">
        <f>800+651</f>
        <v>1451</v>
      </c>
      <c r="Q756" s="42">
        <v>44288</v>
      </c>
      <c r="R756" s="41" t="s">
        <v>1530</v>
      </c>
      <c r="S756" s="41" t="s">
        <v>34</v>
      </c>
      <c r="T756" s="24">
        <f t="shared" si="21"/>
        <v>1813.75</v>
      </c>
    </row>
    <row r="757" spans="1:20" x14ac:dyDescent="0.25">
      <c r="A757" s="36">
        <v>658</v>
      </c>
      <c r="B757" s="36" t="s">
        <v>1524</v>
      </c>
      <c r="C757" s="36">
        <v>8</v>
      </c>
      <c r="D757" s="36" t="s">
        <v>1503</v>
      </c>
      <c r="E757" s="36" t="s">
        <v>1897</v>
      </c>
      <c r="F757" s="37" t="s">
        <v>1895</v>
      </c>
      <c r="G757" s="37" t="s">
        <v>75</v>
      </c>
      <c r="H757" s="37">
        <v>150</v>
      </c>
      <c r="I757" s="37">
        <v>0</v>
      </c>
      <c r="J757" s="38" t="s">
        <v>1898</v>
      </c>
      <c r="K757" s="38" t="s">
        <v>25</v>
      </c>
      <c r="L757" s="39" t="s">
        <v>26</v>
      </c>
      <c r="M757" s="39" t="s">
        <v>26</v>
      </c>
      <c r="N757" s="40">
        <v>40.283125974459402</v>
      </c>
      <c r="O757" s="40">
        <v>-76.459749397401097</v>
      </c>
      <c r="P757" s="41">
        <f>786</f>
        <v>786</v>
      </c>
      <c r="Q757" s="42">
        <v>44288</v>
      </c>
      <c r="R757" s="41" t="s">
        <v>27</v>
      </c>
      <c r="S757" s="41" t="s">
        <v>34</v>
      </c>
      <c r="T757" s="24">
        <f t="shared" si="21"/>
        <v>982.5</v>
      </c>
    </row>
    <row r="758" spans="1:20" x14ac:dyDescent="0.25">
      <c r="A758" s="9">
        <v>659</v>
      </c>
      <c r="B758" s="9" t="s">
        <v>1524</v>
      </c>
      <c r="C758" s="9">
        <v>8</v>
      </c>
      <c r="D758" s="9" t="s">
        <v>1503</v>
      </c>
      <c r="E758" s="9" t="s">
        <v>1884</v>
      </c>
      <c r="F758" s="37" t="s">
        <v>1899</v>
      </c>
      <c r="G758" s="37" t="s">
        <v>1900</v>
      </c>
      <c r="H758" s="37">
        <v>60</v>
      </c>
      <c r="I758" s="37">
        <v>0</v>
      </c>
      <c r="J758" s="38" t="s">
        <v>1901</v>
      </c>
      <c r="K758" s="38" t="s">
        <v>25</v>
      </c>
      <c r="L758" s="39" t="s">
        <v>26</v>
      </c>
      <c r="M758" s="39" t="s">
        <v>26</v>
      </c>
      <c r="N758" s="44">
        <v>40.380439356758401</v>
      </c>
      <c r="O758" s="44">
        <v>-76.4117808416527</v>
      </c>
      <c r="P758" s="41">
        <f>948</f>
        <v>948</v>
      </c>
      <c r="Q758" s="42">
        <v>44292</v>
      </c>
      <c r="R758" s="41" t="s">
        <v>27</v>
      </c>
      <c r="S758" s="41" t="s">
        <v>38</v>
      </c>
      <c r="T758" s="24">
        <f t="shared" si="21"/>
        <v>1185</v>
      </c>
    </row>
    <row r="759" spans="1:20" x14ac:dyDescent="0.25">
      <c r="A759" s="36">
        <v>660</v>
      </c>
      <c r="B759" s="36" t="s">
        <v>1524</v>
      </c>
      <c r="C759" s="36">
        <v>8</v>
      </c>
      <c r="D759" s="36" t="s">
        <v>1503</v>
      </c>
      <c r="E759" s="36" t="s">
        <v>1902</v>
      </c>
      <c r="F759" s="37" t="s">
        <v>77</v>
      </c>
      <c r="G759" s="37" t="s">
        <v>1192</v>
      </c>
      <c r="H759" s="43">
        <v>20</v>
      </c>
      <c r="I759" s="43">
        <v>1775</v>
      </c>
      <c r="J759" s="38" t="s">
        <v>1903</v>
      </c>
      <c r="K759" s="38" t="s">
        <v>25</v>
      </c>
      <c r="L759" s="39" t="s">
        <v>26</v>
      </c>
      <c r="M759" s="39" t="s">
        <v>26</v>
      </c>
      <c r="N759" s="40">
        <v>40.306327159774298</v>
      </c>
      <c r="O759" s="40">
        <v>-76.598278626421006</v>
      </c>
      <c r="P759" s="41">
        <v>650</v>
      </c>
      <c r="Q759" s="46">
        <v>44244</v>
      </c>
      <c r="R759" s="41" t="s">
        <v>27</v>
      </c>
      <c r="S759" s="41" t="s">
        <v>28</v>
      </c>
      <c r="T759" s="24">
        <f t="shared" si="21"/>
        <v>812.5</v>
      </c>
    </row>
    <row r="760" spans="1:20" x14ac:dyDescent="0.25">
      <c r="A760" s="9">
        <v>661</v>
      </c>
      <c r="B760" s="9" t="s">
        <v>1524</v>
      </c>
      <c r="C760" s="9">
        <v>8</v>
      </c>
      <c r="D760" s="9" t="s">
        <v>1503</v>
      </c>
      <c r="E760" s="9" t="s">
        <v>1902</v>
      </c>
      <c r="F760" s="37" t="s">
        <v>77</v>
      </c>
      <c r="G760" s="37" t="s">
        <v>1192</v>
      </c>
      <c r="H760" s="43">
        <v>40</v>
      </c>
      <c r="I760" s="43">
        <v>1126</v>
      </c>
      <c r="J760" s="38" t="s">
        <v>1904</v>
      </c>
      <c r="K760" s="38" t="s">
        <v>25</v>
      </c>
      <c r="L760" s="39" t="s">
        <v>26</v>
      </c>
      <c r="M760" s="39" t="s">
        <v>26</v>
      </c>
      <c r="N760" s="44">
        <v>40.311011036430997</v>
      </c>
      <c r="O760" s="44">
        <v>-76.588663286531599</v>
      </c>
      <c r="P760" s="41">
        <v>219</v>
      </c>
      <c r="Q760" s="46">
        <v>44244</v>
      </c>
      <c r="R760" s="41" t="s">
        <v>27</v>
      </c>
      <c r="S760" s="41" t="s">
        <v>28</v>
      </c>
      <c r="T760" s="24">
        <f t="shared" si="21"/>
        <v>273.75</v>
      </c>
    </row>
    <row r="761" spans="1:20" x14ac:dyDescent="0.25">
      <c r="A761" s="36">
        <v>662</v>
      </c>
      <c r="B761" s="36" t="s">
        <v>1524</v>
      </c>
      <c r="C761" s="36">
        <v>8</v>
      </c>
      <c r="D761" s="36" t="s">
        <v>1503</v>
      </c>
      <c r="E761" s="36" t="s">
        <v>1902</v>
      </c>
      <c r="F761" s="37" t="s">
        <v>77</v>
      </c>
      <c r="G761" s="37" t="s">
        <v>1192</v>
      </c>
      <c r="H761" s="43">
        <v>40</v>
      </c>
      <c r="I761" s="43">
        <v>1512</v>
      </c>
      <c r="J761" s="38" t="s">
        <v>1173</v>
      </c>
      <c r="K761" s="38" t="s">
        <v>25</v>
      </c>
      <c r="L761" s="39" t="s">
        <v>26</v>
      </c>
      <c r="M761" s="39" t="s">
        <v>26</v>
      </c>
      <c r="N761" s="40">
        <v>40.311565413394099</v>
      </c>
      <c r="O761" s="40">
        <v>-76.587486557545006</v>
      </c>
      <c r="P761" s="41">
        <v>144</v>
      </c>
      <c r="Q761" s="46">
        <v>44244</v>
      </c>
      <c r="R761" s="41" t="s">
        <v>27</v>
      </c>
      <c r="S761" s="41" t="s">
        <v>34</v>
      </c>
      <c r="T761" s="24">
        <f t="shared" si="21"/>
        <v>180</v>
      </c>
    </row>
    <row r="762" spans="1:20" x14ac:dyDescent="0.25">
      <c r="A762" s="9">
        <v>663</v>
      </c>
      <c r="B762" s="9" t="s">
        <v>1524</v>
      </c>
      <c r="C762" s="9">
        <v>8</v>
      </c>
      <c r="D762" s="9" t="s">
        <v>1503</v>
      </c>
      <c r="E762" s="9" t="s">
        <v>1905</v>
      </c>
      <c r="F762" s="37" t="s">
        <v>77</v>
      </c>
      <c r="G762" s="37" t="s">
        <v>1192</v>
      </c>
      <c r="H762" s="43">
        <v>130</v>
      </c>
      <c r="I762" s="43">
        <v>900</v>
      </c>
      <c r="J762" s="38" t="s">
        <v>143</v>
      </c>
      <c r="K762" s="38" t="s">
        <v>25</v>
      </c>
      <c r="L762" s="39" t="s">
        <v>26</v>
      </c>
      <c r="M762" s="39" t="s">
        <v>26</v>
      </c>
      <c r="N762" s="44">
        <v>40.328445255900803</v>
      </c>
      <c r="O762" s="44">
        <v>-76.5203295249772</v>
      </c>
      <c r="P762" s="41">
        <f>252</f>
        <v>252</v>
      </c>
      <c r="Q762" s="42">
        <v>44288</v>
      </c>
      <c r="R762" s="41" t="s">
        <v>27</v>
      </c>
      <c r="S762" s="41" t="s">
        <v>28</v>
      </c>
      <c r="T762" s="24">
        <f t="shared" si="21"/>
        <v>315</v>
      </c>
    </row>
    <row r="763" spans="1:20" x14ac:dyDescent="0.25">
      <c r="A763" s="36">
        <v>664</v>
      </c>
      <c r="B763" s="36" t="s">
        <v>1524</v>
      </c>
      <c r="C763" s="36">
        <v>8</v>
      </c>
      <c r="D763" s="36" t="s">
        <v>1503</v>
      </c>
      <c r="E763" s="36" t="s">
        <v>776</v>
      </c>
      <c r="F763" s="37" t="s">
        <v>1401</v>
      </c>
      <c r="G763" s="37" t="s">
        <v>1192</v>
      </c>
      <c r="H763" s="43">
        <v>370</v>
      </c>
      <c r="I763" s="43">
        <v>1148</v>
      </c>
      <c r="J763" s="38" t="s">
        <v>1906</v>
      </c>
      <c r="K763" s="38" t="s">
        <v>25</v>
      </c>
      <c r="L763" s="39" t="s">
        <v>26</v>
      </c>
      <c r="M763" s="39" t="s">
        <v>26</v>
      </c>
      <c r="N763" s="40">
        <v>40.383928255400498</v>
      </c>
      <c r="O763" s="40">
        <v>-76.283394359630094</v>
      </c>
      <c r="P763" s="41">
        <f>672</f>
        <v>672</v>
      </c>
      <c r="Q763" s="42">
        <v>44292</v>
      </c>
      <c r="R763" s="41" t="s">
        <v>27</v>
      </c>
      <c r="S763" s="41" t="s">
        <v>934</v>
      </c>
      <c r="T763" s="24">
        <f t="shared" si="21"/>
        <v>840</v>
      </c>
    </row>
    <row r="764" spans="1:20" x14ac:dyDescent="0.25">
      <c r="A764" s="9">
        <v>665</v>
      </c>
      <c r="B764" s="9" t="s">
        <v>1524</v>
      </c>
      <c r="C764" s="9">
        <v>8</v>
      </c>
      <c r="D764" s="9" t="s">
        <v>1503</v>
      </c>
      <c r="E764" s="9" t="s">
        <v>1907</v>
      </c>
      <c r="F764" s="37" t="s">
        <v>1908</v>
      </c>
      <c r="G764" s="37" t="s">
        <v>1909</v>
      </c>
      <c r="H764" s="37">
        <v>50</v>
      </c>
      <c r="I764" s="37">
        <v>2692</v>
      </c>
      <c r="J764" s="38" t="s">
        <v>1910</v>
      </c>
      <c r="K764" s="38" t="s">
        <v>25</v>
      </c>
      <c r="L764" s="39" t="s">
        <v>26</v>
      </c>
      <c r="M764" s="39" t="s">
        <v>26</v>
      </c>
      <c r="N764" s="44">
        <v>40.283776700656396</v>
      </c>
      <c r="O764" s="44">
        <v>-76.304311383117295</v>
      </c>
      <c r="P764" s="41">
        <f>719</f>
        <v>719</v>
      </c>
      <c r="Q764" s="42">
        <v>44292</v>
      </c>
      <c r="R764" s="41" t="s">
        <v>27</v>
      </c>
      <c r="S764" s="41" t="s">
        <v>517</v>
      </c>
      <c r="T764" s="24">
        <f t="shared" si="21"/>
        <v>898.75</v>
      </c>
    </row>
    <row r="765" spans="1:20" x14ac:dyDescent="0.25">
      <c r="A765" s="36">
        <v>666</v>
      </c>
      <c r="B765" s="36" t="s">
        <v>1524</v>
      </c>
      <c r="C765" s="36">
        <v>8</v>
      </c>
      <c r="D765" s="36" t="s">
        <v>1503</v>
      </c>
      <c r="E765" s="36" t="s">
        <v>1911</v>
      </c>
      <c r="F765" s="37" t="s">
        <v>1912</v>
      </c>
      <c r="G765" s="37" t="s">
        <v>1909</v>
      </c>
      <c r="H765" s="43">
        <v>190</v>
      </c>
      <c r="I765" s="43">
        <v>0</v>
      </c>
      <c r="J765" s="38" t="s">
        <v>680</v>
      </c>
      <c r="K765" s="38" t="s">
        <v>25</v>
      </c>
      <c r="L765" s="39" t="s">
        <v>26</v>
      </c>
      <c r="M765" s="39" t="s">
        <v>26</v>
      </c>
      <c r="N765" s="40">
        <v>40.375203867227398</v>
      </c>
      <c r="O765" s="40">
        <v>-76.3059351796214</v>
      </c>
      <c r="P765" s="41">
        <f>2986</f>
        <v>2986</v>
      </c>
      <c r="Q765" s="42">
        <v>44292</v>
      </c>
      <c r="R765" s="41" t="s">
        <v>27</v>
      </c>
      <c r="S765" s="41" t="s">
        <v>517</v>
      </c>
      <c r="T765" s="24">
        <f t="shared" si="21"/>
        <v>3732.5</v>
      </c>
    </row>
    <row r="766" spans="1:20" x14ac:dyDescent="0.25">
      <c r="A766" s="9">
        <v>667</v>
      </c>
      <c r="B766" s="9" t="s">
        <v>1524</v>
      </c>
      <c r="C766" s="9">
        <v>8</v>
      </c>
      <c r="D766" s="9" t="s">
        <v>1503</v>
      </c>
      <c r="E766" s="9" t="s">
        <v>1913</v>
      </c>
      <c r="F766" s="37" t="s">
        <v>1914</v>
      </c>
      <c r="G766" s="37" t="s">
        <v>1915</v>
      </c>
      <c r="H766" s="37">
        <v>120</v>
      </c>
      <c r="I766" s="37">
        <v>366</v>
      </c>
      <c r="J766" s="38" t="s">
        <v>1916</v>
      </c>
      <c r="K766" s="38" t="s">
        <v>25</v>
      </c>
      <c r="L766" s="39" t="s">
        <v>26</v>
      </c>
      <c r="M766" s="39" t="s">
        <v>26</v>
      </c>
      <c r="N766" s="44">
        <v>40.338898502132302</v>
      </c>
      <c r="O766" s="44">
        <v>-76.520186434948201</v>
      </c>
      <c r="P766" s="41">
        <f>498</f>
        <v>498</v>
      </c>
      <c r="Q766" s="42">
        <v>44288</v>
      </c>
      <c r="R766" s="41" t="s">
        <v>27</v>
      </c>
      <c r="S766" s="41" t="s">
        <v>517</v>
      </c>
      <c r="T766" s="24">
        <f t="shared" si="21"/>
        <v>622.5</v>
      </c>
    </row>
    <row r="767" spans="1:20" x14ac:dyDescent="0.25">
      <c r="A767" s="36">
        <v>668</v>
      </c>
      <c r="B767" s="36" t="s">
        <v>1524</v>
      </c>
      <c r="C767" s="36">
        <v>8</v>
      </c>
      <c r="D767" s="36" t="s">
        <v>1503</v>
      </c>
      <c r="E767" s="36" t="s">
        <v>1913</v>
      </c>
      <c r="F767" s="37" t="s">
        <v>1917</v>
      </c>
      <c r="G767" s="37" t="s">
        <v>1915</v>
      </c>
      <c r="H767" s="37">
        <v>150</v>
      </c>
      <c r="I767" s="37">
        <v>0</v>
      </c>
      <c r="J767" s="38" t="s">
        <v>1918</v>
      </c>
      <c r="K767" s="38" t="s">
        <v>25</v>
      </c>
      <c r="L767" s="39" t="s">
        <v>26</v>
      </c>
      <c r="M767" s="39" t="s">
        <v>26</v>
      </c>
      <c r="N767" s="40">
        <v>40.352476153385801</v>
      </c>
      <c r="O767" s="40">
        <v>-76.544836349672494</v>
      </c>
      <c r="P767" s="41">
        <f>3511</f>
        <v>3511</v>
      </c>
      <c r="Q767" s="42">
        <v>44288</v>
      </c>
      <c r="R767" s="41" t="s">
        <v>27</v>
      </c>
      <c r="S767" s="41" t="s">
        <v>517</v>
      </c>
      <c r="T767" s="24">
        <f t="shared" si="21"/>
        <v>4388.75</v>
      </c>
    </row>
    <row r="768" spans="1:20" x14ac:dyDescent="0.25">
      <c r="A768" s="9">
        <v>669</v>
      </c>
      <c r="B768" s="9" t="s">
        <v>1524</v>
      </c>
      <c r="C768" s="9">
        <v>8</v>
      </c>
      <c r="D768" s="9" t="s">
        <v>1503</v>
      </c>
      <c r="E768" s="9" t="s">
        <v>1884</v>
      </c>
      <c r="F768" s="37" t="s">
        <v>1919</v>
      </c>
      <c r="G768" s="37" t="s">
        <v>421</v>
      </c>
      <c r="H768" s="43">
        <v>10</v>
      </c>
      <c r="I768" s="43">
        <v>3095</v>
      </c>
      <c r="J768" s="38" t="s">
        <v>1920</v>
      </c>
      <c r="K768" s="38" t="s">
        <v>25</v>
      </c>
      <c r="L768" s="39" t="s">
        <v>26</v>
      </c>
      <c r="M768" s="39" t="s">
        <v>26</v>
      </c>
      <c r="N768" s="44">
        <v>40.363898365441898</v>
      </c>
      <c r="O768" s="44">
        <v>-76.432409355085198</v>
      </c>
      <c r="P768" s="41">
        <f>737</f>
        <v>737</v>
      </c>
      <c r="Q768" s="42">
        <v>44292</v>
      </c>
      <c r="R768" s="41" t="s">
        <v>27</v>
      </c>
      <c r="S768" s="41" t="s">
        <v>38</v>
      </c>
      <c r="T768" s="24">
        <f t="shared" si="21"/>
        <v>921.25</v>
      </c>
    </row>
    <row r="769" spans="1:20" x14ac:dyDescent="0.25">
      <c r="A769" s="36">
        <v>670</v>
      </c>
      <c r="B769" s="36" t="s">
        <v>1524</v>
      </c>
      <c r="C769" s="36">
        <v>8</v>
      </c>
      <c r="D769" s="36" t="s">
        <v>1503</v>
      </c>
      <c r="E769" s="36" t="s">
        <v>1884</v>
      </c>
      <c r="F769" s="37" t="s">
        <v>1921</v>
      </c>
      <c r="G769" s="37" t="s">
        <v>421</v>
      </c>
      <c r="H769" s="43">
        <v>30</v>
      </c>
      <c r="I769" s="43">
        <v>489</v>
      </c>
      <c r="J769" s="38" t="s">
        <v>1922</v>
      </c>
      <c r="K769" s="38" t="s">
        <v>25</v>
      </c>
      <c r="L769" s="39" t="s">
        <v>26</v>
      </c>
      <c r="M769" s="39" t="s">
        <v>26</v>
      </c>
      <c r="N769" s="40">
        <v>40.368862377678298</v>
      </c>
      <c r="O769" s="40">
        <v>-76.432466855764602</v>
      </c>
      <c r="P769" s="41">
        <f>3757</f>
        <v>3757</v>
      </c>
      <c r="Q769" s="42">
        <v>44292</v>
      </c>
      <c r="R769" s="41" t="s">
        <v>27</v>
      </c>
      <c r="S769" s="41" t="s">
        <v>38</v>
      </c>
      <c r="T769" s="24">
        <f t="shared" si="21"/>
        <v>4696.25</v>
      </c>
    </row>
    <row r="770" spans="1:20" x14ac:dyDescent="0.25">
      <c r="A770" s="9">
        <v>671</v>
      </c>
      <c r="B770" s="9" t="s">
        <v>1524</v>
      </c>
      <c r="C770" s="9">
        <v>8</v>
      </c>
      <c r="D770" s="9" t="s">
        <v>1503</v>
      </c>
      <c r="E770" s="9" t="s">
        <v>1884</v>
      </c>
      <c r="F770" s="37" t="s">
        <v>1923</v>
      </c>
      <c r="G770" s="37" t="s">
        <v>1139</v>
      </c>
      <c r="H770" s="37">
        <v>40</v>
      </c>
      <c r="I770" s="37">
        <v>0</v>
      </c>
      <c r="J770" s="38" t="s">
        <v>1924</v>
      </c>
      <c r="K770" s="38" t="s">
        <v>25</v>
      </c>
      <c r="L770" s="39" t="s">
        <v>26</v>
      </c>
      <c r="M770" s="39" t="s">
        <v>26</v>
      </c>
      <c r="N770" s="44">
        <v>40.372905625586199</v>
      </c>
      <c r="O770" s="44">
        <v>-76.367184833670507</v>
      </c>
      <c r="P770" s="41">
        <f>2291</f>
        <v>2291</v>
      </c>
      <c r="Q770" s="42">
        <v>44292</v>
      </c>
      <c r="R770" s="41" t="s">
        <v>27</v>
      </c>
      <c r="S770" s="41" t="s">
        <v>517</v>
      </c>
      <c r="T770" s="24">
        <f t="shared" si="21"/>
        <v>2863.75</v>
      </c>
    </row>
    <row r="771" spans="1:20" x14ac:dyDescent="0.25">
      <c r="A771" s="36">
        <v>672</v>
      </c>
      <c r="B771" s="36" t="s">
        <v>1524</v>
      </c>
      <c r="C771" s="36">
        <v>5</v>
      </c>
      <c r="D771" s="36" t="s">
        <v>1925</v>
      </c>
      <c r="E771" s="36" t="s">
        <v>1926</v>
      </c>
      <c r="F771" s="37" t="s">
        <v>1927</v>
      </c>
      <c r="G771" s="37" t="s">
        <v>1691</v>
      </c>
      <c r="H771" s="37">
        <v>20</v>
      </c>
      <c r="I771" s="37">
        <v>1479</v>
      </c>
      <c r="J771" s="38" t="s">
        <v>1928</v>
      </c>
      <c r="K771" s="38" t="s">
        <v>25</v>
      </c>
      <c r="L771" s="39" t="s">
        <v>26</v>
      </c>
      <c r="M771" s="39" t="s">
        <v>26</v>
      </c>
      <c r="N771" s="40">
        <v>40.507295524994603</v>
      </c>
      <c r="O771" s="40">
        <v>-75.537037914626197</v>
      </c>
      <c r="P771" s="41">
        <f>1680+1895</f>
        <v>3575</v>
      </c>
      <c r="Q771" s="42">
        <v>44291</v>
      </c>
      <c r="R771" s="41" t="s">
        <v>1530</v>
      </c>
      <c r="S771" s="41" t="s">
        <v>38</v>
      </c>
      <c r="T771" s="24">
        <f t="shared" ref="T771:T810" si="22">P771*$X$7</f>
        <v>3857.4249999999997</v>
      </c>
    </row>
    <row r="772" spans="1:20" x14ac:dyDescent="0.25">
      <c r="A772" s="9">
        <v>673</v>
      </c>
      <c r="B772" s="9" t="s">
        <v>1524</v>
      </c>
      <c r="C772" s="9">
        <v>5</v>
      </c>
      <c r="D772" s="9" t="s">
        <v>1925</v>
      </c>
      <c r="E772" s="9" t="s">
        <v>1929</v>
      </c>
      <c r="F772" s="37" t="s">
        <v>391</v>
      </c>
      <c r="G772" s="37" t="s">
        <v>1930</v>
      </c>
      <c r="H772" s="43">
        <v>70</v>
      </c>
      <c r="I772" s="43">
        <v>947</v>
      </c>
      <c r="J772" s="38" t="s">
        <v>1931</v>
      </c>
      <c r="K772" s="38" t="s">
        <v>25</v>
      </c>
      <c r="L772" s="38" t="s">
        <v>26</v>
      </c>
      <c r="M772" s="38" t="s">
        <v>26</v>
      </c>
      <c r="N772" s="44">
        <v>40.585651429018597</v>
      </c>
      <c r="O772" s="44">
        <v>-75.459621195107701</v>
      </c>
      <c r="P772" s="41">
        <v>1452</v>
      </c>
      <c r="Q772" s="42">
        <v>44223</v>
      </c>
      <c r="R772" s="41" t="s">
        <v>27</v>
      </c>
      <c r="S772" s="41" t="s">
        <v>38</v>
      </c>
      <c r="T772" s="24">
        <f t="shared" si="22"/>
        <v>1566.7079999999999</v>
      </c>
    </row>
    <row r="773" spans="1:20" x14ac:dyDescent="0.25">
      <c r="A773" s="36">
        <v>674</v>
      </c>
      <c r="B773" s="36" t="s">
        <v>1524</v>
      </c>
      <c r="C773" s="36">
        <v>5</v>
      </c>
      <c r="D773" s="36" t="s">
        <v>1925</v>
      </c>
      <c r="E773" s="36" t="s">
        <v>1929</v>
      </c>
      <c r="F773" s="37" t="s">
        <v>1932</v>
      </c>
      <c r="G773" s="37" t="s">
        <v>1930</v>
      </c>
      <c r="H773" s="43" t="s">
        <v>1933</v>
      </c>
      <c r="I773" s="43">
        <v>1020</v>
      </c>
      <c r="J773" s="38" t="s">
        <v>1934</v>
      </c>
      <c r="K773" s="38" t="s">
        <v>25</v>
      </c>
      <c r="L773" s="45" t="s">
        <v>26</v>
      </c>
      <c r="M773" s="38" t="s">
        <v>26</v>
      </c>
      <c r="N773" s="40">
        <v>40.597784643880303</v>
      </c>
      <c r="O773" s="40">
        <v>-75.467449598384405</v>
      </c>
      <c r="P773" s="41">
        <f>9037+8259</f>
        <v>17296</v>
      </c>
      <c r="Q773" s="42">
        <v>44291</v>
      </c>
      <c r="R773" s="41" t="s">
        <v>1530</v>
      </c>
      <c r="S773" s="41" t="s">
        <v>517</v>
      </c>
      <c r="T773" s="24">
        <f t="shared" si="22"/>
        <v>18662.383999999998</v>
      </c>
    </row>
    <row r="774" spans="1:20" x14ac:dyDescent="0.25">
      <c r="A774" s="9">
        <v>675</v>
      </c>
      <c r="B774" s="9" t="s">
        <v>1524</v>
      </c>
      <c r="C774" s="9">
        <v>5</v>
      </c>
      <c r="D774" s="9" t="s">
        <v>1925</v>
      </c>
      <c r="E774" s="9" t="s">
        <v>1935</v>
      </c>
      <c r="F774" s="37" t="s">
        <v>1936</v>
      </c>
      <c r="G774" s="37" t="s">
        <v>1930</v>
      </c>
      <c r="H774" s="43">
        <v>140</v>
      </c>
      <c r="I774" s="43">
        <v>1694</v>
      </c>
      <c r="J774" s="38" t="s">
        <v>1937</v>
      </c>
      <c r="K774" s="38" t="s">
        <v>25</v>
      </c>
      <c r="L774" s="38" t="s">
        <v>26</v>
      </c>
      <c r="M774" s="38" t="s">
        <v>26</v>
      </c>
      <c r="N774" s="44">
        <v>40.643251714766897</v>
      </c>
      <c r="O774" s="44">
        <v>-75.491324856328205</v>
      </c>
      <c r="P774" s="41">
        <f>7051+3210</f>
        <v>10261</v>
      </c>
      <c r="Q774" s="42">
        <v>44217</v>
      </c>
      <c r="R774" s="41" t="s">
        <v>1530</v>
      </c>
      <c r="S774" s="41" t="s">
        <v>38</v>
      </c>
      <c r="T774" s="24">
        <f t="shared" si="22"/>
        <v>11071.618999999999</v>
      </c>
    </row>
    <row r="775" spans="1:20" x14ac:dyDescent="0.25">
      <c r="A775" s="36">
        <v>676</v>
      </c>
      <c r="B775" s="36" t="s">
        <v>1524</v>
      </c>
      <c r="C775" s="36">
        <v>5</v>
      </c>
      <c r="D775" s="36" t="s">
        <v>1925</v>
      </c>
      <c r="E775" s="36" t="s">
        <v>1938</v>
      </c>
      <c r="F775" s="37" t="s">
        <v>1939</v>
      </c>
      <c r="G775" s="37" t="s">
        <v>1549</v>
      </c>
      <c r="H775" s="37">
        <v>10</v>
      </c>
      <c r="I775" s="37">
        <v>969</v>
      </c>
      <c r="J775" s="38" t="s">
        <v>1940</v>
      </c>
      <c r="K775" s="38" t="s">
        <v>25</v>
      </c>
      <c r="L775" s="39" t="s">
        <v>26</v>
      </c>
      <c r="M775" s="39" t="s">
        <v>26</v>
      </c>
      <c r="N775" s="40">
        <v>40.544211625880102</v>
      </c>
      <c r="O775" s="40">
        <v>-75.678836785926606</v>
      </c>
      <c r="P775" s="41">
        <v>1622</v>
      </c>
      <c r="Q775" s="42">
        <v>44217</v>
      </c>
      <c r="R775" s="41" t="s">
        <v>27</v>
      </c>
      <c r="S775" s="41" t="s">
        <v>38</v>
      </c>
      <c r="T775" s="24">
        <f t="shared" si="22"/>
        <v>1750.1379999999999</v>
      </c>
    </row>
    <row r="776" spans="1:20" x14ac:dyDescent="0.25">
      <c r="A776" s="9">
        <v>677</v>
      </c>
      <c r="B776" s="9" t="s">
        <v>1524</v>
      </c>
      <c r="C776" s="9">
        <v>5</v>
      </c>
      <c r="D776" s="9" t="s">
        <v>1925</v>
      </c>
      <c r="E776" s="9" t="s">
        <v>1941</v>
      </c>
      <c r="F776" s="37" t="s">
        <v>1574</v>
      </c>
      <c r="G776" s="37" t="s">
        <v>717</v>
      </c>
      <c r="H776" s="37">
        <v>300</v>
      </c>
      <c r="I776" s="37">
        <v>1985</v>
      </c>
      <c r="J776" s="38" t="s">
        <v>1942</v>
      </c>
      <c r="K776" s="38" t="s">
        <v>25</v>
      </c>
      <c r="L776" s="39" t="s">
        <v>26</v>
      </c>
      <c r="M776" s="39" t="s">
        <v>26</v>
      </c>
      <c r="N776" s="44">
        <v>40.626789987820203</v>
      </c>
      <c r="O776" s="44">
        <v>-75.581885538556406</v>
      </c>
      <c r="P776" s="41">
        <v>1874</v>
      </c>
      <c r="Q776" s="42">
        <v>44217</v>
      </c>
      <c r="R776" s="41" t="s">
        <v>27</v>
      </c>
      <c r="S776" s="41" t="s">
        <v>517</v>
      </c>
      <c r="T776" s="24">
        <f t="shared" si="22"/>
        <v>2022.0459999999998</v>
      </c>
    </row>
    <row r="777" spans="1:20" x14ac:dyDescent="0.25">
      <c r="A777" s="36">
        <v>678</v>
      </c>
      <c r="B777" s="36" t="s">
        <v>1524</v>
      </c>
      <c r="C777" s="36">
        <v>5</v>
      </c>
      <c r="D777" s="36" t="s">
        <v>1925</v>
      </c>
      <c r="E777" s="36" t="s">
        <v>1943</v>
      </c>
      <c r="F777" s="37" t="s">
        <v>1944</v>
      </c>
      <c r="G777" s="37" t="s">
        <v>717</v>
      </c>
      <c r="H777" s="37">
        <v>610</v>
      </c>
      <c r="I777" s="37">
        <v>0</v>
      </c>
      <c r="J777" s="38" t="s">
        <v>907</v>
      </c>
      <c r="K777" s="38" t="s">
        <v>25</v>
      </c>
      <c r="L777" s="39" t="s">
        <v>26</v>
      </c>
      <c r="M777" s="39" t="s">
        <v>26</v>
      </c>
      <c r="N777" s="40">
        <v>40.709842719631901</v>
      </c>
      <c r="O777" s="40">
        <v>-75.797973912488004</v>
      </c>
      <c r="P777" s="41">
        <f>124+145</f>
        <v>269</v>
      </c>
      <c r="Q777" s="42">
        <v>44217</v>
      </c>
      <c r="R777" s="41" t="s">
        <v>1530</v>
      </c>
      <c r="S777" s="41" t="s">
        <v>517</v>
      </c>
      <c r="T777" s="24">
        <f t="shared" si="22"/>
        <v>290.25099999999998</v>
      </c>
    </row>
    <row r="778" spans="1:20" x14ac:dyDescent="0.25">
      <c r="A778" s="9">
        <v>679</v>
      </c>
      <c r="B778" s="9" t="s">
        <v>1524</v>
      </c>
      <c r="C778" s="9">
        <v>5</v>
      </c>
      <c r="D778" s="9" t="s">
        <v>1925</v>
      </c>
      <c r="E778" s="9" t="s">
        <v>723</v>
      </c>
      <c r="F778" s="37" t="s">
        <v>1889</v>
      </c>
      <c r="G778" s="37" t="s">
        <v>421</v>
      </c>
      <c r="H778" s="43">
        <v>20</v>
      </c>
      <c r="I778" s="43">
        <v>806</v>
      </c>
      <c r="J778" s="38" t="s">
        <v>1945</v>
      </c>
      <c r="K778" s="38" t="s">
        <v>25</v>
      </c>
      <c r="L778" s="38" t="s">
        <v>26</v>
      </c>
      <c r="M778" s="38" t="s">
        <v>26</v>
      </c>
      <c r="N778" s="44">
        <v>40.633443442065399</v>
      </c>
      <c r="O778" s="44">
        <v>-75.440422057334601</v>
      </c>
      <c r="P778" s="41">
        <v>4978</v>
      </c>
      <c r="Q778" s="42">
        <v>44217</v>
      </c>
      <c r="R778" s="41" t="s">
        <v>27</v>
      </c>
      <c r="S778" s="41" t="s">
        <v>38</v>
      </c>
      <c r="T778" s="24">
        <f t="shared" si="22"/>
        <v>5371.2619999999997</v>
      </c>
    </row>
    <row r="779" spans="1:20" x14ac:dyDescent="0.25">
      <c r="A779" s="36">
        <v>680</v>
      </c>
      <c r="B779" s="36" t="s">
        <v>1524</v>
      </c>
      <c r="C779" s="36">
        <v>5</v>
      </c>
      <c r="D779" s="36" t="s">
        <v>1925</v>
      </c>
      <c r="E779" s="36" t="s">
        <v>1946</v>
      </c>
      <c r="F779" s="37" t="s">
        <v>1947</v>
      </c>
      <c r="G779" s="37" t="s">
        <v>367</v>
      </c>
      <c r="H779" s="37">
        <v>180</v>
      </c>
      <c r="I779" s="37">
        <v>0</v>
      </c>
      <c r="J779" s="38" t="s">
        <v>1948</v>
      </c>
      <c r="K779" s="38" t="s">
        <v>25</v>
      </c>
      <c r="L779" s="39" t="s">
        <v>26</v>
      </c>
      <c r="M779" s="39" t="s">
        <v>26</v>
      </c>
      <c r="N779" s="40">
        <v>40.537761154936902</v>
      </c>
      <c r="O779" s="40">
        <v>-75.456767422687093</v>
      </c>
      <c r="P779" s="41">
        <f>754</f>
        <v>754</v>
      </c>
      <c r="Q779" s="42">
        <v>44293</v>
      </c>
      <c r="R779" s="41" t="s">
        <v>27</v>
      </c>
      <c r="S779" s="41" t="s">
        <v>517</v>
      </c>
      <c r="T779" s="24">
        <f t="shared" si="22"/>
        <v>813.56599999999992</v>
      </c>
    </row>
    <row r="780" spans="1:20" x14ac:dyDescent="0.25">
      <c r="A780" s="9">
        <v>681</v>
      </c>
      <c r="B780" s="9" t="s">
        <v>1524</v>
      </c>
      <c r="C780" s="9">
        <v>5</v>
      </c>
      <c r="D780" s="9" t="s">
        <v>1925</v>
      </c>
      <c r="E780" s="9" t="s">
        <v>1949</v>
      </c>
      <c r="F780" s="37" t="s">
        <v>1950</v>
      </c>
      <c r="G780" s="37" t="s">
        <v>215</v>
      </c>
      <c r="H780" s="37">
        <v>50</v>
      </c>
      <c r="I780" s="37">
        <v>831</v>
      </c>
      <c r="J780" s="38" t="s">
        <v>1951</v>
      </c>
      <c r="K780" s="38" t="s">
        <v>25</v>
      </c>
      <c r="L780" s="39" t="s">
        <v>26</v>
      </c>
      <c r="M780" s="39" t="s">
        <v>26</v>
      </c>
      <c r="N780" s="44">
        <v>40.450116876550602</v>
      </c>
      <c r="O780" s="44">
        <v>-75.492397218641798</v>
      </c>
      <c r="P780" s="41">
        <f>60+80</f>
        <v>140</v>
      </c>
      <c r="Q780" s="42">
        <v>44291</v>
      </c>
      <c r="R780" s="41" t="s">
        <v>1530</v>
      </c>
      <c r="S780" s="41" t="s">
        <v>38</v>
      </c>
      <c r="T780" s="24">
        <f t="shared" si="22"/>
        <v>151.06</v>
      </c>
    </row>
    <row r="781" spans="1:20" x14ac:dyDescent="0.25">
      <c r="A781" s="36">
        <v>682</v>
      </c>
      <c r="B781" s="36" t="s">
        <v>1524</v>
      </c>
      <c r="C781" s="36">
        <v>5</v>
      </c>
      <c r="D781" s="36" t="s">
        <v>1925</v>
      </c>
      <c r="E781" s="36" t="s">
        <v>1946</v>
      </c>
      <c r="F781" s="37" t="s">
        <v>1952</v>
      </c>
      <c r="G781" s="37" t="s">
        <v>1953</v>
      </c>
      <c r="H781" s="37">
        <v>200</v>
      </c>
      <c r="I781" s="37">
        <v>2583</v>
      </c>
      <c r="J781" s="38" t="s">
        <v>1948</v>
      </c>
      <c r="K781" s="38" t="s">
        <v>25</v>
      </c>
      <c r="L781" s="39" t="s">
        <v>26</v>
      </c>
      <c r="M781" s="39" t="s">
        <v>26</v>
      </c>
      <c r="N781" s="40">
        <v>40.531940777682998</v>
      </c>
      <c r="O781" s="40">
        <v>-75.445646945006303</v>
      </c>
      <c r="P781" s="41">
        <f>1828</f>
        <v>1828</v>
      </c>
      <c r="Q781" s="42">
        <v>44293</v>
      </c>
      <c r="R781" s="41" t="s">
        <v>27</v>
      </c>
      <c r="S781" s="41" t="s">
        <v>38</v>
      </c>
      <c r="T781" s="24">
        <f t="shared" si="22"/>
        <v>1972.412</v>
      </c>
    </row>
    <row r="782" spans="1:20" x14ac:dyDescent="0.25">
      <c r="A782" s="9">
        <v>683</v>
      </c>
      <c r="B782" s="9" t="s">
        <v>1524</v>
      </c>
      <c r="C782" s="9">
        <v>5</v>
      </c>
      <c r="D782" s="9" t="s">
        <v>1925</v>
      </c>
      <c r="E782" s="9" t="s">
        <v>1946</v>
      </c>
      <c r="F782" s="37" t="s">
        <v>1954</v>
      </c>
      <c r="G782" s="37" t="s">
        <v>1955</v>
      </c>
      <c r="H782" s="43">
        <v>100</v>
      </c>
      <c r="I782" s="43">
        <v>0</v>
      </c>
      <c r="J782" s="38" t="s">
        <v>1956</v>
      </c>
      <c r="K782" s="38" t="s">
        <v>25</v>
      </c>
      <c r="L782" s="38" t="s">
        <v>26</v>
      </c>
      <c r="M782" s="38" t="s">
        <v>26</v>
      </c>
      <c r="N782" s="44">
        <v>40.499096976379398</v>
      </c>
      <c r="O782" s="44">
        <v>-75.424230931779803</v>
      </c>
      <c r="P782" s="41">
        <f>873+908</f>
        <v>1781</v>
      </c>
      <c r="Q782" s="42">
        <v>44291</v>
      </c>
      <c r="R782" s="41" t="s">
        <v>1530</v>
      </c>
      <c r="S782" s="41" t="s">
        <v>28</v>
      </c>
      <c r="T782" s="24">
        <f t="shared" si="22"/>
        <v>1921.6989999999998</v>
      </c>
    </row>
    <row r="783" spans="1:20" x14ac:dyDescent="0.25">
      <c r="A783" s="36">
        <v>684</v>
      </c>
      <c r="B783" s="36" t="s">
        <v>1524</v>
      </c>
      <c r="C783" s="36">
        <v>5</v>
      </c>
      <c r="D783" s="36" t="s">
        <v>1925</v>
      </c>
      <c r="E783" s="36" t="s">
        <v>1938</v>
      </c>
      <c r="F783" s="37" t="s">
        <v>1957</v>
      </c>
      <c r="G783" s="37" t="s">
        <v>1675</v>
      </c>
      <c r="H783" s="43">
        <v>60</v>
      </c>
      <c r="I783" s="43">
        <v>2066</v>
      </c>
      <c r="J783" s="38" t="s">
        <v>1958</v>
      </c>
      <c r="K783" s="38" t="s">
        <v>25</v>
      </c>
      <c r="L783" s="38" t="s">
        <v>26</v>
      </c>
      <c r="M783" s="38" t="s">
        <v>26</v>
      </c>
      <c r="N783" s="40">
        <v>40.564962671415302</v>
      </c>
      <c r="O783" s="40">
        <v>-75.630949407779099</v>
      </c>
      <c r="P783" s="41">
        <v>6295</v>
      </c>
      <c r="Q783" s="42">
        <v>44217</v>
      </c>
      <c r="R783" s="41" t="s">
        <v>27</v>
      </c>
      <c r="S783" s="41" t="s">
        <v>28</v>
      </c>
      <c r="T783" s="24">
        <f t="shared" si="22"/>
        <v>6792.3049999999994</v>
      </c>
    </row>
    <row r="784" spans="1:20" x14ac:dyDescent="0.25">
      <c r="A784" s="9">
        <v>685</v>
      </c>
      <c r="B784" s="9" t="s">
        <v>1524</v>
      </c>
      <c r="C784" s="9">
        <v>5</v>
      </c>
      <c r="D784" s="9" t="s">
        <v>1925</v>
      </c>
      <c r="E784" s="9" t="s">
        <v>1943</v>
      </c>
      <c r="F784" s="37" t="s">
        <v>1959</v>
      </c>
      <c r="G784" s="37" t="s">
        <v>1960</v>
      </c>
      <c r="H784" s="37">
        <v>80</v>
      </c>
      <c r="I784" s="37">
        <v>2267</v>
      </c>
      <c r="J784" s="38" t="s">
        <v>1961</v>
      </c>
      <c r="K784" s="38" t="s">
        <v>25</v>
      </c>
      <c r="L784" s="39" t="s">
        <v>26</v>
      </c>
      <c r="M784" s="39" t="s">
        <v>26</v>
      </c>
      <c r="N784" s="44">
        <v>40.647130876145802</v>
      </c>
      <c r="O784" s="44">
        <v>-75.751637054735696</v>
      </c>
      <c r="P784" s="41">
        <v>352</v>
      </c>
      <c r="Q784" s="42">
        <v>44217</v>
      </c>
      <c r="R784" s="41" t="s">
        <v>27</v>
      </c>
      <c r="S784" s="41" t="s">
        <v>517</v>
      </c>
      <c r="T784" s="24">
        <f t="shared" si="22"/>
        <v>379.80799999999999</v>
      </c>
    </row>
    <row r="785" spans="1:20" x14ac:dyDescent="0.25">
      <c r="A785" s="36">
        <v>686</v>
      </c>
      <c r="B785" s="36" t="s">
        <v>1524</v>
      </c>
      <c r="C785" s="36">
        <v>5</v>
      </c>
      <c r="D785" s="36" t="s">
        <v>1925</v>
      </c>
      <c r="E785" s="36" t="s">
        <v>1962</v>
      </c>
      <c r="F785" s="37" t="s">
        <v>1963</v>
      </c>
      <c r="G785" s="37" t="s">
        <v>1964</v>
      </c>
      <c r="H785" s="43">
        <v>60</v>
      </c>
      <c r="I785" s="43">
        <v>1655</v>
      </c>
      <c r="J785" s="38" t="s">
        <v>1965</v>
      </c>
      <c r="K785" s="38" t="s">
        <v>25</v>
      </c>
      <c r="L785" s="38" t="s">
        <v>26</v>
      </c>
      <c r="M785" s="38" t="s">
        <v>26</v>
      </c>
      <c r="N785" s="40">
        <v>40.555101243183202</v>
      </c>
      <c r="O785" s="40">
        <v>-75.582590414470403</v>
      </c>
      <c r="P785" s="41">
        <f>6993+6448</f>
        <v>13441</v>
      </c>
      <c r="Q785" s="42">
        <v>44217</v>
      </c>
      <c r="R785" s="41" t="s">
        <v>1530</v>
      </c>
      <c r="S785" s="41" t="s">
        <v>934</v>
      </c>
      <c r="T785" s="24">
        <f t="shared" si="22"/>
        <v>14502.839</v>
      </c>
    </row>
    <row r="786" spans="1:20" x14ac:dyDescent="0.25">
      <c r="A786" s="9">
        <v>751</v>
      </c>
      <c r="B786" s="9" t="s">
        <v>1524</v>
      </c>
      <c r="C786" s="9">
        <v>5</v>
      </c>
      <c r="D786" s="9" t="s">
        <v>1966</v>
      </c>
      <c r="E786" s="9" t="s">
        <v>1967</v>
      </c>
      <c r="F786" s="37" t="s">
        <v>1968</v>
      </c>
      <c r="G786" s="37" t="s">
        <v>1969</v>
      </c>
      <c r="H786" s="37">
        <v>60</v>
      </c>
      <c r="I786" s="37">
        <v>1674</v>
      </c>
      <c r="J786" s="38" t="s">
        <v>1970</v>
      </c>
      <c r="K786" s="38" t="s">
        <v>25</v>
      </c>
      <c r="L786" s="39" t="s">
        <v>26</v>
      </c>
      <c r="M786" s="39" t="s">
        <v>26</v>
      </c>
      <c r="N786" s="44">
        <v>40.942440808731099</v>
      </c>
      <c r="O786" s="44">
        <v>-75.439433420380496</v>
      </c>
      <c r="P786" s="41">
        <v>616</v>
      </c>
      <c r="Q786" s="42">
        <v>44216</v>
      </c>
      <c r="R786" s="41" t="s">
        <v>27</v>
      </c>
      <c r="S786" s="41" t="s">
        <v>517</v>
      </c>
      <c r="T786" s="24">
        <f t="shared" si="22"/>
        <v>664.66399999999999</v>
      </c>
    </row>
    <row r="787" spans="1:20" x14ac:dyDescent="0.25">
      <c r="A787" s="36">
        <v>752</v>
      </c>
      <c r="B787" s="36" t="s">
        <v>1524</v>
      </c>
      <c r="C787" s="36">
        <v>5</v>
      </c>
      <c r="D787" s="36" t="s">
        <v>1966</v>
      </c>
      <c r="E787" s="36" t="s">
        <v>1967</v>
      </c>
      <c r="F787" s="37" t="s">
        <v>1968</v>
      </c>
      <c r="G787" s="37" t="s">
        <v>1969</v>
      </c>
      <c r="H787" s="37">
        <v>70</v>
      </c>
      <c r="I787" s="37">
        <v>0</v>
      </c>
      <c r="J787" s="38" t="s">
        <v>1971</v>
      </c>
      <c r="K787" s="38" t="s">
        <v>25</v>
      </c>
      <c r="L787" s="39" t="s">
        <v>26</v>
      </c>
      <c r="M787" s="39" t="s">
        <v>26</v>
      </c>
      <c r="N787" s="40">
        <v>40.944902595008699</v>
      </c>
      <c r="O787" s="40">
        <v>-75.441427875337098</v>
      </c>
      <c r="P787" s="41">
        <v>667</v>
      </c>
      <c r="Q787" s="42">
        <v>44216</v>
      </c>
      <c r="R787" s="41" t="s">
        <v>27</v>
      </c>
      <c r="S787" s="41" t="s">
        <v>38</v>
      </c>
      <c r="T787" s="24">
        <f t="shared" si="22"/>
        <v>719.69299999999998</v>
      </c>
    </row>
    <row r="788" spans="1:20" x14ac:dyDescent="0.25">
      <c r="A788" s="9">
        <v>753</v>
      </c>
      <c r="B788" s="9" t="s">
        <v>1524</v>
      </c>
      <c r="C788" s="9">
        <v>5</v>
      </c>
      <c r="D788" s="9" t="s">
        <v>1966</v>
      </c>
      <c r="E788" s="9" t="s">
        <v>1972</v>
      </c>
      <c r="F788" s="37" t="s">
        <v>742</v>
      </c>
      <c r="G788" s="37" t="s">
        <v>809</v>
      </c>
      <c r="H788" s="43">
        <v>90</v>
      </c>
      <c r="I788" s="43">
        <v>2831</v>
      </c>
      <c r="J788" s="38" t="s">
        <v>1973</v>
      </c>
      <c r="K788" s="38" t="s">
        <v>25</v>
      </c>
      <c r="L788" s="38" t="s">
        <v>26</v>
      </c>
      <c r="M788" s="38" t="s">
        <v>26</v>
      </c>
      <c r="N788" s="44">
        <v>40.986053589266398</v>
      </c>
      <c r="O788" s="44">
        <v>-75.190487621099095</v>
      </c>
      <c r="P788" s="41">
        <v>2168</v>
      </c>
      <c r="Q788" s="42">
        <v>44204</v>
      </c>
      <c r="R788" s="41" t="s">
        <v>27</v>
      </c>
      <c r="S788" s="41" t="s">
        <v>517</v>
      </c>
      <c r="T788" s="24">
        <f t="shared" si="22"/>
        <v>2339.2719999999999</v>
      </c>
    </row>
    <row r="789" spans="1:20" x14ac:dyDescent="0.25">
      <c r="A789" s="36">
        <v>754</v>
      </c>
      <c r="B789" s="36" t="s">
        <v>1524</v>
      </c>
      <c r="C789" s="36">
        <v>5</v>
      </c>
      <c r="D789" s="36" t="s">
        <v>1966</v>
      </c>
      <c r="E789" s="36" t="s">
        <v>1974</v>
      </c>
      <c r="F789" s="37" t="s">
        <v>1975</v>
      </c>
      <c r="G789" s="37" t="s">
        <v>1976</v>
      </c>
      <c r="H789" s="43">
        <v>40</v>
      </c>
      <c r="I789" s="43">
        <v>0</v>
      </c>
      <c r="J789" s="38" t="s">
        <v>1977</v>
      </c>
      <c r="K789" s="38" t="s">
        <v>25</v>
      </c>
      <c r="L789" s="38" t="s">
        <v>26</v>
      </c>
      <c r="M789" s="38" t="s">
        <v>26</v>
      </c>
      <c r="N789" s="40">
        <v>41.145737825229297</v>
      </c>
      <c r="O789" s="40">
        <v>-75.359490310450695</v>
      </c>
      <c r="P789" s="41">
        <v>1180</v>
      </c>
      <c r="Q789" s="42">
        <v>44207</v>
      </c>
      <c r="R789" s="41" t="s">
        <v>27</v>
      </c>
      <c r="S789" s="41" t="s">
        <v>517</v>
      </c>
      <c r="T789" s="24">
        <f t="shared" si="22"/>
        <v>1273.22</v>
      </c>
    </row>
    <row r="790" spans="1:20" x14ac:dyDescent="0.25">
      <c r="A790" s="9">
        <v>755</v>
      </c>
      <c r="B790" s="9" t="s">
        <v>1524</v>
      </c>
      <c r="C790" s="9">
        <v>5</v>
      </c>
      <c r="D790" s="9" t="s">
        <v>1966</v>
      </c>
      <c r="E790" s="9" t="s">
        <v>1974</v>
      </c>
      <c r="F790" s="37" t="s">
        <v>1975</v>
      </c>
      <c r="G790" s="37" t="s">
        <v>1976</v>
      </c>
      <c r="H790" s="43">
        <v>60</v>
      </c>
      <c r="I790" s="43">
        <v>1054</v>
      </c>
      <c r="J790" s="38" t="s">
        <v>1978</v>
      </c>
      <c r="K790" s="38" t="s">
        <v>25</v>
      </c>
      <c r="L790" s="38" t="s">
        <v>26</v>
      </c>
      <c r="M790" s="38" t="s">
        <v>26</v>
      </c>
      <c r="N790" s="44">
        <v>41.162800456902097</v>
      </c>
      <c r="O790" s="44">
        <v>-75.357485409047797</v>
      </c>
      <c r="P790" s="41">
        <v>2222</v>
      </c>
      <c r="Q790" s="42">
        <v>44207</v>
      </c>
      <c r="R790" s="41" t="s">
        <v>27</v>
      </c>
      <c r="S790" s="41" t="s">
        <v>38</v>
      </c>
      <c r="T790" s="24">
        <f t="shared" si="22"/>
        <v>2397.538</v>
      </c>
    </row>
    <row r="791" spans="1:20" x14ac:dyDescent="0.25">
      <c r="A791" s="36">
        <v>756</v>
      </c>
      <c r="B791" s="36" t="s">
        <v>1524</v>
      </c>
      <c r="C791" s="36">
        <v>5</v>
      </c>
      <c r="D791" s="36" t="s">
        <v>1966</v>
      </c>
      <c r="E791" s="36" t="s">
        <v>1979</v>
      </c>
      <c r="F791" s="37" t="s">
        <v>1615</v>
      </c>
      <c r="G791" s="37" t="s">
        <v>751</v>
      </c>
      <c r="H791" s="37">
        <v>30</v>
      </c>
      <c r="I791" s="37">
        <v>1889</v>
      </c>
      <c r="J791" s="38" t="s">
        <v>1980</v>
      </c>
      <c r="K791" s="38" t="s">
        <v>25</v>
      </c>
      <c r="L791" s="39" t="s">
        <v>26</v>
      </c>
      <c r="M791" s="39" t="s">
        <v>26</v>
      </c>
      <c r="N791" s="40">
        <v>40.896971421581398</v>
      </c>
      <c r="O791" s="40">
        <v>-75.5031687919424</v>
      </c>
      <c r="P791" s="41">
        <f>410+380</f>
        <v>790</v>
      </c>
      <c r="Q791" s="42">
        <v>44216</v>
      </c>
      <c r="R791" s="41" t="s">
        <v>1530</v>
      </c>
      <c r="S791" s="41" t="s">
        <v>38</v>
      </c>
      <c r="T791" s="24">
        <f t="shared" si="22"/>
        <v>852.41</v>
      </c>
    </row>
    <row r="792" spans="1:20" x14ac:dyDescent="0.25">
      <c r="A792" s="9">
        <v>757</v>
      </c>
      <c r="B792" s="9" t="s">
        <v>1524</v>
      </c>
      <c r="C792" s="9">
        <v>5</v>
      </c>
      <c r="D792" s="9" t="s">
        <v>1966</v>
      </c>
      <c r="E792" s="9" t="s">
        <v>1979</v>
      </c>
      <c r="F792" s="37" t="s">
        <v>1615</v>
      </c>
      <c r="G792" s="37" t="s">
        <v>751</v>
      </c>
      <c r="H792" s="37">
        <v>80</v>
      </c>
      <c r="I792" s="37">
        <v>1028</v>
      </c>
      <c r="J792" s="38" t="s">
        <v>1981</v>
      </c>
      <c r="K792" s="38" t="s">
        <v>25</v>
      </c>
      <c r="L792" s="39" t="s">
        <v>26</v>
      </c>
      <c r="M792" s="39" t="s">
        <v>26</v>
      </c>
      <c r="N792" s="44">
        <v>40.909224687186601</v>
      </c>
      <c r="O792" s="44">
        <v>-75.465320506622803</v>
      </c>
      <c r="P792" s="41">
        <v>1823</v>
      </c>
      <c r="Q792" s="42">
        <v>44216</v>
      </c>
      <c r="R792" s="41" t="s">
        <v>27</v>
      </c>
      <c r="S792" s="41" t="s">
        <v>517</v>
      </c>
      <c r="T792" s="24">
        <f t="shared" si="22"/>
        <v>1967.0169999999998</v>
      </c>
    </row>
    <row r="793" spans="1:20" x14ac:dyDescent="0.25">
      <c r="A793" s="9">
        <v>759</v>
      </c>
      <c r="B793" s="9" t="s">
        <v>1524</v>
      </c>
      <c r="C793" s="9">
        <v>5</v>
      </c>
      <c r="D793" s="9" t="s">
        <v>1966</v>
      </c>
      <c r="E793" s="9" t="s">
        <v>1967</v>
      </c>
      <c r="F793" s="37" t="s">
        <v>1615</v>
      </c>
      <c r="G793" s="37" t="s">
        <v>751</v>
      </c>
      <c r="H793" s="37">
        <v>170</v>
      </c>
      <c r="I793" s="37">
        <v>0</v>
      </c>
      <c r="J793" s="38" t="s">
        <v>1982</v>
      </c>
      <c r="K793" s="38" t="s">
        <v>25</v>
      </c>
      <c r="L793" s="39" t="s">
        <v>26</v>
      </c>
      <c r="M793" s="39" t="s">
        <v>26</v>
      </c>
      <c r="N793" s="44">
        <v>40.925647567144601</v>
      </c>
      <c r="O793" s="44">
        <v>-75.385823191414403</v>
      </c>
      <c r="P793" s="41">
        <v>530</v>
      </c>
      <c r="Q793" s="42">
        <v>44216</v>
      </c>
      <c r="R793" s="41" t="s">
        <v>27</v>
      </c>
      <c r="S793" s="41" t="s">
        <v>517</v>
      </c>
      <c r="T793" s="24">
        <f t="shared" si="22"/>
        <v>571.87</v>
      </c>
    </row>
    <row r="794" spans="1:20" x14ac:dyDescent="0.25">
      <c r="A794" s="36">
        <v>760</v>
      </c>
      <c r="B794" s="36" t="s">
        <v>1524</v>
      </c>
      <c r="C794" s="36">
        <v>5</v>
      </c>
      <c r="D794" s="36" t="s">
        <v>1966</v>
      </c>
      <c r="E794" s="36" t="s">
        <v>1967</v>
      </c>
      <c r="F794" s="37" t="s">
        <v>1615</v>
      </c>
      <c r="G794" s="37" t="s">
        <v>751</v>
      </c>
      <c r="H794" s="37">
        <v>190</v>
      </c>
      <c r="I794" s="37">
        <v>2319</v>
      </c>
      <c r="J794" s="38" t="s">
        <v>1983</v>
      </c>
      <c r="K794" s="38" t="s">
        <v>25</v>
      </c>
      <c r="L794" s="39" t="s">
        <v>26</v>
      </c>
      <c r="M794" s="39" t="s">
        <v>26</v>
      </c>
      <c r="N794" s="40">
        <v>40.922167488733301</v>
      </c>
      <c r="O794" s="40">
        <v>-75.3612294726789</v>
      </c>
      <c r="P794" s="41">
        <v>124</v>
      </c>
      <c r="Q794" s="42">
        <v>44216</v>
      </c>
      <c r="R794" s="41" t="s">
        <v>27</v>
      </c>
      <c r="S794" s="41" t="s">
        <v>517</v>
      </c>
      <c r="T794" s="24">
        <f t="shared" si="22"/>
        <v>133.79599999999999</v>
      </c>
    </row>
    <row r="795" spans="1:20" x14ac:dyDescent="0.25">
      <c r="A795" s="9">
        <v>761</v>
      </c>
      <c r="B795" s="9" t="s">
        <v>1524</v>
      </c>
      <c r="C795" s="9">
        <v>5</v>
      </c>
      <c r="D795" s="9" t="s">
        <v>1966</v>
      </c>
      <c r="E795" s="9" t="s">
        <v>1160</v>
      </c>
      <c r="F795" s="37" t="s">
        <v>1984</v>
      </c>
      <c r="G795" s="37" t="s">
        <v>751</v>
      </c>
      <c r="H795" s="43">
        <v>420</v>
      </c>
      <c r="I795" s="43">
        <v>2297</v>
      </c>
      <c r="J795" s="38" t="s">
        <v>1985</v>
      </c>
      <c r="K795" s="38" t="s">
        <v>25</v>
      </c>
      <c r="L795" s="38" t="s">
        <v>26</v>
      </c>
      <c r="M795" s="38" t="s">
        <v>26</v>
      </c>
      <c r="N795" s="44">
        <v>41.003877517309903</v>
      </c>
      <c r="O795" s="44">
        <v>-75.143554599358097</v>
      </c>
      <c r="P795" s="41">
        <v>804</v>
      </c>
      <c r="Q795" s="42">
        <v>44204</v>
      </c>
      <c r="R795" s="41" t="s">
        <v>27</v>
      </c>
      <c r="S795" s="41" t="s">
        <v>934</v>
      </c>
      <c r="T795" s="24">
        <f t="shared" si="22"/>
        <v>867.51599999999996</v>
      </c>
    </row>
    <row r="796" spans="1:20" x14ac:dyDescent="0.25">
      <c r="A796" s="36">
        <v>762</v>
      </c>
      <c r="B796" s="36" t="s">
        <v>1524</v>
      </c>
      <c r="C796" s="36">
        <v>5</v>
      </c>
      <c r="D796" s="36" t="s">
        <v>1966</v>
      </c>
      <c r="E796" s="36" t="s">
        <v>1160</v>
      </c>
      <c r="F796" s="37" t="s">
        <v>1984</v>
      </c>
      <c r="G796" s="37" t="s">
        <v>751</v>
      </c>
      <c r="H796" s="43">
        <v>430</v>
      </c>
      <c r="I796" s="43">
        <v>0</v>
      </c>
      <c r="J796" s="38" t="s">
        <v>1986</v>
      </c>
      <c r="K796" s="38" t="s">
        <v>25</v>
      </c>
      <c r="L796" s="38" t="s">
        <v>26</v>
      </c>
      <c r="M796" s="38" t="s">
        <v>26</v>
      </c>
      <c r="N796" s="40">
        <v>41.004596159070701</v>
      </c>
      <c r="O796" s="40">
        <v>-75.140687237184395</v>
      </c>
      <c r="P796" s="41">
        <v>584</v>
      </c>
      <c r="Q796" s="42">
        <v>44204</v>
      </c>
      <c r="R796" s="41" t="s">
        <v>27</v>
      </c>
      <c r="S796" s="41" t="s">
        <v>28</v>
      </c>
      <c r="T796" s="24">
        <f t="shared" si="22"/>
        <v>630.13599999999997</v>
      </c>
    </row>
    <row r="797" spans="1:20" x14ac:dyDescent="0.25">
      <c r="A797" s="9">
        <v>763</v>
      </c>
      <c r="B797" s="9" t="s">
        <v>1524</v>
      </c>
      <c r="C797" s="9">
        <v>5</v>
      </c>
      <c r="D797" s="9" t="s">
        <v>1966</v>
      </c>
      <c r="E797" s="9" t="s">
        <v>1987</v>
      </c>
      <c r="F797" s="37" t="s">
        <v>1988</v>
      </c>
      <c r="G797" s="37" t="s">
        <v>751</v>
      </c>
      <c r="H797" s="37">
        <v>540</v>
      </c>
      <c r="I797" s="37">
        <v>0</v>
      </c>
      <c r="J797" s="38" t="s">
        <v>1989</v>
      </c>
      <c r="K797" s="38" t="s">
        <v>25</v>
      </c>
      <c r="L797" s="39" t="s">
        <v>26</v>
      </c>
      <c r="M797" s="39" t="s">
        <v>26</v>
      </c>
      <c r="N797" s="44">
        <v>41.055120849076303</v>
      </c>
      <c r="O797" s="44">
        <v>-75.093229891104698</v>
      </c>
      <c r="P797" s="41">
        <f>2217+2842</f>
        <v>5059</v>
      </c>
      <c r="Q797" s="42">
        <v>44202</v>
      </c>
      <c r="R797" s="41" t="s">
        <v>1530</v>
      </c>
      <c r="S797" s="41" t="s">
        <v>38</v>
      </c>
      <c r="T797" s="24">
        <f t="shared" si="22"/>
        <v>5458.6610000000001</v>
      </c>
    </row>
    <row r="798" spans="1:20" x14ac:dyDescent="0.25">
      <c r="A798" s="36">
        <v>764</v>
      </c>
      <c r="B798" s="36" t="s">
        <v>1524</v>
      </c>
      <c r="C798" s="36">
        <v>5</v>
      </c>
      <c r="D798" s="36" t="s">
        <v>1966</v>
      </c>
      <c r="E798" s="36" t="s">
        <v>1987</v>
      </c>
      <c r="F798" s="37" t="s">
        <v>1988</v>
      </c>
      <c r="G798" s="37" t="s">
        <v>751</v>
      </c>
      <c r="H798" s="43">
        <v>560</v>
      </c>
      <c r="I798" s="43">
        <v>89</v>
      </c>
      <c r="J798" s="38" t="s">
        <v>1990</v>
      </c>
      <c r="K798" s="38" t="s">
        <v>25</v>
      </c>
      <c r="L798" s="38" t="s">
        <v>26</v>
      </c>
      <c r="M798" s="38" t="s">
        <v>26</v>
      </c>
      <c r="N798" s="40">
        <v>41.062686395592699</v>
      </c>
      <c r="O798" s="40">
        <v>-75.073066807757101</v>
      </c>
      <c r="P798" s="41">
        <f>1082+1128</f>
        <v>2210</v>
      </c>
      <c r="Q798" s="42">
        <v>44202</v>
      </c>
      <c r="R798" s="41" t="s">
        <v>1530</v>
      </c>
      <c r="S798" s="41" t="s">
        <v>517</v>
      </c>
      <c r="T798" s="24">
        <f t="shared" si="22"/>
        <v>2384.5899999999997</v>
      </c>
    </row>
    <row r="799" spans="1:20" x14ac:dyDescent="0.25">
      <c r="A799" s="9">
        <v>765</v>
      </c>
      <c r="B799" s="9" t="s">
        <v>1524</v>
      </c>
      <c r="C799" s="9">
        <v>5</v>
      </c>
      <c r="D799" s="9" t="s">
        <v>1966</v>
      </c>
      <c r="E799" s="9" t="s">
        <v>1987</v>
      </c>
      <c r="F799" s="37" t="s">
        <v>1988</v>
      </c>
      <c r="G799" s="37" t="s">
        <v>751</v>
      </c>
      <c r="H799" s="43">
        <v>580</v>
      </c>
      <c r="I799" s="43">
        <v>2248</v>
      </c>
      <c r="J799" s="38" t="s">
        <v>1991</v>
      </c>
      <c r="K799" s="38" t="s">
        <v>25</v>
      </c>
      <c r="L799" s="38" t="s">
        <v>26</v>
      </c>
      <c r="M799" s="38" t="s">
        <v>26</v>
      </c>
      <c r="N799" s="44">
        <v>41.0687008164712</v>
      </c>
      <c r="O799" s="44">
        <v>-75.044764999258007</v>
      </c>
      <c r="P799" s="41">
        <v>1881</v>
      </c>
      <c r="Q799" s="42">
        <v>44202</v>
      </c>
      <c r="R799" s="41" t="s">
        <v>27</v>
      </c>
      <c r="S799" s="41" t="s">
        <v>517</v>
      </c>
      <c r="T799" s="24">
        <f t="shared" si="22"/>
        <v>2029.5989999999999</v>
      </c>
    </row>
    <row r="800" spans="1:20" x14ac:dyDescent="0.25">
      <c r="A800" s="36">
        <v>766</v>
      </c>
      <c r="B800" s="36" t="s">
        <v>1524</v>
      </c>
      <c r="C800" s="36">
        <v>5</v>
      </c>
      <c r="D800" s="36" t="s">
        <v>1966</v>
      </c>
      <c r="E800" s="36" t="s">
        <v>1972</v>
      </c>
      <c r="F800" s="37" t="s">
        <v>1992</v>
      </c>
      <c r="G800" s="37" t="s">
        <v>1583</v>
      </c>
      <c r="H800" s="43">
        <v>110</v>
      </c>
      <c r="I800" s="43">
        <v>1551</v>
      </c>
      <c r="J800" s="38" t="s">
        <v>1993</v>
      </c>
      <c r="K800" s="38" t="s">
        <v>25</v>
      </c>
      <c r="L800" s="45" t="s">
        <v>26</v>
      </c>
      <c r="M800" s="45" t="s">
        <v>26</v>
      </c>
      <c r="N800" s="40">
        <v>40.981179353060703</v>
      </c>
      <c r="O800" s="40">
        <v>-75.1910135360325</v>
      </c>
      <c r="P800" s="41">
        <f>1531+4235</f>
        <v>5766</v>
      </c>
      <c r="Q800" s="42">
        <v>44202</v>
      </c>
      <c r="R800" s="41" t="s">
        <v>1530</v>
      </c>
      <c r="S800" s="41" t="s">
        <v>517</v>
      </c>
      <c r="T800" s="24">
        <f t="shared" si="22"/>
        <v>6221.5140000000001</v>
      </c>
    </row>
    <row r="801" spans="1:20" x14ac:dyDescent="0.25">
      <c r="A801" s="9">
        <v>767</v>
      </c>
      <c r="B801" s="9" t="s">
        <v>1524</v>
      </c>
      <c r="C801" s="9">
        <v>5</v>
      </c>
      <c r="D801" s="9" t="s">
        <v>1966</v>
      </c>
      <c r="E801" s="9" t="s">
        <v>1994</v>
      </c>
      <c r="F801" s="37" t="s">
        <v>1995</v>
      </c>
      <c r="G801" s="37" t="s">
        <v>1583</v>
      </c>
      <c r="H801" s="43">
        <v>200</v>
      </c>
      <c r="I801" s="43">
        <v>632</v>
      </c>
      <c r="J801" s="38" t="s">
        <v>1996</v>
      </c>
      <c r="K801" s="38" t="s">
        <v>1997</v>
      </c>
      <c r="L801" s="38" t="s">
        <v>26</v>
      </c>
      <c r="M801" s="38" t="s">
        <v>26</v>
      </c>
      <c r="N801" s="44">
        <v>40.998917177381799</v>
      </c>
      <c r="O801" s="44">
        <v>-75.261958527870803</v>
      </c>
      <c r="P801" s="41">
        <f>2955+3230</f>
        <v>6185</v>
      </c>
      <c r="Q801" s="42">
        <v>44202</v>
      </c>
      <c r="R801" s="41" t="s">
        <v>1530</v>
      </c>
      <c r="S801" s="41" t="s">
        <v>38</v>
      </c>
      <c r="T801" s="24">
        <f t="shared" si="22"/>
        <v>6673.6149999999998</v>
      </c>
    </row>
    <row r="802" spans="1:20" x14ac:dyDescent="0.25">
      <c r="A802" s="36">
        <v>768</v>
      </c>
      <c r="B802" s="36" t="s">
        <v>1524</v>
      </c>
      <c r="C802" s="36">
        <v>5</v>
      </c>
      <c r="D802" s="36" t="s">
        <v>1966</v>
      </c>
      <c r="E802" s="36" t="s">
        <v>1974</v>
      </c>
      <c r="F802" s="37" t="s">
        <v>1998</v>
      </c>
      <c r="G802" s="37" t="s">
        <v>1583</v>
      </c>
      <c r="H802" s="37">
        <v>450</v>
      </c>
      <c r="I802" s="37">
        <v>1329</v>
      </c>
      <c r="J802" s="38" t="s">
        <v>1999</v>
      </c>
      <c r="K802" s="38" t="s">
        <v>25</v>
      </c>
      <c r="L802" s="39" t="s">
        <v>26</v>
      </c>
      <c r="M802" s="39" t="s">
        <v>26</v>
      </c>
      <c r="N802" s="40">
        <v>41.146580078661202</v>
      </c>
      <c r="O802" s="40">
        <v>-75.373300744487196</v>
      </c>
      <c r="P802" s="41">
        <f>946+769</f>
        <v>1715</v>
      </c>
      <c r="Q802" s="42">
        <v>44207</v>
      </c>
      <c r="R802" s="41" t="s">
        <v>1530</v>
      </c>
      <c r="S802" s="41" t="s">
        <v>517</v>
      </c>
      <c r="T802" s="24">
        <f t="shared" si="22"/>
        <v>1850.4849999999999</v>
      </c>
    </row>
    <row r="803" spans="1:20" x14ac:dyDescent="0.25">
      <c r="A803" s="9">
        <v>769</v>
      </c>
      <c r="B803" s="9" t="s">
        <v>1524</v>
      </c>
      <c r="C803" s="9">
        <v>5</v>
      </c>
      <c r="D803" s="9" t="s">
        <v>1966</v>
      </c>
      <c r="E803" s="9" t="s">
        <v>855</v>
      </c>
      <c r="F803" s="37" t="s">
        <v>1660</v>
      </c>
      <c r="G803" s="37" t="s">
        <v>1658</v>
      </c>
      <c r="H803" s="37">
        <v>10</v>
      </c>
      <c r="I803" s="37">
        <v>2046</v>
      </c>
      <c r="J803" s="38" t="s">
        <v>2000</v>
      </c>
      <c r="K803" s="38" t="s">
        <v>25</v>
      </c>
      <c r="L803" s="39" t="s">
        <v>26</v>
      </c>
      <c r="M803" s="39" t="s">
        <v>26</v>
      </c>
      <c r="N803" s="44">
        <v>41.051679871930403</v>
      </c>
      <c r="O803" s="44">
        <v>-75.555291514211902</v>
      </c>
      <c r="P803" s="41">
        <f>445+428</f>
        <v>873</v>
      </c>
      <c r="Q803" s="42">
        <v>44209</v>
      </c>
      <c r="R803" s="41" t="s">
        <v>1530</v>
      </c>
      <c r="S803" s="41" t="s">
        <v>38</v>
      </c>
      <c r="T803" s="24">
        <f t="shared" si="22"/>
        <v>941.96699999999998</v>
      </c>
    </row>
    <row r="804" spans="1:20" x14ac:dyDescent="0.25">
      <c r="A804" s="36">
        <v>770</v>
      </c>
      <c r="B804" s="36" t="s">
        <v>1524</v>
      </c>
      <c r="C804" s="36">
        <v>5</v>
      </c>
      <c r="D804" s="36" t="s">
        <v>1966</v>
      </c>
      <c r="E804" s="36" t="s">
        <v>2001</v>
      </c>
      <c r="F804" s="37" t="s">
        <v>2002</v>
      </c>
      <c r="G804" s="37" t="s">
        <v>2003</v>
      </c>
      <c r="H804" s="37">
        <v>200</v>
      </c>
      <c r="I804" s="37">
        <v>1201</v>
      </c>
      <c r="J804" s="38" t="s">
        <v>2004</v>
      </c>
      <c r="K804" s="38" t="s">
        <v>25</v>
      </c>
      <c r="L804" s="39" t="s">
        <v>26</v>
      </c>
      <c r="M804" s="39" t="s">
        <v>26</v>
      </c>
      <c r="N804" s="40">
        <v>41.107938832511898</v>
      </c>
      <c r="O804" s="40">
        <v>-75.454699799964501</v>
      </c>
      <c r="P804" s="41">
        <v>802</v>
      </c>
      <c r="Q804" s="41" t="s">
        <v>1645</v>
      </c>
      <c r="R804" s="41" t="s">
        <v>27</v>
      </c>
      <c r="S804" s="41" t="s">
        <v>934</v>
      </c>
      <c r="T804" s="24">
        <f t="shared" si="22"/>
        <v>865.35799999999995</v>
      </c>
    </row>
    <row r="805" spans="1:20" x14ac:dyDescent="0.25">
      <c r="A805" s="9">
        <v>771</v>
      </c>
      <c r="B805" s="9" t="s">
        <v>1524</v>
      </c>
      <c r="C805" s="9">
        <v>5</v>
      </c>
      <c r="D805" s="9" t="s">
        <v>1966</v>
      </c>
      <c r="E805" s="9" t="s">
        <v>2001</v>
      </c>
      <c r="F805" s="37" t="s">
        <v>2005</v>
      </c>
      <c r="G805" s="37" t="s">
        <v>2003</v>
      </c>
      <c r="H805" s="43">
        <v>290</v>
      </c>
      <c r="I805" s="43">
        <v>0</v>
      </c>
      <c r="J805" s="38" t="s">
        <v>2006</v>
      </c>
      <c r="K805" s="38" t="s">
        <v>25</v>
      </c>
      <c r="L805" s="38" t="s">
        <v>26</v>
      </c>
      <c r="M805" s="38" t="s">
        <v>26</v>
      </c>
      <c r="N805" s="44">
        <v>41.112327148214803</v>
      </c>
      <c r="O805" s="44">
        <v>-75.383976030611393</v>
      </c>
      <c r="P805" s="41">
        <f>710+669</f>
        <v>1379</v>
      </c>
      <c r="Q805" s="42">
        <v>44207</v>
      </c>
      <c r="R805" s="41" t="s">
        <v>1530</v>
      </c>
      <c r="S805" s="41" t="s">
        <v>38</v>
      </c>
      <c r="T805" s="24">
        <f t="shared" si="22"/>
        <v>1487.941</v>
      </c>
    </row>
    <row r="806" spans="1:20" x14ac:dyDescent="0.25">
      <c r="A806" s="36">
        <v>772</v>
      </c>
      <c r="B806" s="36" t="s">
        <v>1524</v>
      </c>
      <c r="C806" s="36">
        <v>5</v>
      </c>
      <c r="D806" s="36" t="s">
        <v>1966</v>
      </c>
      <c r="E806" s="36" t="s">
        <v>1974</v>
      </c>
      <c r="F806" s="37" t="s">
        <v>2005</v>
      </c>
      <c r="G806" s="37" t="s">
        <v>2003</v>
      </c>
      <c r="H806" s="43">
        <v>300</v>
      </c>
      <c r="I806" s="43">
        <v>0</v>
      </c>
      <c r="J806" s="38" t="s">
        <v>2007</v>
      </c>
      <c r="K806" s="38" t="s">
        <v>25</v>
      </c>
      <c r="L806" s="38" t="s">
        <v>26</v>
      </c>
      <c r="M806" s="38" t="s">
        <v>26</v>
      </c>
      <c r="N806" s="40">
        <v>41.118941463492803</v>
      </c>
      <c r="O806" s="40">
        <v>-75.379765646637694</v>
      </c>
      <c r="P806" s="41">
        <v>852</v>
      </c>
      <c r="Q806" s="41" t="s">
        <v>1645</v>
      </c>
      <c r="R806" s="41" t="s">
        <v>27</v>
      </c>
      <c r="S806" s="41" t="s">
        <v>28</v>
      </c>
      <c r="T806" s="24">
        <f t="shared" si="22"/>
        <v>919.30799999999999</v>
      </c>
    </row>
    <row r="807" spans="1:20" x14ac:dyDescent="0.25">
      <c r="A807" s="9">
        <v>773</v>
      </c>
      <c r="B807" s="9" t="s">
        <v>1524</v>
      </c>
      <c r="C807" s="9">
        <v>5</v>
      </c>
      <c r="D807" s="9" t="s">
        <v>1966</v>
      </c>
      <c r="E807" s="9" t="s">
        <v>2008</v>
      </c>
      <c r="F807" s="37" t="s">
        <v>2005</v>
      </c>
      <c r="G807" s="37" t="s">
        <v>2003</v>
      </c>
      <c r="H807" s="43">
        <v>310</v>
      </c>
      <c r="I807" s="43">
        <v>66</v>
      </c>
      <c r="J807" s="38" t="s">
        <v>2009</v>
      </c>
      <c r="K807" s="38" t="s">
        <v>25</v>
      </c>
      <c r="L807" s="38" t="s">
        <v>26</v>
      </c>
      <c r="M807" s="38" t="s">
        <v>26</v>
      </c>
      <c r="N807" s="44">
        <v>41.123693313533003</v>
      </c>
      <c r="O807" s="44">
        <v>-75.371206189908904</v>
      </c>
      <c r="P807" s="41">
        <v>1682</v>
      </c>
      <c r="Q807" s="42">
        <v>44207</v>
      </c>
      <c r="R807" s="41" t="s">
        <v>27</v>
      </c>
      <c r="S807" s="41" t="s">
        <v>38</v>
      </c>
      <c r="T807" s="24">
        <f t="shared" si="22"/>
        <v>1814.8779999999999</v>
      </c>
    </row>
    <row r="808" spans="1:20" x14ac:dyDescent="0.25">
      <c r="A808" s="36">
        <v>774</v>
      </c>
      <c r="B808" s="36" t="s">
        <v>1524</v>
      </c>
      <c r="C808" s="36">
        <v>5</v>
      </c>
      <c r="D808" s="36" t="s">
        <v>1966</v>
      </c>
      <c r="E808" s="36" t="s">
        <v>1160</v>
      </c>
      <c r="F808" s="37" t="s">
        <v>1988</v>
      </c>
      <c r="G808" s="37" t="s">
        <v>2010</v>
      </c>
      <c r="H808" s="43">
        <v>380</v>
      </c>
      <c r="I808" s="43">
        <v>1683</v>
      </c>
      <c r="J808" s="38" t="s">
        <v>2011</v>
      </c>
      <c r="K808" s="38" t="s">
        <v>25</v>
      </c>
      <c r="L808" s="38" t="s">
        <v>26</v>
      </c>
      <c r="M808" s="38" t="s">
        <v>26</v>
      </c>
      <c r="N808" s="40">
        <v>41.036682469826999</v>
      </c>
      <c r="O808" s="40">
        <v>-75.137855648083004</v>
      </c>
      <c r="P808" s="41">
        <v>1682</v>
      </c>
      <c r="Q808" s="42">
        <v>44204</v>
      </c>
      <c r="R808" s="41" t="s">
        <v>27</v>
      </c>
      <c r="S808" s="41" t="s">
        <v>517</v>
      </c>
      <c r="T808" s="24">
        <f t="shared" si="22"/>
        <v>1814.8779999999999</v>
      </c>
    </row>
    <row r="809" spans="1:20" x14ac:dyDescent="0.25">
      <c r="A809" s="9">
        <v>775</v>
      </c>
      <c r="B809" s="9" t="s">
        <v>1524</v>
      </c>
      <c r="C809" s="9">
        <v>5</v>
      </c>
      <c r="D809" s="9" t="s">
        <v>1966</v>
      </c>
      <c r="E809" s="9" t="s">
        <v>2012</v>
      </c>
      <c r="F809" s="37" t="s">
        <v>2013</v>
      </c>
      <c r="G809" s="37" t="s">
        <v>2014</v>
      </c>
      <c r="H809" s="37">
        <v>120</v>
      </c>
      <c r="I809" s="37">
        <v>0</v>
      </c>
      <c r="J809" s="38" t="s">
        <v>2015</v>
      </c>
      <c r="K809" s="38" t="s">
        <v>25</v>
      </c>
      <c r="L809" s="39" t="s">
        <v>26</v>
      </c>
      <c r="M809" s="39" t="s">
        <v>26</v>
      </c>
      <c r="N809" s="44">
        <v>40.909842597938201</v>
      </c>
      <c r="O809" s="44">
        <v>-75.345118523546105</v>
      </c>
      <c r="P809" s="41">
        <v>195</v>
      </c>
      <c r="Q809" s="42">
        <v>44216</v>
      </c>
      <c r="R809" s="41" t="s">
        <v>27</v>
      </c>
      <c r="S809" s="41" t="s">
        <v>38</v>
      </c>
      <c r="T809" s="24">
        <f t="shared" si="22"/>
        <v>210.405</v>
      </c>
    </row>
    <row r="810" spans="1:20" x14ac:dyDescent="0.25">
      <c r="A810" s="36">
        <v>776</v>
      </c>
      <c r="B810" s="36" t="s">
        <v>1524</v>
      </c>
      <c r="C810" s="36">
        <v>5</v>
      </c>
      <c r="D810" s="36" t="s">
        <v>1966</v>
      </c>
      <c r="E810" s="36" t="s">
        <v>855</v>
      </c>
      <c r="F810" s="37" t="s">
        <v>2016</v>
      </c>
      <c r="G810" s="37" t="s">
        <v>157</v>
      </c>
      <c r="H810" s="37">
        <v>50</v>
      </c>
      <c r="I810" s="37">
        <v>1189</v>
      </c>
      <c r="J810" s="38" t="s">
        <v>1316</v>
      </c>
      <c r="K810" s="38" t="s">
        <v>25</v>
      </c>
      <c r="L810" s="39" t="s">
        <v>26</v>
      </c>
      <c r="M810" s="39" t="s">
        <v>26</v>
      </c>
      <c r="N810" s="40">
        <v>41.059252666074997</v>
      </c>
      <c r="O810" s="40">
        <v>-75.4933065452325</v>
      </c>
      <c r="P810" s="41">
        <v>71</v>
      </c>
      <c r="Q810" s="41" t="s">
        <v>1645</v>
      </c>
      <c r="R810" s="41" t="s">
        <v>27</v>
      </c>
      <c r="S810" s="41" t="s">
        <v>28</v>
      </c>
      <c r="T810" s="24">
        <f t="shared" si="22"/>
        <v>76.608999999999995</v>
      </c>
    </row>
    <row r="811" spans="1:20" x14ac:dyDescent="0.25">
      <c r="A811" s="9">
        <v>777</v>
      </c>
      <c r="B811" s="9" t="s">
        <v>1524</v>
      </c>
      <c r="C811" s="9">
        <v>6</v>
      </c>
      <c r="D811" s="9" t="s">
        <v>2017</v>
      </c>
      <c r="E811" s="9" t="s">
        <v>2018</v>
      </c>
      <c r="F811" s="37" t="s">
        <v>2019</v>
      </c>
      <c r="G811" s="37" t="s">
        <v>2020</v>
      </c>
      <c r="H811" s="43">
        <v>482</v>
      </c>
      <c r="I811" s="43">
        <v>2040</v>
      </c>
      <c r="J811" s="38" t="s">
        <v>2021</v>
      </c>
      <c r="K811" s="38" t="s">
        <v>25</v>
      </c>
      <c r="L811" s="39" t="s">
        <v>26</v>
      </c>
      <c r="M811" s="39" t="s">
        <v>26</v>
      </c>
      <c r="N811" s="44">
        <v>40.159991171152498</v>
      </c>
      <c r="O811" s="44">
        <v>-75.148369901328607</v>
      </c>
      <c r="P811" s="41">
        <f>1890+2147</f>
        <v>4037</v>
      </c>
      <c r="Q811" s="42">
        <v>44279</v>
      </c>
      <c r="R811" s="41" t="s">
        <v>1530</v>
      </c>
      <c r="S811" s="41" t="s">
        <v>34</v>
      </c>
      <c r="T811" s="24">
        <f t="shared" ref="T811:T825" si="23">P811*$X$8</f>
        <v>4949.3620000000001</v>
      </c>
    </row>
    <row r="812" spans="1:20" x14ac:dyDescent="0.25">
      <c r="A812" s="36">
        <v>778</v>
      </c>
      <c r="B812" s="36" t="s">
        <v>1524</v>
      </c>
      <c r="C812" s="36">
        <v>6</v>
      </c>
      <c r="D812" s="36" t="s">
        <v>2017</v>
      </c>
      <c r="E812" s="36" t="s">
        <v>2018</v>
      </c>
      <c r="F812" s="37" t="s">
        <v>2022</v>
      </c>
      <c r="G812" s="37" t="s">
        <v>2020</v>
      </c>
      <c r="H812" s="43">
        <v>502</v>
      </c>
      <c r="I812" s="43">
        <v>0</v>
      </c>
      <c r="J812" s="38" t="s">
        <v>2023</v>
      </c>
      <c r="K812" s="38" t="s">
        <v>25</v>
      </c>
      <c r="L812" s="39" t="s">
        <v>26</v>
      </c>
      <c r="M812" s="39" t="s">
        <v>26</v>
      </c>
      <c r="N812" s="40">
        <v>40.154644421312398</v>
      </c>
      <c r="O812" s="40">
        <v>-75.139363754666206</v>
      </c>
      <c r="P812" s="41">
        <f>4827+4117</f>
        <v>8944</v>
      </c>
      <c r="Q812" s="42">
        <v>44279</v>
      </c>
      <c r="R812" s="41" t="s">
        <v>1530</v>
      </c>
      <c r="S812" s="41" t="s">
        <v>34</v>
      </c>
      <c r="T812" s="24">
        <f t="shared" si="23"/>
        <v>10965.343999999999</v>
      </c>
    </row>
    <row r="813" spans="1:20" x14ac:dyDescent="0.25">
      <c r="A813" s="9">
        <v>779</v>
      </c>
      <c r="B813" s="9" t="s">
        <v>1524</v>
      </c>
      <c r="C813" s="9">
        <v>6</v>
      </c>
      <c r="D813" s="9" t="s">
        <v>2017</v>
      </c>
      <c r="E813" s="9" t="s">
        <v>2024</v>
      </c>
      <c r="F813" s="37" t="s">
        <v>2025</v>
      </c>
      <c r="G813" s="37" t="s">
        <v>2020</v>
      </c>
      <c r="H813" s="43">
        <v>522</v>
      </c>
      <c r="I813" s="43">
        <v>1430</v>
      </c>
      <c r="J813" s="38" t="s">
        <v>2026</v>
      </c>
      <c r="K813" s="38" t="s">
        <v>25</v>
      </c>
      <c r="L813" s="39" t="s">
        <v>26</v>
      </c>
      <c r="M813" s="39" t="s">
        <v>26</v>
      </c>
      <c r="N813" s="44">
        <v>40.142795078327502</v>
      </c>
      <c r="O813" s="44">
        <v>-75.119567534710299</v>
      </c>
      <c r="P813" s="41">
        <f>2414+1824</f>
        <v>4238</v>
      </c>
      <c r="Q813" s="42">
        <v>44279</v>
      </c>
      <c r="R813" s="41" t="s">
        <v>1530</v>
      </c>
      <c r="S813" s="41" t="s">
        <v>34</v>
      </c>
      <c r="T813" s="24">
        <f t="shared" si="23"/>
        <v>5195.7879999999996</v>
      </c>
    </row>
    <row r="814" spans="1:20" x14ac:dyDescent="0.25">
      <c r="A814" s="36">
        <v>780</v>
      </c>
      <c r="B814" s="36" t="s">
        <v>1524</v>
      </c>
      <c r="C814" s="36">
        <v>6</v>
      </c>
      <c r="D814" s="36" t="s">
        <v>2017</v>
      </c>
      <c r="E814" s="36" t="s">
        <v>2027</v>
      </c>
      <c r="F814" s="37" t="s">
        <v>1571</v>
      </c>
      <c r="G814" s="37" t="s">
        <v>717</v>
      </c>
      <c r="H814" s="43">
        <v>270</v>
      </c>
      <c r="I814" s="43">
        <v>1190</v>
      </c>
      <c r="J814" s="38" t="s">
        <v>2028</v>
      </c>
      <c r="K814" s="38" t="s">
        <v>25</v>
      </c>
      <c r="L814" s="39" t="s">
        <v>26</v>
      </c>
      <c r="M814" s="39" t="s">
        <v>26</v>
      </c>
      <c r="N814" s="40">
        <v>40.209238592482997</v>
      </c>
      <c r="O814" s="40">
        <v>-75.224725782991399</v>
      </c>
      <c r="P814" s="41">
        <f>3203+1391</f>
        <v>4594</v>
      </c>
      <c r="Q814" s="42">
        <v>44291</v>
      </c>
      <c r="R814" s="41" t="s">
        <v>1530</v>
      </c>
      <c r="S814" s="41" t="s">
        <v>38</v>
      </c>
      <c r="T814" s="24">
        <f t="shared" si="23"/>
        <v>5632.2439999999997</v>
      </c>
    </row>
    <row r="815" spans="1:20" x14ac:dyDescent="0.25">
      <c r="A815" s="9">
        <v>781</v>
      </c>
      <c r="B815" s="9" t="s">
        <v>1524</v>
      </c>
      <c r="C815" s="9">
        <v>6</v>
      </c>
      <c r="D815" s="9" t="s">
        <v>2017</v>
      </c>
      <c r="E815" s="9" t="s">
        <v>2029</v>
      </c>
      <c r="F815" s="37" t="s">
        <v>1571</v>
      </c>
      <c r="G815" s="37" t="s">
        <v>717</v>
      </c>
      <c r="H815" s="43">
        <v>370</v>
      </c>
      <c r="I815" s="43">
        <v>2313</v>
      </c>
      <c r="J815" s="38" t="s">
        <v>2030</v>
      </c>
      <c r="K815" s="38" t="s">
        <v>25</v>
      </c>
      <c r="L815" s="39" t="s">
        <v>26</v>
      </c>
      <c r="M815" s="39" t="s">
        <v>26</v>
      </c>
      <c r="N815" s="44">
        <v>40.272732748379497</v>
      </c>
      <c r="O815" s="44">
        <v>-75.257856961557195</v>
      </c>
      <c r="P815" s="41">
        <f>2624</f>
        <v>2624</v>
      </c>
      <c r="Q815" s="42">
        <v>44284</v>
      </c>
      <c r="R815" s="41" t="s">
        <v>27</v>
      </c>
      <c r="S815" s="41" t="s">
        <v>517</v>
      </c>
      <c r="T815" s="24">
        <f t="shared" si="23"/>
        <v>3217.0239999999999</v>
      </c>
    </row>
    <row r="816" spans="1:20" x14ac:dyDescent="0.25">
      <c r="A816" s="36">
        <v>782</v>
      </c>
      <c r="B816" s="36" t="s">
        <v>1524</v>
      </c>
      <c r="C816" s="36">
        <v>6</v>
      </c>
      <c r="D816" s="36" t="s">
        <v>2017</v>
      </c>
      <c r="E816" s="36" t="s">
        <v>2031</v>
      </c>
      <c r="F816" s="37" t="s">
        <v>2032</v>
      </c>
      <c r="G816" s="37" t="s">
        <v>2033</v>
      </c>
      <c r="H816" s="43">
        <v>40</v>
      </c>
      <c r="I816" s="43">
        <v>2110</v>
      </c>
      <c r="J816" s="38" t="s">
        <v>2034</v>
      </c>
      <c r="K816" s="38" t="s">
        <v>25</v>
      </c>
      <c r="L816" s="39" t="s">
        <v>26</v>
      </c>
      <c r="M816" s="39" t="s">
        <v>26</v>
      </c>
      <c r="N816" s="40">
        <v>40.127390940136898</v>
      </c>
      <c r="O816" s="40">
        <v>-75.404810885658094</v>
      </c>
      <c r="P816" s="41">
        <f>4692+4934</f>
        <v>9626</v>
      </c>
      <c r="Q816" s="42">
        <v>44235</v>
      </c>
      <c r="R816" s="41" t="s">
        <v>1530</v>
      </c>
      <c r="S816" s="41" t="s">
        <v>38</v>
      </c>
      <c r="T816" s="24">
        <f t="shared" si="23"/>
        <v>11801.476000000001</v>
      </c>
    </row>
    <row r="817" spans="1:20" x14ac:dyDescent="0.25">
      <c r="A817" s="9">
        <v>783</v>
      </c>
      <c r="B817" s="9" t="s">
        <v>1524</v>
      </c>
      <c r="C817" s="9">
        <v>6</v>
      </c>
      <c r="D817" s="9" t="s">
        <v>2017</v>
      </c>
      <c r="E817" s="9" t="s">
        <v>2035</v>
      </c>
      <c r="F817" s="37" t="s">
        <v>2036</v>
      </c>
      <c r="G817" s="37" t="s">
        <v>2037</v>
      </c>
      <c r="H817" s="43">
        <v>80</v>
      </c>
      <c r="I817" s="43">
        <v>935</v>
      </c>
      <c r="J817" s="38" t="s">
        <v>2038</v>
      </c>
      <c r="K817" s="38" t="s">
        <v>25</v>
      </c>
      <c r="L817" s="39" t="s">
        <v>26</v>
      </c>
      <c r="M817" s="39" t="s">
        <v>26</v>
      </c>
      <c r="N817" s="44">
        <v>40.159168682388703</v>
      </c>
      <c r="O817" s="44">
        <v>-75.075178311598904</v>
      </c>
      <c r="P817" s="41">
        <f>2824+3726</f>
        <v>6550</v>
      </c>
      <c r="Q817" s="42">
        <v>44291</v>
      </c>
      <c r="R817" s="41" t="s">
        <v>1530</v>
      </c>
      <c r="S817" s="41" t="s">
        <v>38</v>
      </c>
      <c r="T817" s="24">
        <f t="shared" si="23"/>
        <v>8030.3</v>
      </c>
    </row>
    <row r="818" spans="1:20" x14ac:dyDescent="0.25">
      <c r="A818" s="36">
        <v>784</v>
      </c>
      <c r="B818" s="36" t="s">
        <v>1524</v>
      </c>
      <c r="C818" s="36">
        <v>6</v>
      </c>
      <c r="D818" s="36" t="s">
        <v>2017</v>
      </c>
      <c r="E818" s="36" t="s">
        <v>2039</v>
      </c>
      <c r="F818" s="37" t="s">
        <v>1571</v>
      </c>
      <c r="G818" s="37" t="s">
        <v>2040</v>
      </c>
      <c r="H818" s="43">
        <v>120</v>
      </c>
      <c r="I818" s="43">
        <v>367</v>
      </c>
      <c r="J818" s="38" t="s">
        <v>2041</v>
      </c>
      <c r="K818" s="38" t="s">
        <v>25</v>
      </c>
      <c r="L818" s="39" t="s">
        <v>26</v>
      </c>
      <c r="M818" s="39" t="s">
        <v>26</v>
      </c>
      <c r="N818" s="40">
        <v>40.155461934566603</v>
      </c>
      <c r="O818" s="40">
        <v>-75.213921144904205</v>
      </c>
      <c r="P818" s="41">
        <f>2129</f>
        <v>2129</v>
      </c>
      <c r="Q818" s="42">
        <v>44273</v>
      </c>
      <c r="R818" s="41" t="s">
        <v>27</v>
      </c>
      <c r="S818" s="41" t="s">
        <v>517</v>
      </c>
      <c r="T818" s="24">
        <f t="shared" si="23"/>
        <v>2610.154</v>
      </c>
    </row>
    <row r="819" spans="1:20" x14ac:dyDescent="0.25">
      <c r="A819" s="9">
        <v>785</v>
      </c>
      <c r="B819" s="9" t="s">
        <v>1524</v>
      </c>
      <c r="C819" s="9">
        <v>6</v>
      </c>
      <c r="D819" s="9" t="s">
        <v>2017</v>
      </c>
      <c r="E819" s="9" t="s">
        <v>2042</v>
      </c>
      <c r="F819" s="37" t="s">
        <v>2043</v>
      </c>
      <c r="G819" s="37" t="s">
        <v>92</v>
      </c>
      <c r="H819" s="43">
        <v>20</v>
      </c>
      <c r="I819" s="43">
        <v>2300</v>
      </c>
      <c r="J819" s="38" t="s">
        <v>2044</v>
      </c>
      <c r="K819" s="38" t="s">
        <v>25</v>
      </c>
      <c r="L819" s="39" t="s">
        <v>26</v>
      </c>
      <c r="M819" s="39" t="s">
        <v>26</v>
      </c>
      <c r="N819" s="44">
        <v>40.080842960396602</v>
      </c>
      <c r="O819" s="44">
        <v>-75.169835514253904</v>
      </c>
      <c r="P819" s="41">
        <f>1907+1761</f>
        <v>3668</v>
      </c>
      <c r="Q819" s="42">
        <v>44273</v>
      </c>
      <c r="R819" s="41" t="s">
        <v>1530</v>
      </c>
      <c r="S819" s="41" t="s">
        <v>38</v>
      </c>
      <c r="T819" s="24">
        <f t="shared" si="23"/>
        <v>4496.9679999999998</v>
      </c>
    </row>
    <row r="820" spans="1:20" x14ac:dyDescent="0.25">
      <c r="A820" s="36">
        <v>786</v>
      </c>
      <c r="B820" s="36" t="s">
        <v>1524</v>
      </c>
      <c r="C820" s="36">
        <v>6</v>
      </c>
      <c r="D820" s="36" t="s">
        <v>2017</v>
      </c>
      <c r="E820" s="36" t="s">
        <v>2031</v>
      </c>
      <c r="F820" s="37" t="s">
        <v>77</v>
      </c>
      <c r="G820" s="37" t="s">
        <v>2045</v>
      </c>
      <c r="H820" s="43">
        <v>42</v>
      </c>
      <c r="I820" s="43">
        <v>2670</v>
      </c>
      <c r="J820" s="38" t="s">
        <v>2046</v>
      </c>
      <c r="K820" s="38" t="s">
        <v>25</v>
      </c>
      <c r="L820" s="39" t="s">
        <v>26</v>
      </c>
      <c r="M820" s="39" t="s">
        <v>26</v>
      </c>
      <c r="N820" s="40">
        <v>40.124683518978998</v>
      </c>
      <c r="O820" s="40">
        <v>-75.364560267080293</v>
      </c>
      <c r="P820" s="41">
        <f>1044</f>
        <v>1044</v>
      </c>
      <c r="Q820" s="42">
        <v>44270</v>
      </c>
      <c r="R820" s="41" t="s">
        <v>27</v>
      </c>
      <c r="S820" s="41" t="s">
        <v>38</v>
      </c>
      <c r="T820" s="24">
        <f t="shared" si="23"/>
        <v>1279.944</v>
      </c>
    </row>
    <row r="821" spans="1:20" x14ac:dyDescent="0.25">
      <c r="A821" s="9">
        <v>787</v>
      </c>
      <c r="B821" s="9" t="s">
        <v>1524</v>
      </c>
      <c r="C821" s="9">
        <v>6</v>
      </c>
      <c r="D821" s="9" t="s">
        <v>2017</v>
      </c>
      <c r="E821" s="9" t="s">
        <v>2047</v>
      </c>
      <c r="F821" s="37" t="s">
        <v>2048</v>
      </c>
      <c r="G821" s="37" t="s">
        <v>1238</v>
      </c>
      <c r="H821" s="43">
        <v>60</v>
      </c>
      <c r="I821" s="43">
        <v>1280</v>
      </c>
      <c r="J821" s="38" t="s">
        <v>1891</v>
      </c>
      <c r="K821" s="38" t="s">
        <v>25</v>
      </c>
      <c r="L821" s="39" t="s">
        <v>26</v>
      </c>
      <c r="M821" s="39" t="s">
        <v>26</v>
      </c>
      <c r="N821" s="44">
        <v>40.121914918941997</v>
      </c>
      <c r="O821" s="44">
        <v>-75.343576736531801</v>
      </c>
      <c r="P821" s="41">
        <f>5436</f>
        <v>5436</v>
      </c>
      <c r="Q821" s="42">
        <v>44270</v>
      </c>
      <c r="R821" s="41" t="s">
        <v>27</v>
      </c>
      <c r="S821" s="41" t="s">
        <v>34</v>
      </c>
      <c r="T821" s="24">
        <f t="shared" si="23"/>
        <v>6664.5360000000001</v>
      </c>
    </row>
    <row r="822" spans="1:20" x14ac:dyDescent="0.25">
      <c r="A822" s="36">
        <v>788</v>
      </c>
      <c r="B822" s="36" t="s">
        <v>1524</v>
      </c>
      <c r="C822" s="36">
        <v>6</v>
      </c>
      <c r="D822" s="36" t="s">
        <v>2017</v>
      </c>
      <c r="E822" s="36" t="s">
        <v>2049</v>
      </c>
      <c r="F822" s="37" t="s">
        <v>2050</v>
      </c>
      <c r="G822" s="37" t="s">
        <v>2051</v>
      </c>
      <c r="H822" s="43">
        <v>20</v>
      </c>
      <c r="I822" s="43">
        <v>1617</v>
      </c>
      <c r="J822" s="38" t="s">
        <v>2052</v>
      </c>
      <c r="K822" s="38" t="s">
        <v>25</v>
      </c>
      <c r="L822" s="39" t="s">
        <v>26</v>
      </c>
      <c r="M822" s="39" t="s">
        <v>26</v>
      </c>
      <c r="N822" s="40">
        <v>40.0007423038426</v>
      </c>
      <c r="O822" s="40">
        <v>-75.279789831472897</v>
      </c>
      <c r="P822" s="41">
        <f>1986</f>
        <v>1986</v>
      </c>
      <c r="Q822" s="42">
        <v>44273</v>
      </c>
      <c r="R822" s="41" t="s">
        <v>27</v>
      </c>
      <c r="S822" s="41" t="s">
        <v>34</v>
      </c>
      <c r="T822" s="24">
        <f t="shared" si="23"/>
        <v>2434.8359999999998</v>
      </c>
    </row>
    <row r="823" spans="1:20" x14ac:dyDescent="0.25">
      <c r="A823" s="9">
        <v>789</v>
      </c>
      <c r="B823" s="9" t="s">
        <v>1524</v>
      </c>
      <c r="C823" s="9">
        <v>6</v>
      </c>
      <c r="D823" s="9" t="s">
        <v>2017</v>
      </c>
      <c r="E823" s="9" t="s">
        <v>2031</v>
      </c>
      <c r="F823" s="37" t="s">
        <v>2053</v>
      </c>
      <c r="G823" s="37" t="s">
        <v>157</v>
      </c>
      <c r="H823" s="43">
        <v>130</v>
      </c>
      <c r="I823" s="43">
        <v>595</v>
      </c>
      <c r="J823" s="38" t="s">
        <v>2054</v>
      </c>
      <c r="K823" s="38" t="s">
        <v>1828</v>
      </c>
      <c r="L823" s="39" t="s">
        <v>26</v>
      </c>
      <c r="M823" s="39" t="s">
        <v>26</v>
      </c>
      <c r="N823" s="44">
        <v>40.131106116575097</v>
      </c>
      <c r="O823" s="44">
        <v>-75.399285647826105</v>
      </c>
      <c r="P823" s="41">
        <f>4151+3621</f>
        <v>7772</v>
      </c>
      <c r="Q823" s="42">
        <v>44235</v>
      </c>
      <c r="R823" s="41" t="s">
        <v>1530</v>
      </c>
      <c r="S823" s="41" t="s">
        <v>28</v>
      </c>
      <c r="T823" s="24">
        <f t="shared" si="23"/>
        <v>9528.4719999999998</v>
      </c>
    </row>
    <row r="824" spans="1:20" x14ac:dyDescent="0.25">
      <c r="A824" s="36">
        <v>790</v>
      </c>
      <c r="B824" s="36" t="s">
        <v>1524</v>
      </c>
      <c r="C824" s="36">
        <v>6</v>
      </c>
      <c r="D824" s="36" t="s">
        <v>2017</v>
      </c>
      <c r="E824" s="36" t="s">
        <v>2031</v>
      </c>
      <c r="F824" s="37" t="s">
        <v>2053</v>
      </c>
      <c r="G824" s="37" t="s">
        <v>157</v>
      </c>
      <c r="H824" s="43">
        <v>160</v>
      </c>
      <c r="I824" s="43">
        <v>0</v>
      </c>
      <c r="J824" s="38" t="s">
        <v>2055</v>
      </c>
      <c r="K824" s="38" t="s">
        <v>25</v>
      </c>
      <c r="L824" s="39" t="s">
        <v>26</v>
      </c>
      <c r="M824" s="39" t="s">
        <v>26</v>
      </c>
      <c r="N824" s="40">
        <v>40.1321766896993</v>
      </c>
      <c r="O824" s="40">
        <v>-75.384637178084105</v>
      </c>
      <c r="P824" s="41">
        <f>2115</f>
        <v>2115</v>
      </c>
      <c r="Q824" s="42">
        <v>44270</v>
      </c>
      <c r="R824" s="41" t="s">
        <v>27</v>
      </c>
      <c r="S824" s="41" t="s">
        <v>28</v>
      </c>
      <c r="T824" s="24">
        <f t="shared" si="23"/>
        <v>2592.9899999999998</v>
      </c>
    </row>
    <row r="825" spans="1:20" x14ac:dyDescent="0.25">
      <c r="A825" s="9">
        <v>791</v>
      </c>
      <c r="B825" s="9" t="s">
        <v>1524</v>
      </c>
      <c r="C825" s="9">
        <v>6</v>
      </c>
      <c r="D825" s="9" t="s">
        <v>2017</v>
      </c>
      <c r="E825" s="9" t="s">
        <v>2056</v>
      </c>
      <c r="F825" s="37" t="s">
        <v>2057</v>
      </c>
      <c r="G825" s="37" t="s">
        <v>1154</v>
      </c>
      <c r="H825" s="43">
        <v>250</v>
      </c>
      <c r="I825" s="43">
        <v>2123</v>
      </c>
      <c r="J825" s="38" t="s">
        <v>1889</v>
      </c>
      <c r="K825" s="38" t="s">
        <v>25</v>
      </c>
      <c r="L825" s="39" t="s">
        <v>26</v>
      </c>
      <c r="M825" s="39" t="s">
        <v>26</v>
      </c>
      <c r="N825" s="44">
        <v>40.242106485360303</v>
      </c>
      <c r="O825" s="44">
        <v>-75.548484800084594</v>
      </c>
      <c r="P825" s="41">
        <f>3342</f>
        <v>3342</v>
      </c>
      <c r="Q825" s="42">
        <v>44270</v>
      </c>
      <c r="R825" s="41" t="s">
        <v>27</v>
      </c>
      <c r="S825" s="41" t="s">
        <v>517</v>
      </c>
      <c r="T825" s="24">
        <f t="shared" si="23"/>
        <v>4097.2920000000004</v>
      </c>
    </row>
    <row r="826" spans="1:20" x14ac:dyDescent="0.25">
      <c r="A826" s="36">
        <v>792</v>
      </c>
      <c r="B826" s="36" t="s">
        <v>1524</v>
      </c>
      <c r="C826" s="36">
        <v>3</v>
      </c>
      <c r="D826" s="36" t="s">
        <v>2058</v>
      </c>
      <c r="E826" s="36" t="s">
        <v>2059</v>
      </c>
      <c r="F826" s="37" t="s">
        <v>2060</v>
      </c>
      <c r="G826" s="37" t="s">
        <v>646</v>
      </c>
      <c r="H826" s="43">
        <v>70</v>
      </c>
      <c r="I826" s="43">
        <v>420</v>
      </c>
      <c r="J826" s="38" t="s">
        <v>2061</v>
      </c>
      <c r="K826" s="38" t="s">
        <v>25</v>
      </c>
      <c r="L826" s="38" t="s">
        <v>26</v>
      </c>
      <c r="M826" s="38" t="s">
        <v>26</v>
      </c>
      <c r="N826" s="40">
        <v>40.964105977035203</v>
      </c>
      <c r="O826" s="40">
        <v>-76.614954506513996</v>
      </c>
      <c r="P826" s="41">
        <f>1217+456</f>
        <v>1673</v>
      </c>
      <c r="Q826" s="42">
        <v>44250</v>
      </c>
      <c r="R826" s="41" t="s">
        <v>1530</v>
      </c>
      <c r="S826" s="41" t="s">
        <v>38</v>
      </c>
      <c r="T826" s="24">
        <f>P826*$X$5</f>
        <v>1686.384</v>
      </c>
    </row>
    <row r="827" spans="1:20" x14ac:dyDescent="0.25">
      <c r="A827" s="9">
        <v>793</v>
      </c>
      <c r="B827" s="9" t="s">
        <v>1524</v>
      </c>
      <c r="C827" s="9">
        <v>3</v>
      </c>
      <c r="D827" s="9" t="s">
        <v>2058</v>
      </c>
      <c r="E827" s="9" t="s">
        <v>2059</v>
      </c>
      <c r="F827" s="37" t="s">
        <v>93</v>
      </c>
      <c r="G827" s="37" t="s">
        <v>646</v>
      </c>
      <c r="H827" s="43">
        <v>70</v>
      </c>
      <c r="I827" s="43">
        <v>1852</v>
      </c>
      <c r="J827" s="38" t="s">
        <v>2062</v>
      </c>
      <c r="K827" s="38" t="s">
        <v>25</v>
      </c>
      <c r="L827" s="38" t="s">
        <v>26</v>
      </c>
      <c r="M827" s="38" t="s">
        <v>26</v>
      </c>
      <c r="N827" s="44">
        <v>40.962301646601603</v>
      </c>
      <c r="O827" s="44">
        <v>-76.610369174730394</v>
      </c>
      <c r="P827" s="41">
        <f>146+267</f>
        <v>413</v>
      </c>
      <c r="Q827" s="42">
        <v>44250</v>
      </c>
      <c r="R827" s="41" t="s">
        <v>1530</v>
      </c>
      <c r="S827" s="41" t="s">
        <v>38</v>
      </c>
      <c r="T827" s="24">
        <f>P827*$X$5</f>
        <v>416.30400000000003</v>
      </c>
    </row>
    <row r="828" spans="1:20" x14ac:dyDescent="0.25">
      <c r="A828" s="36">
        <v>794</v>
      </c>
      <c r="B828" s="36" t="s">
        <v>1524</v>
      </c>
      <c r="C828" s="36">
        <v>3</v>
      </c>
      <c r="D828" s="36" t="s">
        <v>2058</v>
      </c>
      <c r="E828" s="36" t="s">
        <v>2063</v>
      </c>
      <c r="F828" s="37" t="s">
        <v>1726</v>
      </c>
      <c r="G828" s="37" t="s">
        <v>646</v>
      </c>
      <c r="H828" s="43">
        <v>160</v>
      </c>
      <c r="I828" s="43">
        <v>37</v>
      </c>
      <c r="J828" s="38" t="s">
        <v>2064</v>
      </c>
      <c r="K828" s="38" t="s">
        <v>25</v>
      </c>
      <c r="L828" s="38" t="s">
        <v>26</v>
      </c>
      <c r="M828" s="38" t="s">
        <v>26</v>
      </c>
      <c r="N828" s="40">
        <v>40.969531033969503</v>
      </c>
      <c r="O828" s="40">
        <v>-76.539687017074996</v>
      </c>
      <c r="P828" s="41">
        <f>223+338</f>
        <v>561</v>
      </c>
      <c r="Q828" s="42">
        <v>44250</v>
      </c>
      <c r="R828" s="41" t="s">
        <v>1530</v>
      </c>
      <c r="S828" s="41" t="s">
        <v>517</v>
      </c>
      <c r="T828" s="24">
        <f>P828*$X$5</f>
        <v>565.48800000000006</v>
      </c>
    </row>
    <row r="829" spans="1:20" x14ac:dyDescent="0.25">
      <c r="A829" s="9">
        <v>795</v>
      </c>
      <c r="B829" s="9" t="s">
        <v>1524</v>
      </c>
      <c r="C829" s="9">
        <v>3</v>
      </c>
      <c r="D829" s="9" t="s">
        <v>2058</v>
      </c>
      <c r="E829" s="9" t="s">
        <v>1430</v>
      </c>
      <c r="F829" s="37" t="s">
        <v>2065</v>
      </c>
      <c r="G829" s="37" t="s">
        <v>424</v>
      </c>
      <c r="H829" s="43">
        <v>20</v>
      </c>
      <c r="I829" s="43">
        <v>277</v>
      </c>
      <c r="J829" s="38" t="s">
        <v>2066</v>
      </c>
      <c r="K829" s="38" t="s">
        <v>25</v>
      </c>
      <c r="L829" s="38" t="s">
        <v>26</v>
      </c>
      <c r="M829" s="38" t="s">
        <v>26</v>
      </c>
      <c r="N829" s="44">
        <v>40.965310522059902</v>
      </c>
      <c r="O829" s="44">
        <v>-76.597439067303299</v>
      </c>
      <c r="P829" s="41">
        <f>114</f>
        <v>114</v>
      </c>
      <c r="Q829" s="42">
        <v>44250</v>
      </c>
      <c r="R829" s="41" t="s">
        <v>1530</v>
      </c>
      <c r="S829" s="41" t="s">
        <v>34</v>
      </c>
      <c r="T829" s="24">
        <f>P829*$X$5</f>
        <v>114.91200000000001</v>
      </c>
    </row>
    <row r="830" spans="1:20" x14ac:dyDescent="0.25">
      <c r="A830" s="36">
        <v>796</v>
      </c>
      <c r="B830" s="36" t="s">
        <v>1524</v>
      </c>
      <c r="C830" s="36">
        <v>3</v>
      </c>
      <c r="D830" s="36" t="s">
        <v>2058</v>
      </c>
      <c r="E830" s="36" t="s">
        <v>1430</v>
      </c>
      <c r="F830" s="37" t="s">
        <v>2065</v>
      </c>
      <c r="G830" s="37" t="s">
        <v>424</v>
      </c>
      <c r="H830" s="43">
        <v>60</v>
      </c>
      <c r="I830" s="43">
        <v>699</v>
      </c>
      <c r="J830" s="38" t="s">
        <v>2067</v>
      </c>
      <c r="K830" s="38" t="s">
        <v>25</v>
      </c>
      <c r="L830" s="38" t="s">
        <v>26</v>
      </c>
      <c r="M830" s="38" t="s">
        <v>26</v>
      </c>
      <c r="N830" s="40">
        <v>40.967738973004401</v>
      </c>
      <c r="O830" s="40">
        <v>-76.573760795615001</v>
      </c>
      <c r="P830" s="41">
        <f>15+21</f>
        <v>36</v>
      </c>
      <c r="Q830" s="42">
        <v>44250</v>
      </c>
      <c r="R830" s="41" t="s">
        <v>1530</v>
      </c>
      <c r="S830" s="41" t="s">
        <v>28</v>
      </c>
      <c r="T830" s="24">
        <f>P830*$X$5</f>
        <v>36.287999999999997</v>
      </c>
    </row>
    <row r="831" spans="1:20" x14ac:dyDescent="0.25">
      <c r="A831" s="9">
        <v>797</v>
      </c>
      <c r="B831" s="9" t="s">
        <v>1524</v>
      </c>
      <c r="C831" s="9">
        <v>5</v>
      </c>
      <c r="D831" s="9" t="s">
        <v>2068</v>
      </c>
      <c r="E831" s="9" t="s">
        <v>2069</v>
      </c>
      <c r="F831" s="37" t="s">
        <v>2070</v>
      </c>
      <c r="G831" s="37" t="s">
        <v>2071</v>
      </c>
      <c r="H831" s="37">
        <v>200</v>
      </c>
      <c r="I831" s="37">
        <v>0</v>
      </c>
      <c r="J831" s="38" t="s">
        <v>2072</v>
      </c>
      <c r="K831" s="38" t="s">
        <v>25</v>
      </c>
      <c r="L831" s="39" t="s">
        <v>26</v>
      </c>
      <c r="M831" s="39" t="s">
        <v>26</v>
      </c>
      <c r="N831" s="44">
        <v>40.747301168408299</v>
      </c>
      <c r="O831" s="44">
        <v>-75.469714251582303</v>
      </c>
      <c r="P831" s="41">
        <v>782</v>
      </c>
      <c r="Q831" s="42">
        <v>44224</v>
      </c>
      <c r="R831" s="41" t="s">
        <v>27</v>
      </c>
      <c r="S831" s="41" t="s">
        <v>28</v>
      </c>
      <c r="T831" s="24">
        <f t="shared" ref="T831:T843" si="24">P831*$X$7</f>
        <v>843.77800000000002</v>
      </c>
    </row>
    <row r="832" spans="1:20" x14ac:dyDescent="0.25">
      <c r="A832" s="36">
        <v>798</v>
      </c>
      <c r="B832" s="36" t="s">
        <v>1524</v>
      </c>
      <c r="C832" s="36">
        <v>5</v>
      </c>
      <c r="D832" s="36" t="s">
        <v>2068</v>
      </c>
      <c r="E832" s="36" t="s">
        <v>2073</v>
      </c>
      <c r="F832" s="37" t="s">
        <v>2074</v>
      </c>
      <c r="G832" s="37" t="s">
        <v>2071</v>
      </c>
      <c r="H832" s="37">
        <v>424</v>
      </c>
      <c r="I832" s="37">
        <v>696</v>
      </c>
      <c r="J832" s="38" t="s">
        <v>2075</v>
      </c>
      <c r="K832" s="38" t="s">
        <v>25</v>
      </c>
      <c r="L832" s="39" t="s">
        <v>26</v>
      </c>
      <c r="M832" s="39" t="s">
        <v>26</v>
      </c>
      <c r="N832" s="40">
        <v>40.720501191828703</v>
      </c>
      <c r="O832" s="40">
        <v>-75.292651804921604</v>
      </c>
      <c r="P832" s="41">
        <f>3131+2759</f>
        <v>5890</v>
      </c>
      <c r="Q832" s="42">
        <v>44224</v>
      </c>
      <c r="R832" s="41" t="s">
        <v>1530</v>
      </c>
      <c r="S832" s="41" t="s">
        <v>34</v>
      </c>
      <c r="T832" s="24">
        <f t="shared" si="24"/>
        <v>6355.3099999999995</v>
      </c>
    </row>
    <row r="833" spans="1:20" x14ac:dyDescent="0.25">
      <c r="A833" s="9">
        <v>799</v>
      </c>
      <c r="B833" s="9" t="s">
        <v>1524</v>
      </c>
      <c r="C833" s="9">
        <v>5</v>
      </c>
      <c r="D833" s="9" t="s">
        <v>2068</v>
      </c>
      <c r="E833" s="9" t="s">
        <v>2073</v>
      </c>
      <c r="F833" s="37" t="s">
        <v>2074</v>
      </c>
      <c r="G833" s="37" t="s">
        <v>2071</v>
      </c>
      <c r="H833" s="43">
        <v>440</v>
      </c>
      <c r="I833" s="43">
        <v>1218</v>
      </c>
      <c r="J833" s="38" t="s">
        <v>2076</v>
      </c>
      <c r="K833" s="38" t="s">
        <v>25</v>
      </c>
      <c r="L833" s="38" t="s">
        <v>26</v>
      </c>
      <c r="M833" s="38" t="s">
        <v>26</v>
      </c>
      <c r="N833" s="44">
        <v>40.712281487057801</v>
      </c>
      <c r="O833" s="44">
        <v>-75.282598143714395</v>
      </c>
      <c r="P833" s="41">
        <f>4102+4605</f>
        <v>8707</v>
      </c>
      <c r="Q833" s="42">
        <v>44224</v>
      </c>
      <c r="R833" s="41" t="s">
        <v>1530</v>
      </c>
      <c r="S833" s="41" t="s">
        <v>28</v>
      </c>
      <c r="T833" s="24">
        <f t="shared" si="24"/>
        <v>9394.8529999999992</v>
      </c>
    </row>
    <row r="834" spans="1:20" x14ac:dyDescent="0.25">
      <c r="A834" s="36">
        <v>800</v>
      </c>
      <c r="B834" s="36" t="s">
        <v>1524</v>
      </c>
      <c r="C834" s="36">
        <v>5</v>
      </c>
      <c r="D834" s="36" t="s">
        <v>2068</v>
      </c>
      <c r="E834" s="36" t="s">
        <v>2077</v>
      </c>
      <c r="F834" s="37" t="s">
        <v>2074</v>
      </c>
      <c r="G834" s="37" t="s">
        <v>2071</v>
      </c>
      <c r="H834" s="43">
        <v>470</v>
      </c>
      <c r="I834" s="43">
        <v>322</v>
      </c>
      <c r="J834" s="38" t="s">
        <v>2078</v>
      </c>
      <c r="K834" s="38" t="s">
        <v>25</v>
      </c>
      <c r="L834" s="38" t="s">
        <v>26</v>
      </c>
      <c r="M834" s="38" t="s">
        <v>26</v>
      </c>
      <c r="N834" s="40">
        <v>40.699413897770803</v>
      </c>
      <c r="O834" s="40">
        <v>-75.266316321570997</v>
      </c>
      <c r="P834" s="41">
        <f>2765+2750</f>
        <v>5515</v>
      </c>
      <c r="Q834" s="42">
        <v>44291</v>
      </c>
      <c r="R834" s="41" t="s">
        <v>1530</v>
      </c>
      <c r="S834" s="41" t="s">
        <v>28</v>
      </c>
      <c r="T834" s="24">
        <f t="shared" si="24"/>
        <v>5950.6849999999995</v>
      </c>
    </row>
    <row r="835" spans="1:20" x14ac:dyDescent="0.25">
      <c r="A835" s="9">
        <v>801</v>
      </c>
      <c r="B835" s="9" t="s">
        <v>1524</v>
      </c>
      <c r="C835" s="9">
        <v>5</v>
      </c>
      <c r="D835" s="9" t="s">
        <v>2068</v>
      </c>
      <c r="E835" s="9" t="s">
        <v>2079</v>
      </c>
      <c r="F835" s="37" t="s">
        <v>2080</v>
      </c>
      <c r="G835" s="37" t="s">
        <v>2081</v>
      </c>
      <c r="H835" s="43">
        <v>100</v>
      </c>
      <c r="I835" s="43">
        <v>0</v>
      </c>
      <c r="J835" s="38" t="s">
        <v>2082</v>
      </c>
      <c r="K835" s="38" t="s">
        <v>25</v>
      </c>
      <c r="L835" s="38" t="s">
        <v>26</v>
      </c>
      <c r="M835" s="38" t="s">
        <v>26</v>
      </c>
      <c r="N835" s="44">
        <v>40.603603452274598</v>
      </c>
      <c r="O835" s="44">
        <v>-75.340913456700605</v>
      </c>
      <c r="P835" s="41">
        <f>4956+4735</f>
        <v>9691</v>
      </c>
      <c r="Q835" s="42">
        <v>44223</v>
      </c>
      <c r="R835" s="41" t="s">
        <v>1530</v>
      </c>
      <c r="S835" s="41" t="s">
        <v>38</v>
      </c>
      <c r="T835" s="24">
        <f t="shared" si="24"/>
        <v>10456.589</v>
      </c>
    </row>
    <row r="836" spans="1:20" x14ac:dyDescent="0.25">
      <c r="A836" s="36">
        <v>802</v>
      </c>
      <c r="B836" s="36" t="s">
        <v>1524</v>
      </c>
      <c r="C836" s="36">
        <v>5</v>
      </c>
      <c r="D836" s="36" t="s">
        <v>2068</v>
      </c>
      <c r="E836" s="36" t="s">
        <v>2079</v>
      </c>
      <c r="F836" s="37" t="s">
        <v>2083</v>
      </c>
      <c r="G836" s="37" t="s">
        <v>2081</v>
      </c>
      <c r="H836" s="43">
        <v>134</v>
      </c>
      <c r="I836" s="43">
        <v>1004</v>
      </c>
      <c r="J836" s="38" t="s">
        <v>2084</v>
      </c>
      <c r="K836" s="38" t="s">
        <v>25</v>
      </c>
      <c r="L836" s="38" t="s">
        <v>26</v>
      </c>
      <c r="M836" s="38" t="s">
        <v>26</v>
      </c>
      <c r="N836" s="40">
        <v>40.612879382296597</v>
      </c>
      <c r="O836" s="40">
        <v>-75.355857955361699</v>
      </c>
      <c r="P836" s="41">
        <f>1810+877</f>
        <v>2687</v>
      </c>
      <c r="Q836" s="42">
        <v>44224</v>
      </c>
      <c r="R836" s="41" t="s">
        <v>1530</v>
      </c>
      <c r="S836" s="41" t="s">
        <v>28</v>
      </c>
      <c r="T836" s="24">
        <f t="shared" si="24"/>
        <v>2899.2729999999997</v>
      </c>
    </row>
    <row r="837" spans="1:20" x14ac:dyDescent="0.25">
      <c r="A837" s="9">
        <v>803</v>
      </c>
      <c r="B837" s="9" t="s">
        <v>1524</v>
      </c>
      <c r="C837" s="9">
        <v>5</v>
      </c>
      <c r="D837" s="9" t="s">
        <v>2068</v>
      </c>
      <c r="E837" s="9" t="s">
        <v>723</v>
      </c>
      <c r="F837" s="37" t="s">
        <v>2085</v>
      </c>
      <c r="G837" s="37" t="s">
        <v>2086</v>
      </c>
      <c r="H837" s="43">
        <v>50</v>
      </c>
      <c r="I837" s="43">
        <v>98</v>
      </c>
      <c r="J837" s="38" t="s">
        <v>2087</v>
      </c>
      <c r="K837" s="38" t="s">
        <v>25</v>
      </c>
      <c r="L837" s="38" t="s">
        <v>26</v>
      </c>
      <c r="M837" s="38" t="s">
        <v>26</v>
      </c>
      <c r="N837" s="44">
        <v>40.682515562901997</v>
      </c>
      <c r="O837" s="44">
        <v>-75.389786505827104</v>
      </c>
      <c r="P837" s="41">
        <v>6108</v>
      </c>
      <c r="Q837" s="42">
        <v>44224</v>
      </c>
      <c r="R837" s="41" t="s">
        <v>27</v>
      </c>
      <c r="S837" s="41" t="s">
        <v>517</v>
      </c>
      <c r="T837" s="24">
        <f t="shared" si="24"/>
        <v>6590.5320000000002</v>
      </c>
    </row>
    <row r="838" spans="1:20" x14ac:dyDescent="0.25">
      <c r="A838" s="36">
        <v>804</v>
      </c>
      <c r="B838" s="36" t="s">
        <v>1524</v>
      </c>
      <c r="C838" s="36">
        <v>5</v>
      </c>
      <c r="D838" s="36" t="s">
        <v>2068</v>
      </c>
      <c r="E838" s="36" t="s">
        <v>2088</v>
      </c>
      <c r="F838" s="37" t="s">
        <v>2085</v>
      </c>
      <c r="G838" s="37" t="s">
        <v>2086</v>
      </c>
      <c r="H838" s="37">
        <v>60</v>
      </c>
      <c r="I838" s="37">
        <v>2695</v>
      </c>
      <c r="J838" s="38" t="s">
        <v>2089</v>
      </c>
      <c r="K838" s="38" t="s">
        <v>25</v>
      </c>
      <c r="L838" s="39" t="s">
        <v>26</v>
      </c>
      <c r="M838" s="39" t="s">
        <v>26</v>
      </c>
      <c r="N838" s="40">
        <v>40.697765179083703</v>
      </c>
      <c r="O838" s="40">
        <v>-75.392590049568099</v>
      </c>
      <c r="P838" s="41">
        <v>2142</v>
      </c>
      <c r="Q838" s="42">
        <v>44224</v>
      </c>
      <c r="R838" s="41" t="s">
        <v>27</v>
      </c>
      <c r="S838" s="41" t="s">
        <v>517</v>
      </c>
      <c r="T838" s="24">
        <f t="shared" si="24"/>
        <v>2311.2179999999998</v>
      </c>
    </row>
    <row r="839" spans="1:20" x14ac:dyDescent="0.25">
      <c r="A839" s="9">
        <v>805</v>
      </c>
      <c r="B839" s="9" t="s">
        <v>1524</v>
      </c>
      <c r="C839" s="9">
        <v>5</v>
      </c>
      <c r="D839" s="9" t="s">
        <v>2068</v>
      </c>
      <c r="E839" s="9" t="s">
        <v>2088</v>
      </c>
      <c r="F839" s="37" t="s">
        <v>1889</v>
      </c>
      <c r="G839" s="37" t="s">
        <v>2090</v>
      </c>
      <c r="H839" s="37">
        <v>50</v>
      </c>
      <c r="I839" s="37">
        <v>2170</v>
      </c>
      <c r="J839" s="38" t="s">
        <v>2089</v>
      </c>
      <c r="K839" s="38" t="s">
        <v>25</v>
      </c>
      <c r="L839" s="39" t="s">
        <v>26</v>
      </c>
      <c r="M839" s="39" t="s">
        <v>26</v>
      </c>
      <c r="N839" s="44">
        <v>40.695957543663901</v>
      </c>
      <c r="O839" s="44">
        <v>-75.415923487129703</v>
      </c>
      <c r="P839" s="41">
        <v>2180</v>
      </c>
      <c r="Q839" s="42">
        <v>44224</v>
      </c>
      <c r="R839" s="41" t="s">
        <v>27</v>
      </c>
      <c r="S839" s="41" t="s">
        <v>38</v>
      </c>
      <c r="T839" s="24">
        <f t="shared" si="24"/>
        <v>2352.2199999999998</v>
      </c>
    </row>
    <row r="840" spans="1:20" x14ac:dyDescent="0.25">
      <c r="A840" s="36">
        <v>806</v>
      </c>
      <c r="B840" s="36" t="s">
        <v>1524</v>
      </c>
      <c r="C840" s="36">
        <v>5</v>
      </c>
      <c r="D840" s="36" t="s">
        <v>2068</v>
      </c>
      <c r="E840" s="36" t="s">
        <v>2091</v>
      </c>
      <c r="F840" s="37" t="s">
        <v>1161</v>
      </c>
      <c r="G840" s="37" t="s">
        <v>727</v>
      </c>
      <c r="H840" s="43">
        <v>110</v>
      </c>
      <c r="I840" s="43">
        <v>300</v>
      </c>
      <c r="J840" s="38" t="s">
        <v>2092</v>
      </c>
      <c r="K840" s="38" t="s">
        <v>25</v>
      </c>
      <c r="L840" s="38" t="s">
        <v>26</v>
      </c>
      <c r="M840" s="38" t="s">
        <v>26</v>
      </c>
      <c r="N840" s="40">
        <v>40.6670176251748</v>
      </c>
      <c r="O840" s="40">
        <v>-75.296105070747998</v>
      </c>
      <c r="P840" s="41">
        <f>4405+4156</f>
        <v>8561</v>
      </c>
      <c r="Q840" s="42">
        <v>44291</v>
      </c>
      <c r="R840" s="41" t="s">
        <v>1530</v>
      </c>
      <c r="S840" s="41" t="s">
        <v>28</v>
      </c>
      <c r="T840" s="24">
        <f t="shared" si="24"/>
        <v>9237.3189999999995</v>
      </c>
    </row>
    <row r="841" spans="1:20" x14ac:dyDescent="0.25">
      <c r="A841" s="9">
        <v>807</v>
      </c>
      <c r="B841" s="9" t="s">
        <v>1524</v>
      </c>
      <c r="C841" s="9">
        <v>5</v>
      </c>
      <c r="D841" s="9" t="s">
        <v>2068</v>
      </c>
      <c r="E841" s="9" t="s">
        <v>2093</v>
      </c>
      <c r="F841" s="37" t="s">
        <v>2094</v>
      </c>
      <c r="G841" s="37" t="s">
        <v>2095</v>
      </c>
      <c r="H841" s="37">
        <v>60</v>
      </c>
      <c r="I841" s="37">
        <v>0</v>
      </c>
      <c r="J841" s="38" t="s">
        <v>2096</v>
      </c>
      <c r="K841" s="38" t="s">
        <v>25</v>
      </c>
      <c r="L841" s="39" t="s">
        <v>26</v>
      </c>
      <c r="M841" s="39" t="s">
        <v>26</v>
      </c>
      <c r="N841" s="44">
        <v>40.7341272983615</v>
      </c>
      <c r="O841" s="44">
        <v>-75.218479749872799</v>
      </c>
      <c r="P841" s="41">
        <v>886</v>
      </c>
      <c r="Q841" s="42">
        <v>44224</v>
      </c>
      <c r="R841" s="41" t="s">
        <v>27</v>
      </c>
      <c r="S841" s="41" t="s">
        <v>517</v>
      </c>
      <c r="T841" s="24">
        <f t="shared" si="24"/>
        <v>955.99399999999991</v>
      </c>
    </row>
    <row r="842" spans="1:20" x14ac:dyDescent="0.25">
      <c r="A842" s="36">
        <v>808</v>
      </c>
      <c r="B842" s="36" t="s">
        <v>1524</v>
      </c>
      <c r="C842" s="36">
        <v>5</v>
      </c>
      <c r="D842" s="36" t="s">
        <v>2068</v>
      </c>
      <c r="E842" s="36" t="s">
        <v>2079</v>
      </c>
      <c r="F842" s="37" t="s">
        <v>2097</v>
      </c>
      <c r="G842" s="37" t="s">
        <v>2098</v>
      </c>
      <c r="H842" s="43">
        <v>60</v>
      </c>
      <c r="I842" s="43">
        <v>809</v>
      </c>
      <c r="J842" s="38" t="s">
        <v>2099</v>
      </c>
      <c r="K842" s="38" t="s">
        <v>25</v>
      </c>
      <c r="L842" s="38" t="s">
        <v>26</v>
      </c>
      <c r="M842" s="38" t="s">
        <v>26</v>
      </c>
      <c r="N842" s="40">
        <v>40.640234882559199</v>
      </c>
      <c r="O842" s="40">
        <v>-75.375732763243903</v>
      </c>
      <c r="P842" s="41">
        <v>8432</v>
      </c>
      <c r="Q842" s="42">
        <v>44224</v>
      </c>
      <c r="R842" s="41" t="s">
        <v>27</v>
      </c>
      <c r="S842" s="41" t="s">
        <v>38</v>
      </c>
      <c r="T842" s="24">
        <f t="shared" si="24"/>
        <v>9098.1279999999988</v>
      </c>
    </row>
    <row r="843" spans="1:20" x14ac:dyDescent="0.25">
      <c r="A843" s="9">
        <v>809</v>
      </c>
      <c r="B843" s="9" t="s">
        <v>1524</v>
      </c>
      <c r="C843" s="9">
        <v>5</v>
      </c>
      <c r="D843" s="9" t="s">
        <v>2068</v>
      </c>
      <c r="E843" s="9" t="s">
        <v>2073</v>
      </c>
      <c r="F843" s="37" t="s">
        <v>2100</v>
      </c>
      <c r="G843" s="37" t="s">
        <v>1238</v>
      </c>
      <c r="H843" s="37">
        <v>120</v>
      </c>
      <c r="I843" s="37">
        <v>1866</v>
      </c>
      <c r="J843" s="38" t="s">
        <v>2101</v>
      </c>
      <c r="K843" s="38" t="s">
        <v>25</v>
      </c>
      <c r="L843" s="39" t="s">
        <v>26</v>
      </c>
      <c r="M843" s="39" t="s">
        <v>26</v>
      </c>
      <c r="N843" s="44">
        <v>40.703942906889601</v>
      </c>
      <c r="O843" s="44">
        <v>-75.288603403321105</v>
      </c>
      <c r="P843" s="41">
        <v>5986</v>
      </c>
      <c r="Q843" s="42">
        <v>44224</v>
      </c>
      <c r="R843" s="41" t="s">
        <v>27</v>
      </c>
      <c r="S843" s="41" t="s">
        <v>34</v>
      </c>
      <c r="T843" s="24">
        <f t="shared" si="24"/>
        <v>6458.8939999999993</v>
      </c>
    </row>
    <row r="844" spans="1:20" x14ac:dyDescent="0.25">
      <c r="A844" s="36">
        <v>810</v>
      </c>
      <c r="B844" s="36" t="s">
        <v>1524</v>
      </c>
      <c r="C844" s="36">
        <v>3</v>
      </c>
      <c r="D844" s="36" t="s">
        <v>2102</v>
      </c>
      <c r="E844" s="36" t="s">
        <v>2103</v>
      </c>
      <c r="F844" s="37" t="s">
        <v>22</v>
      </c>
      <c r="G844" s="37" t="s">
        <v>646</v>
      </c>
      <c r="H844" s="43">
        <v>40</v>
      </c>
      <c r="I844" s="43">
        <v>572</v>
      </c>
      <c r="J844" s="38" t="s">
        <v>2104</v>
      </c>
      <c r="K844" s="38" t="s">
        <v>25</v>
      </c>
      <c r="L844" s="38" t="s">
        <v>26</v>
      </c>
      <c r="M844" s="38" t="s">
        <v>26</v>
      </c>
      <c r="N844" s="40">
        <v>40.890076930279598</v>
      </c>
      <c r="O844" s="40">
        <v>-76.791610360623295</v>
      </c>
      <c r="P844" s="41">
        <f>891+311</f>
        <v>1202</v>
      </c>
      <c r="Q844" s="42">
        <v>44272</v>
      </c>
      <c r="R844" s="41" t="s">
        <v>1530</v>
      </c>
      <c r="S844" s="41" t="s">
        <v>517</v>
      </c>
      <c r="T844" s="24">
        <f t="shared" ref="T844:T870" si="25">P844*$X$5</f>
        <v>1211.616</v>
      </c>
    </row>
    <row r="845" spans="1:20" x14ac:dyDescent="0.25">
      <c r="A845" s="9">
        <v>811</v>
      </c>
      <c r="B845" s="9" t="s">
        <v>1524</v>
      </c>
      <c r="C845" s="9">
        <v>3</v>
      </c>
      <c r="D845" s="9" t="s">
        <v>2102</v>
      </c>
      <c r="E845" s="9" t="s">
        <v>2105</v>
      </c>
      <c r="F845" s="37" t="s">
        <v>2106</v>
      </c>
      <c r="G845" s="37" t="s">
        <v>646</v>
      </c>
      <c r="H845" s="43">
        <v>70</v>
      </c>
      <c r="I845" s="43">
        <v>1160</v>
      </c>
      <c r="J845" s="38" t="s">
        <v>2107</v>
      </c>
      <c r="K845" s="38" t="s">
        <v>25</v>
      </c>
      <c r="L845" s="38" t="s">
        <v>26</v>
      </c>
      <c r="M845" s="38" t="s">
        <v>26</v>
      </c>
      <c r="N845" s="44">
        <v>40.906044946522698</v>
      </c>
      <c r="O845" s="44">
        <v>-76.772356086048006</v>
      </c>
      <c r="P845" s="41">
        <f>51+25</f>
        <v>76</v>
      </c>
      <c r="Q845" s="42">
        <v>44272</v>
      </c>
      <c r="R845" s="41" t="s">
        <v>1530</v>
      </c>
      <c r="S845" s="41" t="s">
        <v>517</v>
      </c>
      <c r="T845" s="24">
        <f t="shared" si="25"/>
        <v>76.608000000000004</v>
      </c>
    </row>
    <row r="846" spans="1:20" x14ac:dyDescent="0.25">
      <c r="A846" s="36">
        <v>812</v>
      </c>
      <c r="B846" s="36" t="s">
        <v>1524</v>
      </c>
      <c r="C846" s="36">
        <v>3</v>
      </c>
      <c r="D846" s="36" t="s">
        <v>2102</v>
      </c>
      <c r="E846" s="36" t="s">
        <v>2108</v>
      </c>
      <c r="F846" s="37" t="s">
        <v>77</v>
      </c>
      <c r="G846" s="37" t="s">
        <v>572</v>
      </c>
      <c r="H846" s="43">
        <v>180</v>
      </c>
      <c r="I846" s="43">
        <v>2149</v>
      </c>
      <c r="J846" s="38" t="s">
        <v>2109</v>
      </c>
      <c r="K846" s="38" t="s">
        <v>25</v>
      </c>
      <c r="L846" s="38" t="s">
        <v>26</v>
      </c>
      <c r="M846" s="38" t="s">
        <v>26</v>
      </c>
      <c r="N846" s="40">
        <v>41.0843511930345</v>
      </c>
      <c r="O846" s="40">
        <v>-76.863472033273794</v>
      </c>
      <c r="P846" s="41">
        <f>555+672</f>
        <v>1227</v>
      </c>
      <c r="Q846" s="42">
        <v>44252</v>
      </c>
      <c r="R846" s="41" t="s">
        <v>1530</v>
      </c>
      <c r="S846" s="41" t="s">
        <v>38</v>
      </c>
      <c r="T846" s="24">
        <f t="shared" si="25"/>
        <v>1236.816</v>
      </c>
    </row>
    <row r="847" spans="1:20" x14ac:dyDescent="0.25">
      <c r="A847" s="9">
        <v>813</v>
      </c>
      <c r="B847" s="9" t="s">
        <v>1524</v>
      </c>
      <c r="C847" s="9">
        <v>3</v>
      </c>
      <c r="D847" s="9" t="s">
        <v>2102</v>
      </c>
      <c r="E847" s="9" t="s">
        <v>431</v>
      </c>
      <c r="F847" s="37" t="s">
        <v>574</v>
      </c>
      <c r="G847" s="37" t="s">
        <v>575</v>
      </c>
      <c r="H847" s="37">
        <v>70</v>
      </c>
      <c r="I847" s="37">
        <v>2001</v>
      </c>
      <c r="J847" s="38" t="s">
        <v>2110</v>
      </c>
      <c r="K847" s="38" t="s">
        <v>25</v>
      </c>
      <c r="L847" s="38" t="s">
        <v>26</v>
      </c>
      <c r="M847" s="39" t="s">
        <v>26</v>
      </c>
      <c r="N847" s="44">
        <v>41.133104047501099</v>
      </c>
      <c r="O847" s="44">
        <v>-76.845806580407995</v>
      </c>
      <c r="P847" s="41">
        <f>10+10</f>
        <v>20</v>
      </c>
      <c r="Q847" s="42">
        <v>44252</v>
      </c>
      <c r="R847" s="41" t="s">
        <v>1530</v>
      </c>
      <c r="S847" s="41" t="s">
        <v>28</v>
      </c>
      <c r="T847" s="24">
        <f t="shared" si="25"/>
        <v>20.16</v>
      </c>
    </row>
    <row r="848" spans="1:20" x14ac:dyDescent="0.25">
      <c r="A848" s="36">
        <v>814</v>
      </c>
      <c r="B848" s="36" t="s">
        <v>1524</v>
      </c>
      <c r="C848" s="36">
        <v>3</v>
      </c>
      <c r="D848" s="9" t="s">
        <v>2102</v>
      </c>
      <c r="E848" s="36" t="s">
        <v>2111</v>
      </c>
      <c r="F848" s="37" t="s">
        <v>574</v>
      </c>
      <c r="G848" s="37" t="s">
        <v>575</v>
      </c>
      <c r="H848" s="37">
        <v>170</v>
      </c>
      <c r="I848" s="37">
        <v>0</v>
      </c>
      <c r="J848" s="38" t="s">
        <v>2112</v>
      </c>
      <c r="K848" s="38" t="s">
        <v>25</v>
      </c>
      <c r="L848" s="38" t="s">
        <v>26</v>
      </c>
      <c r="M848" s="39" t="s">
        <v>26</v>
      </c>
      <c r="N848" s="40">
        <v>41.112609970447203</v>
      </c>
      <c r="O848" s="40">
        <v>-76.784504325243304</v>
      </c>
      <c r="P848" s="41">
        <f>445+501</f>
        <v>946</v>
      </c>
      <c r="Q848" s="42">
        <v>44252</v>
      </c>
      <c r="R848" s="41" t="s">
        <v>1530</v>
      </c>
      <c r="S848" s="41" t="s">
        <v>28</v>
      </c>
      <c r="T848" s="24">
        <f t="shared" si="25"/>
        <v>953.56799999999998</v>
      </c>
    </row>
    <row r="849" spans="1:20" x14ac:dyDescent="0.25">
      <c r="A849" s="9">
        <v>815</v>
      </c>
      <c r="B849" s="9" t="s">
        <v>1524</v>
      </c>
      <c r="C849" s="9">
        <v>3</v>
      </c>
      <c r="D849" s="9" t="s">
        <v>2102</v>
      </c>
      <c r="E849" s="9" t="s">
        <v>2113</v>
      </c>
      <c r="F849" s="37" t="s">
        <v>233</v>
      </c>
      <c r="G849" s="37" t="s">
        <v>575</v>
      </c>
      <c r="H849" s="37">
        <v>340</v>
      </c>
      <c r="I849" s="37">
        <v>0</v>
      </c>
      <c r="J849" s="38" t="s">
        <v>2114</v>
      </c>
      <c r="K849" s="38" t="s">
        <v>25</v>
      </c>
      <c r="L849" s="38" t="s">
        <v>26</v>
      </c>
      <c r="M849" s="39" t="s">
        <v>26</v>
      </c>
      <c r="N849" s="44">
        <v>40.875831270299301</v>
      </c>
      <c r="O849" s="44">
        <v>-76.555121403007206</v>
      </c>
      <c r="P849" s="41">
        <v>170</v>
      </c>
      <c r="Q849" s="42">
        <v>44253</v>
      </c>
      <c r="R849" s="41" t="s">
        <v>27</v>
      </c>
      <c r="S849" s="41" t="s">
        <v>28</v>
      </c>
      <c r="T849" s="24">
        <f t="shared" si="25"/>
        <v>171.36</v>
      </c>
    </row>
    <row r="850" spans="1:20" x14ac:dyDescent="0.25">
      <c r="A850" s="36">
        <v>816</v>
      </c>
      <c r="B850" s="36" t="s">
        <v>1524</v>
      </c>
      <c r="C850" s="36">
        <v>3</v>
      </c>
      <c r="D850" s="36" t="s">
        <v>2102</v>
      </c>
      <c r="E850" s="36" t="s">
        <v>2113</v>
      </c>
      <c r="F850" s="37" t="s">
        <v>233</v>
      </c>
      <c r="G850" s="37" t="s">
        <v>575</v>
      </c>
      <c r="H850" s="37">
        <v>360</v>
      </c>
      <c r="I850" s="37">
        <v>2515</v>
      </c>
      <c r="J850" s="38" t="s">
        <v>2115</v>
      </c>
      <c r="K850" s="38" t="s">
        <v>25</v>
      </c>
      <c r="L850" s="38" t="s">
        <v>26</v>
      </c>
      <c r="M850" s="39" t="s">
        <v>26</v>
      </c>
      <c r="N850" s="40">
        <v>40.8560403162097</v>
      </c>
      <c r="O850" s="40">
        <v>-76.543863110014101</v>
      </c>
      <c r="P850" s="41">
        <v>580</v>
      </c>
      <c r="Q850" s="42">
        <v>44253</v>
      </c>
      <c r="R850" s="41" t="s">
        <v>27</v>
      </c>
      <c r="S850" s="41" t="s">
        <v>28</v>
      </c>
      <c r="T850" s="24">
        <f t="shared" si="25"/>
        <v>584.64</v>
      </c>
    </row>
    <row r="851" spans="1:20" x14ac:dyDescent="0.25">
      <c r="A851" s="9">
        <v>817</v>
      </c>
      <c r="B851" s="9" t="s">
        <v>1524</v>
      </c>
      <c r="C851" s="9">
        <v>3</v>
      </c>
      <c r="D851" s="9" t="s">
        <v>2102</v>
      </c>
      <c r="E851" s="9" t="s">
        <v>2113</v>
      </c>
      <c r="F851" s="37" t="s">
        <v>574</v>
      </c>
      <c r="G851" s="37" t="s">
        <v>575</v>
      </c>
      <c r="H851" s="37">
        <v>380</v>
      </c>
      <c r="I851" s="37">
        <v>1899</v>
      </c>
      <c r="J851" s="38" t="s">
        <v>2116</v>
      </c>
      <c r="K851" s="38" t="s">
        <v>25</v>
      </c>
      <c r="L851" s="38" t="s">
        <v>26</v>
      </c>
      <c r="M851" s="39" t="s">
        <v>26</v>
      </c>
      <c r="N851" s="44">
        <v>40.849106922611497</v>
      </c>
      <c r="O851" s="44">
        <v>-76.529668484733406</v>
      </c>
      <c r="P851" s="41">
        <v>90</v>
      </c>
      <c r="Q851" s="42">
        <v>44253</v>
      </c>
      <c r="R851" s="41" t="s">
        <v>27</v>
      </c>
      <c r="S851" s="41" t="s">
        <v>28</v>
      </c>
      <c r="T851" s="24">
        <f t="shared" si="25"/>
        <v>90.72</v>
      </c>
    </row>
    <row r="852" spans="1:20" x14ac:dyDescent="0.25">
      <c r="A852" s="36">
        <v>818</v>
      </c>
      <c r="B852" s="36" t="s">
        <v>1524</v>
      </c>
      <c r="C852" s="36">
        <v>3</v>
      </c>
      <c r="D852" s="36" t="s">
        <v>2102</v>
      </c>
      <c r="E852" s="36" t="s">
        <v>2117</v>
      </c>
      <c r="F852" s="37" t="s">
        <v>2118</v>
      </c>
      <c r="G852" s="37" t="s">
        <v>1533</v>
      </c>
      <c r="H852" s="43">
        <v>8</v>
      </c>
      <c r="I852" s="43">
        <v>1647</v>
      </c>
      <c r="J852" s="38" t="s">
        <v>2119</v>
      </c>
      <c r="K852" s="38" t="s">
        <v>25</v>
      </c>
      <c r="L852" s="38" t="s">
        <v>26</v>
      </c>
      <c r="M852" s="38" t="s">
        <v>26</v>
      </c>
      <c r="N852" s="40">
        <v>40.7985968069096</v>
      </c>
      <c r="O852" s="40">
        <v>-76.416397964153106</v>
      </c>
      <c r="P852" s="41">
        <f>231+495</f>
        <v>726</v>
      </c>
      <c r="Q852" s="42">
        <v>44256</v>
      </c>
      <c r="R852" s="41" t="s">
        <v>1530</v>
      </c>
      <c r="S852" s="41" t="s">
        <v>517</v>
      </c>
      <c r="T852" s="24">
        <f t="shared" si="25"/>
        <v>731.80799999999999</v>
      </c>
    </row>
    <row r="853" spans="1:20" x14ac:dyDescent="0.25">
      <c r="A853" s="9">
        <v>819</v>
      </c>
      <c r="B853" s="9" t="s">
        <v>1524</v>
      </c>
      <c r="C853" s="9">
        <v>3</v>
      </c>
      <c r="D853" s="9" t="s">
        <v>2102</v>
      </c>
      <c r="E853" s="9" t="s">
        <v>2120</v>
      </c>
      <c r="F853" s="37" t="s">
        <v>1538</v>
      </c>
      <c r="G853" s="37" t="s">
        <v>1533</v>
      </c>
      <c r="H853" s="43">
        <v>94</v>
      </c>
      <c r="I853" s="43">
        <v>1231</v>
      </c>
      <c r="J853" s="38" t="s">
        <v>2121</v>
      </c>
      <c r="K853" s="38" t="s">
        <v>25</v>
      </c>
      <c r="L853" s="38" t="s">
        <v>26</v>
      </c>
      <c r="M853" s="38" t="s">
        <v>26</v>
      </c>
      <c r="N853" s="44">
        <v>40.788818215737997</v>
      </c>
      <c r="O853" s="44">
        <v>-76.507806693151906</v>
      </c>
      <c r="P853" s="41">
        <f>3308+3304</f>
        <v>6612</v>
      </c>
      <c r="Q853" s="42">
        <v>44256</v>
      </c>
      <c r="R853" s="41" t="s">
        <v>1530</v>
      </c>
      <c r="S853" s="41" t="s">
        <v>517</v>
      </c>
      <c r="T853" s="24">
        <f t="shared" si="25"/>
        <v>6664.8959999999997</v>
      </c>
    </row>
    <row r="854" spans="1:20" x14ac:dyDescent="0.25">
      <c r="A854" s="36">
        <v>820</v>
      </c>
      <c r="B854" s="36" t="s">
        <v>1524</v>
      </c>
      <c r="C854" s="36">
        <v>3</v>
      </c>
      <c r="D854" s="36" t="s">
        <v>2102</v>
      </c>
      <c r="E854" s="36" t="s">
        <v>2122</v>
      </c>
      <c r="F854" s="37" t="s">
        <v>2123</v>
      </c>
      <c r="G854" s="37" t="s">
        <v>1533</v>
      </c>
      <c r="H854" s="43">
        <v>150</v>
      </c>
      <c r="I854" s="43">
        <v>483</v>
      </c>
      <c r="J854" s="38" t="s">
        <v>2124</v>
      </c>
      <c r="K854" s="38" t="s">
        <v>25</v>
      </c>
      <c r="L854" s="38" t="s">
        <v>26</v>
      </c>
      <c r="M854" s="38" t="s">
        <v>26</v>
      </c>
      <c r="N854" s="40">
        <v>40.793169741795197</v>
      </c>
      <c r="O854" s="40">
        <v>-76.552726339985099</v>
      </c>
      <c r="P854" s="41">
        <f>218+116</f>
        <v>334</v>
      </c>
      <c r="Q854" s="42">
        <v>44256</v>
      </c>
      <c r="R854" s="41" t="s">
        <v>1530</v>
      </c>
      <c r="S854" s="41" t="s">
        <v>517</v>
      </c>
      <c r="T854" s="24">
        <f t="shared" si="25"/>
        <v>336.67200000000003</v>
      </c>
    </row>
    <row r="855" spans="1:20" x14ac:dyDescent="0.25">
      <c r="A855" s="9">
        <v>821</v>
      </c>
      <c r="B855" s="9" t="s">
        <v>1524</v>
      </c>
      <c r="C855" s="9">
        <v>3</v>
      </c>
      <c r="D855" s="9" t="s">
        <v>2102</v>
      </c>
      <c r="E855" s="9" t="s">
        <v>2125</v>
      </c>
      <c r="F855" s="37" t="s">
        <v>1538</v>
      </c>
      <c r="G855" s="37" t="s">
        <v>1533</v>
      </c>
      <c r="H855" s="37">
        <v>280</v>
      </c>
      <c r="I855" s="37">
        <v>830</v>
      </c>
      <c r="J855" s="38" t="s">
        <v>2126</v>
      </c>
      <c r="K855" s="38" t="s">
        <v>25</v>
      </c>
      <c r="L855" s="38" t="s">
        <v>26</v>
      </c>
      <c r="M855" s="39" t="s">
        <v>26</v>
      </c>
      <c r="N855" s="44">
        <v>40.8436403139441</v>
      </c>
      <c r="O855" s="44">
        <v>-76.585632615880201</v>
      </c>
      <c r="P855" s="41">
        <f>157+138</f>
        <v>295</v>
      </c>
      <c r="Q855" s="42">
        <v>44253</v>
      </c>
      <c r="R855" s="41" t="s">
        <v>1530</v>
      </c>
      <c r="S855" s="41" t="s">
        <v>38</v>
      </c>
      <c r="T855" s="24">
        <f t="shared" si="25"/>
        <v>297.36</v>
      </c>
    </row>
    <row r="856" spans="1:20" x14ac:dyDescent="0.25">
      <c r="A856" s="36">
        <v>822</v>
      </c>
      <c r="B856" s="36" t="s">
        <v>1524</v>
      </c>
      <c r="C856" s="36">
        <v>3</v>
      </c>
      <c r="D856" s="36" t="s">
        <v>2102</v>
      </c>
      <c r="E856" s="36" t="s">
        <v>2125</v>
      </c>
      <c r="F856" s="37" t="s">
        <v>1538</v>
      </c>
      <c r="G856" s="37" t="s">
        <v>1533</v>
      </c>
      <c r="H856" s="37">
        <v>290</v>
      </c>
      <c r="I856" s="37">
        <v>1365</v>
      </c>
      <c r="J856" s="38" t="s">
        <v>2127</v>
      </c>
      <c r="K856" s="38" t="s">
        <v>25</v>
      </c>
      <c r="L856" s="38" t="s">
        <v>26</v>
      </c>
      <c r="M856" s="39" t="s">
        <v>26</v>
      </c>
      <c r="N856" s="40">
        <v>40.848290090485698</v>
      </c>
      <c r="O856" s="40">
        <v>-76.591415533406007</v>
      </c>
      <c r="P856" s="41">
        <f>311+341</f>
        <v>652</v>
      </c>
      <c r="Q856" s="42">
        <v>44253</v>
      </c>
      <c r="R856" s="41" t="s">
        <v>1530</v>
      </c>
      <c r="S856" s="41" t="s">
        <v>517</v>
      </c>
      <c r="T856" s="24">
        <f t="shared" si="25"/>
        <v>657.21600000000001</v>
      </c>
    </row>
    <row r="857" spans="1:20" x14ac:dyDescent="0.25">
      <c r="A857" s="9">
        <v>823</v>
      </c>
      <c r="B857" s="9" t="s">
        <v>1524</v>
      </c>
      <c r="C857" s="9">
        <v>3</v>
      </c>
      <c r="D857" s="9" t="s">
        <v>2102</v>
      </c>
      <c r="E857" s="9" t="s">
        <v>2128</v>
      </c>
      <c r="F857" s="37" t="s">
        <v>1538</v>
      </c>
      <c r="G857" s="37" t="s">
        <v>1533</v>
      </c>
      <c r="H857" s="37">
        <v>420</v>
      </c>
      <c r="I857" s="37">
        <v>711</v>
      </c>
      <c r="J857" s="38" t="s">
        <v>2129</v>
      </c>
      <c r="K857" s="38" t="s">
        <v>25</v>
      </c>
      <c r="L857" s="38" t="s">
        <v>26</v>
      </c>
      <c r="M857" s="39" t="s">
        <v>26</v>
      </c>
      <c r="N857" s="44">
        <v>40.859839577234901</v>
      </c>
      <c r="O857" s="44">
        <v>-76.698838018526303</v>
      </c>
      <c r="P857" s="41">
        <f>274</f>
        <v>274</v>
      </c>
      <c r="Q857" s="42">
        <v>44272</v>
      </c>
      <c r="R857" s="41" t="s">
        <v>27</v>
      </c>
      <c r="S857" s="41" t="s">
        <v>38</v>
      </c>
      <c r="T857" s="24">
        <f t="shared" si="25"/>
        <v>276.19200000000001</v>
      </c>
    </row>
    <row r="858" spans="1:20" x14ac:dyDescent="0.25">
      <c r="A858" s="36">
        <v>824</v>
      </c>
      <c r="B858" s="36" t="s">
        <v>1524</v>
      </c>
      <c r="C858" s="36">
        <v>3</v>
      </c>
      <c r="D858" s="36" t="s">
        <v>2102</v>
      </c>
      <c r="E858" s="36" t="s">
        <v>2128</v>
      </c>
      <c r="F858" s="37" t="s">
        <v>61</v>
      </c>
      <c r="G858" s="37" t="s">
        <v>1533</v>
      </c>
      <c r="H858" s="47" t="s">
        <v>2130</v>
      </c>
      <c r="I858" s="43">
        <v>1520</v>
      </c>
      <c r="J858" s="38" t="s">
        <v>2131</v>
      </c>
      <c r="K858" s="38" t="s">
        <v>25</v>
      </c>
      <c r="L858" s="38" t="s">
        <v>26</v>
      </c>
      <c r="M858" s="38" t="s">
        <v>26</v>
      </c>
      <c r="N858" s="40">
        <v>40.858817116367902</v>
      </c>
      <c r="O858" s="40">
        <v>-76.7727368864347</v>
      </c>
      <c r="P858" s="41">
        <f>243+217</f>
        <v>460</v>
      </c>
      <c r="Q858" s="42">
        <v>44272</v>
      </c>
      <c r="R858" s="41" t="s">
        <v>1530</v>
      </c>
      <c r="S858" s="41" t="s">
        <v>517</v>
      </c>
      <c r="T858" s="24">
        <f t="shared" si="25"/>
        <v>463.68</v>
      </c>
    </row>
    <row r="859" spans="1:20" x14ac:dyDescent="0.25">
      <c r="A859" s="9">
        <v>825</v>
      </c>
      <c r="B859" s="9" t="s">
        <v>1524</v>
      </c>
      <c r="C859" s="9">
        <v>3</v>
      </c>
      <c r="D859" s="9" t="s">
        <v>2102</v>
      </c>
      <c r="E859" s="9" t="s">
        <v>2132</v>
      </c>
      <c r="F859" s="37" t="s">
        <v>233</v>
      </c>
      <c r="G859" s="37" t="s">
        <v>1533</v>
      </c>
      <c r="H859" s="43">
        <v>540</v>
      </c>
      <c r="I859" s="43">
        <v>667</v>
      </c>
      <c r="J859" s="38" t="s">
        <v>2133</v>
      </c>
      <c r="K859" s="38" t="s">
        <v>25</v>
      </c>
      <c r="L859" s="38" t="s">
        <v>26</v>
      </c>
      <c r="M859" s="38" t="s">
        <v>26</v>
      </c>
      <c r="N859" s="44">
        <v>40.860145800104803</v>
      </c>
      <c r="O859" s="44">
        <v>-76.787776744869603</v>
      </c>
      <c r="P859" s="41">
        <f>260</f>
        <v>260</v>
      </c>
      <c r="Q859" s="42">
        <v>44272</v>
      </c>
      <c r="R859" s="41" t="s">
        <v>1530</v>
      </c>
      <c r="S859" s="41" t="s">
        <v>517</v>
      </c>
      <c r="T859" s="24">
        <f t="shared" si="25"/>
        <v>262.08</v>
      </c>
    </row>
    <row r="860" spans="1:20" x14ac:dyDescent="0.25">
      <c r="A860" s="36">
        <v>826</v>
      </c>
      <c r="B860" s="36" t="s">
        <v>1524</v>
      </c>
      <c r="C860" s="36">
        <v>3</v>
      </c>
      <c r="D860" s="36" t="s">
        <v>2102</v>
      </c>
      <c r="E860" s="36" t="s">
        <v>2132</v>
      </c>
      <c r="F860" s="37" t="s">
        <v>320</v>
      </c>
      <c r="G860" s="37" t="s">
        <v>1774</v>
      </c>
      <c r="H860" s="43">
        <v>540</v>
      </c>
      <c r="I860" s="43">
        <v>1406</v>
      </c>
      <c r="J860" s="38" t="s">
        <v>1737</v>
      </c>
      <c r="K860" s="38" t="s">
        <v>25</v>
      </c>
      <c r="L860" s="38" t="s">
        <v>26</v>
      </c>
      <c r="M860" s="38" t="s">
        <v>26</v>
      </c>
      <c r="N860" s="40">
        <v>40.857388194327498</v>
      </c>
      <c r="O860" s="40">
        <v>-76.799615059639294</v>
      </c>
      <c r="P860" s="41">
        <f>691</f>
        <v>691</v>
      </c>
      <c r="Q860" s="42">
        <v>44272</v>
      </c>
      <c r="R860" s="41" t="s">
        <v>27</v>
      </c>
      <c r="S860" s="41" t="s">
        <v>38</v>
      </c>
      <c r="T860" s="24">
        <f t="shared" si="25"/>
        <v>696.52800000000002</v>
      </c>
    </row>
    <row r="861" spans="1:20" x14ac:dyDescent="0.25">
      <c r="A861" s="9">
        <v>827</v>
      </c>
      <c r="B861" s="9" t="s">
        <v>1524</v>
      </c>
      <c r="C861" s="9">
        <v>3</v>
      </c>
      <c r="D861" s="9" t="s">
        <v>2102</v>
      </c>
      <c r="E861" s="9" t="s">
        <v>2105</v>
      </c>
      <c r="F861" s="37" t="s">
        <v>2134</v>
      </c>
      <c r="G861" s="37" t="s">
        <v>1774</v>
      </c>
      <c r="H861" s="37">
        <v>670</v>
      </c>
      <c r="I861" s="37">
        <v>2052</v>
      </c>
      <c r="J861" s="38" t="s">
        <v>2135</v>
      </c>
      <c r="K861" s="38" t="s">
        <v>25</v>
      </c>
      <c r="L861" s="39" t="s">
        <v>26</v>
      </c>
      <c r="M861" s="39" t="s">
        <v>26</v>
      </c>
      <c r="N861" s="44">
        <v>40.927960394181703</v>
      </c>
      <c r="O861" s="44">
        <v>-76.846823003115503</v>
      </c>
      <c r="P861" s="41">
        <f>187+189</f>
        <v>376</v>
      </c>
      <c r="Q861" s="42">
        <v>44272</v>
      </c>
      <c r="R861" s="41" t="s">
        <v>1530</v>
      </c>
      <c r="S861" s="41" t="s">
        <v>517</v>
      </c>
      <c r="T861" s="24">
        <f t="shared" si="25"/>
        <v>379.00799999999998</v>
      </c>
    </row>
    <row r="862" spans="1:20" x14ac:dyDescent="0.25">
      <c r="A862" s="36">
        <v>828</v>
      </c>
      <c r="B862" s="36" t="s">
        <v>1524</v>
      </c>
      <c r="C862" s="36">
        <v>3</v>
      </c>
      <c r="D862" s="36" t="s">
        <v>2102</v>
      </c>
      <c r="E862" s="36" t="s">
        <v>2136</v>
      </c>
      <c r="F862" s="37" t="s">
        <v>2137</v>
      </c>
      <c r="G862" s="37" t="s">
        <v>2138</v>
      </c>
      <c r="H862" s="37">
        <v>120</v>
      </c>
      <c r="I862" s="37">
        <v>84</v>
      </c>
      <c r="J862" s="38" t="s">
        <v>132</v>
      </c>
      <c r="K862" s="38" t="s">
        <v>25</v>
      </c>
      <c r="L862" s="39" t="s">
        <v>26</v>
      </c>
      <c r="M862" s="39" t="s">
        <v>26</v>
      </c>
      <c r="N862" s="40">
        <v>41.0202222267759</v>
      </c>
      <c r="O862" s="40">
        <v>-76.795232987107497</v>
      </c>
      <c r="P862" s="41">
        <f>833+812</f>
        <v>1645</v>
      </c>
      <c r="Q862" s="42">
        <v>44252</v>
      </c>
      <c r="R862" s="41" t="s">
        <v>1530</v>
      </c>
      <c r="S862" s="41" t="s">
        <v>38</v>
      </c>
      <c r="T862" s="24">
        <f t="shared" si="25"/>
        <v>1658.16</v>
      </c>
    </row>
    <row r="863" spans="1:20" x14ac:dyDescent="0.25">
      <c r="A863" s="9">
        <v>829</v>
      </c>
      <c r="B863" s="9" t="s">
        <v>1524</v>
      </c>
      <c r="C863" s="9">
        <v>3</v>
      </c>
      <c r="D863" s="9" t="s">
        <v>2102</v>
      </c>
      <c r="E863" s="9" t="s">
        <v>2139</v>
      </c>
      <c r="F863" s="37" t="s">
        <v>2140</v>
      </c>
      <c r="G863" s="37" t="s">
        <v>598</v>
      </c>
      <c r="H863" s="43">
        <v>90</v>
      </c>
      <c r="I863" s="43">
        <v>0</v>
      </c>
      <c r="J863" s="38" t="s">
        <v>2141</v>
      </c>
      <c r="K863" s="38" t="s">
        <v>25</v>
      </c>
      <c r="L863" s="38" t="s">
        <v>26</v>
      </c>
      <c r="M863" s="38" t="s">
        <v>26</v>
      </c>
      <c r="N863" s="44">
        <v>40.968664122448999</v>
      </c>
      <c r="O863" s="44">
        <v>-76.876777655158904</v>
      </c>
      <c r="P863" s="41">
        <f>161+118</f>
        <v>279</v>
      </c>
      <c r="Q863" s="42">
        <v>44257</v>
      </c>
      <c r="R863" s="41" t="s">
        <v>1530</v>
      </c>
      <c r="S863" s="41" t="s">
        <v>38</v>
      </c>
      <c r="T863" s="24">
        <f t="shared" si="25"/>
        <v>281.23200000000003</v>
      </c>
    </row>
    <row r="864" spans="1:20" x14ac:dyDescent="0.25">
      <c r="A864" s="36">
        <v>830</v>
      </c>
      <c r="B864" s="36" t="s">
        <v>1524</v>
      </c>
      <c r="C864" s="36">
        <v>3</v>
      </c>
      <c r="D864" s="36" t="s">
        <v>2102</v>
      </c>
      <c r="E864" s="36" t="s">
        <v>2142</v>
      </c>
      <c r="F864" s="37" t="s">
        <v>2143</v>
      </c>
      <c r="G864" s="37" t="s">
        <v>598</v>
      </c>
      <c r="H864" s="43">
        <v>210</v>
      </c>
      <c r="I864" s="43">
        <v>0</v>
      </c>
      <c r="J864" s="38" t="s">
        <v>2144</v>
      </c>
      <c r="K864" s="38" t="s">
        <v>25</v>
      </c>
      <c r="L864" s="38" t="s">
        <v>26</v>
      </c>
      <c r="M864" s="38" t="s">
        <v>26</v>
      </c>
      <c r="N864" s="40">
        <v>41.023375731112203</v>
      </c>
      <c r="O864" s="40">
        <v>-76.8528802982716</v>
      </c>
      <c r="P864" s="41">
        <f>369+339</f>
        <v>708</v>
      </c>
      <c r="Q864" s="42">
        <v>44252</v>
      </c>
      <c r="R864" s="41" t="s">
        <v>1530</v>
      </c>
      <c r="S864" s="41" t="s">
        <v>38</v>
      </c>
      <c r="T864" s="24">
        <f t="shared" si="25"/>
        <v>713.66399999999999</v>
      </c>
    </row>
    <row r="865" spans="1:20" x14ac:dyDescent="0.25">
      <c r="A865" s="9">
        <v>831</v>
      </c>
      <c r="B865" s="9" t="s">
        <v>1524</v>
      </c>
      <c r="C865" s="9">
        <v>3</v>
      </c>
      <c r="D865" s="9" t="s">
        <v>2102</v>
      </c>
      <c r="E865" s="9" t="s">
        <v>2113</v>
      </c>
      <c r="F865" s="37" t="s">
        <v>2145</v>
      </c>
      <c r="G865" s="37" t="s">
        <v>1761</v>
      </c>
      <c r="H865" s="37">
        <v>40</v>
      </c>
      <c r="I865" s="37">
        <v>2401</v>
      </c>
      <c r="J865" s="38" t="s">
        <v>2146</v>
      </c>
      <c r="K865" s="38" t="s">
        <v>25</v>
      </c>
      <c r="L865" s="39" t="s">
        <v>26</v>
      </c>
      <c r="M865" s="39" t="s">
        <v>26</v>
      </c>
      <c r="N865" s="44">
        <v>40.857497427306903</v>
      </c>
      <c r="O865" s="44">
        <v>-76.557162233514902</v>
      </c>
      <c r="P865" s="41">
        <v>118</v>
      </c>
      <c r="Q865" s="42">
        <v>44253</v>
      </c>
      <c r="R865" s="41" t="s">
        <v>27</v>
      </c>
      <c r="S865" s="41" t="s">
        <v>38</v>
      </c>
      <c r="T865" s="24">
        <f t="shared" si="25"/>
        <v>118.944</v>
      </c>
    </row>
    <row r="866" spans="1:20" x14ac:dyDescent="0.25">
      <c r="A866" s="36">
        <v>832</v>
      </c>
      <c r="B866" s="36" t="s">
        <v>1524</v>
      </c>
      <c r="C866" s="36">
        <v>3</v>
      </c>
      <c r="D866" s="36" t="s">
        <v>2102</v>
      </c>
      <c r="E866" s="36" t="s">
        <v>2113</v>
      </c>
      <c r="F866" s="37" t="s">
        <v>2145</v>
      </c>
      <c r="G866" s="37" t="s">
        <v>1761</v>
      </c>
      <c r="H866" s="37">
        <v>60</v>
      </c>
      <c r="I866" s="37">
        <v>834</v>
      </c>
      <c r="J866" s="38" t="s">
        <v>59</v>
      </c>
      <c r="K866" s="38" t="s">
        <v>25</v>
      </c>
      <c r="L866" s="39" t="s">
        <v>26</v>
      </c>
      <c r="M866" s="39" t="s">
        <v>26</v>
      </c>
      <c r="N866" s="40">
        <v>40.863431215336199</v>
      </c>
      <c r="O866" s="40">
        <v>-76.547519936204296</v>
      </c>
      <c r="P866" s="41">
        <v>885</v>
      </c>
      <c r="Q866" s="42">
        <v>44253</v>
      </c>
      <c r="R866" s="41" t="s">
        <v>27</v>
      </c>
      <c r="S866" s="41" t="s">
        <v>517</v>
      </c>
      <c r="T866" s="24">
        <f t="shared" si="25"/>
        <v>892.08</v>
      </c>
    </row>
    <row r="867" spans="1:20" x14ac:dyDescent="0.25">
      <c r="A867" s="9">
        <v>833</v>
      </c>
      <c r="B867" s="9" t="s">
        <v>1524</v>
      </c>
      <c r="C867" s="9">
        <v>3</v>
      </c>
      <c r="D867" s="9" t="s">
        <v>2102</v>
      </c>
      <c r="E867" s="9" t="s">
        <v>2113</v>
      </c>
      <c r="F867" s="37" t="s">
        <v>2145</v>
      </c>
      <c r="G867" s="37" t="s">
        <v>1761</v>
      </c>
      <c r="H867" s="37">
        <v>100</v>
      </c>
      <c r="I867" s="37">
        <v>492</v>
      </c>
      <c r="J867" s="38" t="s">
        <v>2147</v>
      </c>
      <c r="K867" s="38" t="s">
        <v>25</v>
      </c>
      <c r="L867" s="39" t="s">
        <v>26</v>
      </c>
      <c r="M867" s="39" t="s">
        <v>26</v>
      </c>
      <c r="N867" s="44">
        <v>40.874665692128403</v>
      </c>
      <c r="O867" s="44">
        <v>-76.514228509960503</v>
      </c>
      <c r="P867" s="41">
        <v>138</v>
      </c>
      <c r="Q867" s="42">
        <v>44253</v>
      </c>
      <c r="R867" s="41" t="s">
        <v>27</v>
      </c>
      <c r="S867" s="41" t="s">
        <v>517</v>
      </c>
      <c r="T867" s="24">
        <f t="shared" si="25"/>
        <v>139.10400000000001</v>
      </c>
    </row>
    <row r="868" spans="1:20" x14ac:dyDescent="0.25">
      <c r="A868" s="36">
        <v>834</v>
      </c>
      <c r="B868" s="36" t="s">
        <v>1524</v>
      </c>
      <c r="C868" s="36">
        <v>3</v>
      </c>
      <c r="D868" s="36" t="s">
        <v>2102</v>
      </c>
      <c r="E868" s="36" t="s">
        <v>2120</v>
      </c>
      <c r="F868" s="37" t="s">
        <v>2148</v>
      </c>
      <c r="G868" s="37" t="s">
        <v>2149</v>
      </c>
      <c r="H868" s="37">
        <v>62</v>
      </c>
      <c r="I868" s="37">
        <v>676</v>
      </c>
      <c r="J868" s="38" t="s">
        <v>2150</v>
      </c>
      <c r="K868" s="38" t="s">
        <v>25</v>
      </c>
      <c r="L868" s="39" t="s">
        <v>26</v>
      </c>
      <c r="M868" s="39" t="s">
        <v>26</v>
      </c>
      <c r="N868" s="40">
        <v>40.772509913311097</v>
      </c>
      <c r="O868" s="40">
        <v>-76.496054305567</v>
      </c>
      <c r="P868" s="41">
        <f>72+73</f>
        <v>145</v>
      </c>
      <c r="Q868" s="42">
        <v>44256</v>
      </c>
      <c r="R868" s="41" t="s">
        <v>1530</v>
      </c>
      <c r="S868" s="41" t="s">
        <v>34</v>
      </c>
      <c r="T868" s="24">
        <f t="shared" si="25"/>
        <v>146.16</v>
      </c>
    </row>
    <row r="869" spans="1:20" x14ac:dyDescent="0.25">
      <c r="A869" s="9">
        <v>835</v>
      </c>
      <c r="B869" s="9" t="s">
        <v>1524</v>
      </c>
      <c r="C869" s="9">
        <v>3</v>
      </c>
      <c r="D869" s="9" t="s">
        <v>2102</v>
      </c>
      <c r="E869" s="9" t="s">
        <v>2151</v>
      </c>
      <c r="F869" s="37" t="s">
        <v>2152</v>
      </c>
      <c r="G869" s="37" t="s">
        <v>2153</v>
      </c>
      <c r="H869" s="43">
        <v>40</v>
      </c>
      <c r="I869" s="43">
        <v>0</v>
      </c>
      <c r="J869" s="38" t="s">
        <v>2154</v>
      </c>
      <c r="K869" s="38" t="s">
        <v>25</v>
      </c>
      <c r="L869" s="38" t="s">
        <v>26</v>
      </c>
      <c r="M869" s="38" t="s">
        <v>26</v>
      </c>
      <c r="N869" s="44">
        <v>40.789680000611</v>
      </c>
      <c r="O869" s="44">
        <v>-76.429716730379596</v>
      </c>
      <c r="P869" s="41">
        <f>4+6</f>
        <v>10</v>
      </c>
      <c r="Q869" s="42">
        <v>44256</v>
      </c>
      <c r="R869" s="41" t="s">
        <v>1530</v>
      </c>
      <c r="S869" s="41" t="s">
        <v>517</v>
      </c>
      <c r="T869" s="24">
        <f t="shared" si="25"/>
        <v>10.08</v>
      </c>
    </row>
    <row r="870" spans="1:20" x14ac:dyDescent="0.25">
      <c r="A870" s="36">
        <v>836</v>
      </c>
      <c r="B870" s="36" t="s">
        <v>1524</v>
      </c>
      <c r="C870" s="36">
        <v>3</v>
      </c>
      <c r="D870" s="36" t="s">
        <v>2102</v>
      </c>
      <c r="E870" s="36" t="s">
        <v>2132</v>
      </c>
      <c r="F870" s="37" t="s">
        <v>2155</v>
      </c>
      <c r="G870" s="37" t="s">
        <v>173</v>
      </c>
      <c r="H870" s="43">
        <v>10</v>
      </c>
      <c r="I870" s="43">
        <v>334</v>
      </c>
      <c r="J870" s="38" t="s">
        <v>2156</v>
      </c>
      <c r="K870" s="38" t="s">
        <v>25</v>
      </c>
      <c r="L870" s="38" t="s">
        <v>26</v>
      </c>
      <c r="M870" s="38" t="s">
        <v>26</v>
      </c>
      <c r="N870" s="40">
        <v>40.8598205921271</v>
      </c>
      <c r="O870" s="40">
        <v>-76.782897753252001</v>
      </c>
      <c r="P870" s="41">
        <f>95+33</f>
        <v>128</v>
      </c>
      <c r="Q870" s="42">
        <v>44272</v>
      </c>
      <c r="R870" s="41" t="s">
        <v>1530</v>
      </c>
      <c r="S870" s="41" t="s">
        <v>34</v>
      </c>
      <c r="T870" s="24">
        <f t="shared" si="25"/>
        <v>129.024</v>
      </c>
    </row>
    <row r="871" spans="1:20" x14ac:dyDescent="0.25">
      <c r="A871" s="9">
        <v>850</v>
      </c>
      <c r="B871" s="9" t="s">
        <v>1524</v>
      </c>
      <c r="C871" s="9">
        <v>6</v>
      </c>
      <c r="D871" s="9" t="s">
        <v>2157</v>
      </c>
      <c r="E871" s="9" t="s">
        <v>2158</v>
      </c>
      <c r="F871" s="37" t="s">
        <v>2159</v>
      </c>
      <c r="G871" s="37" t="s">
        <v>1807</v>
      </c>
      <c r="H871" s="43">
        <v>50</v>
      </c>
      <c r="I871" s="43">
        <v>2121</v>
      </c>
      <c r="J871" s="38" t="s">
        <v>2160</v>
      </c>
      <c r="K871" s="38" t="s">
        <v>25</v>
      </c>
      <c r="L871" s="39" t="s">
        <v>26</v>
      </c>
      <c r="M871" s="39" t="s">
        <v>26</v>
      </c>
      <c r="N871" s="44">
        <v>39.999102657317898</v>
      </c>
      <c r="O871" s="44">
        <v>-75.230867877931601</v>
      </c>
      <c r="P871" s="41">
        <f>3733+3162</f>
        <v>6895</v>
      </c>
      <c r="Q871" s="42">
        <v>44273</v>
      </c>
      <c r="R871" s="41" t="s">
        <v>1530</v>
      </c>
      <c r="S871" s="41" t="s">
        <v>28</v>
      </c>
      <c r="T871" s="24">
        <f t="shared" ref="T871:T889" si="26">P871*$X$8</f>
        <v>8453.27</v>
      </c>
    </row>
    <row r="872" spans="1:20" x14ac:dyDescent="0.25">
      <c r="A872" s="36">
        <v>851</v>
      </c>
      <c r="B872" s="36" t="s">
        <v>1524</v>
      </c>
      <c r="C872" s="36">
        <v>6</v>
      </c>
      <c r="D872" s="36" t="s">
        <v>2157</v>
      </c>
      <c r="E872" s="36" t="s">
        <v>2158</v>
      </c>
      <c r="F872" s="37" t="s">
        <v>958</v>
      </c>
      <c r="G872" s="37" t="s">
        <v>2161</v>
      </c>
      <c r="H872" s="43">
        <v>10</v>
      </c>
      <c r="I872" s="43">
        <v>2139</v>
      </c>
      <c r="J872" s="38" t="s">
        <v>2162</v>
      </c>
      <c r="K872" s="38" t="s">
        <v>25</v>
      </c>
      <c r="L872" s="39" t="s">
        <v>26</v>
      </c>
      <c r="M872" s="39" t="s">
        <v>26</v>
      </c>
      <c r="N872" s="40">
        <v>39.945918225117502</v>
      </c>
      <c r="O872" s="40">
        <v>-75.240044123617494</v>
      </c>
      <c r="P872" s="41">
        <f>5133</f>
        <v>5133</v>
      </c>
      <c r="Q872" s="42">
        <v>44270</v>
      </c>
      <c r="R872" s="41" t="s">
        <v>1530</v>
      </c>
      <c r="S872" s="41" t="s">
        <v>34</v>
      </c>
      <c r="T872" s="24">
        <f t="shared" si="26"/>
        <v>6293.058</v>
      </c>
    </row>
    <row r="873" spans="1:20" x14ac:dyDescent="0.25">
      <c r="A873" s="9">
        <v>852</v>
      </c>
      <c r="B873" s="9" t="s">
        <v>1524</v>
      </c>
      <c r="C873" s="9">
        <v>6</v>
      </c>
      <c r="D873" s="9" t="s">
        <v>2157</v>
      </c>
      <c r="E873" s="9" t="s">
        <v>2158</v>
      </c>
      <c r="F873" s="37" t="s">
        <v>2163</v>
      </c>
      <c r="G873" s="37" t="s">
        <v>2161</v>
      </c>
      <c r="H873" s="43">
        <v>240</v>
      </c>
      <c r="I873" s="43">
        <v>1374</v>
      </c>
      <c r="J873" s="38" t="s">
        <v>2164</v>
      </c>
      <c r="K873" s="38" t="s">
        <v>25</v>
      </c>
      <c r="L873" s="39" t="s">
        <v>26</v>
      </c>
      <c r="M873" s="39" t="s">
        <v>26</v>
      </c>
      <c r="N873" s="44">
        <v>40.036849723896403</v>
      </c>
      <c r="O873" s="44">
        <v>-75.040481279080595</v>
      </c>
      <c r="P873" s="41">
        <f>3804</f>
        <v>3804</v>
      </c>
      <c r="Q873" s="42">
        <v>44279</v>
      </c>
      <c r="R873" s="41" t="s">
        <v>1530</v>
      </c>
      <c r="S873" s="41" t="s">
        <v>517</v>
      </c>
      <c r="T873" s="24">
        <f t="shared" si="26"/>
        <v>4663.7039999999997</v>
      </c>
    </row>
    <row r="874" spans="1:20" x14ac:dyDescent="0.25">
      <c r="A874" s="36">
        <v>853</v>
      </c>
      <c r="B874" s="36" t="s">
        <v>1524</v>
      </c>
      <c r="C874" s="36">
        <v>6</v>
      </c>
      <c r="D874" s="36" t="s">
        <v>2157</v>
      </c>
      <c r="E874" s="36" t="s">
        <v>2158</v>
      </c>
      <c r="F874" s="37" t="s">
        <v>2165</v>
      </c>
      <c r="G874" s="37" t="s">
        <v>890</v>
      </c>
      <c r="H874" s="43">
        <v>50</v>
      </c>
      <c r="I874" s="43">
        <v>92</v>
      </c>
      <c r="J874" s="38" t="s">
        <v>2166</v>
      </c>
      <c r="K874" s="38" t="s">
        <v>25</v>
      </c>
      <c r="L874" s="39" t="s">
        <v>26</v>
      </c>
      <c r="M874" s="39" t="s">
        <v>26</v>
      </c>
      <c r="N874" s="40">
        <v>39.972667717198199</v>
      </c>
      <c r="O874" s="40">
        <v>-75.217450989491098</v>
      </c>
      <c r="P874" s="41">
        <f>8462</f>
        <v>8462</v>
      </c>
      <c r="Q874" s="42">
        <v>44273</v>
      </c>
      <c r="R874" s="41" t="s">
        <v>27</v>
      </c>
      <c r="S874" s="41" t="s">
        <v>28</v>
      </c>
      <c r="T874" s="24">
        <f t="shared" si="26"/>
        <v>10374.412</v>
      </c>
    </row>
    <row r="875" spans="1:20" x14ac:dyDescent="0.25">
      <c r="A875" s="9">
        <v>854</v>
      </c>
      <c r="B875" s="9" t="s">
        <v>1524</v>
      </c>
      <c r="C875" s="9">
        <v>6</v>
      </c>
      <c r="D875" s="9" t="s">
        <v>2157</v>
      </c>
      <c r="E875" s="9" t="s">
        <v>2158</v>
      </c>
      <c r="F875" s="37" t="s">
        <v>2167</v>
      </c>
      <c r="G875" s="37" t="s">
        <v>1542</v>
      </c>
      <c r="H875" s="43">
        <v>40</v>
      </c>
      <c r="I875" s="43">
        <v>0</v>
      </c>
      <c r="J875" s="38" t="s">
        <v>2168</v>
      </c>
      <c r="K875" s="38" t="s">
        <v>25</v>
      </c>
      <c r="L875" s="39" t="s">
        <v>26</v>
      </c>
      <c r="M875" s="39" t="s">
        <v>26</v>
      </c>
      <c r="N875" s="44">
        <v>40.050110265304298</v>
      </c>
      <c r="O875" s="44">
        <v>-75.064241123935403</v>
      </c>
      <c r="P875" s="41">
        <f>4820</f>
        <v>4820</v>
      </c>
      <c r="Q875" s="42">
        <v>44279</v>
      </c>
      <c r="R875" s="41" t="s">
        <v>27</v>
      </c>
      <c r="S875" s="41" t="s">
        <v>28</v>
      </c>
      <c r="T875" s="24">
        <f t="shared" si="26"/>
        <v>5909.32</v>
      </c>
    </row>
    <row r="876" spans="1:20" x14ac:dyDescent="0.25">
      <c r="A876" s="36">
        <v>855</v>
      </c>
      <c r="B876" s="36" t="s">
        <v>1524</v>
      </c>
      <c r="C876" s="36">
        <v>6</v>
      </c>
      <c r="D876" s="36" t="s">
        <v>2157</v>
      </c>
      <c r="E876" s="36" t="s">
        <v>2158</v>
      </c>
      <c r="F876" s="37" t="s">
        <v>742</v>
      </c>
      <c r="G876" s="37" t="s">
        <v>1583</v>
      </c>
      <c r="H876" s="43">
        <v>70</v>
      </c>
      <c r="I876" s="43">
        <v>2273</v>
      </c>
      <c r="J876" s="38" t="s">
        <v>2169</v>
      </c>
      <c r="K876" s="38" t="s">
        <v>25</v>
      </c>
      <c r="L876" s="39" t="s">
        <v>26</v>
      </c>
      <c r="M876" s="39" t="s">
        <v>26</v>
      </c>
      <c r="N876" s="40">
        <v>39.989342914848699</v>
      </c>
      <c r="O876" s="40">
        <v>-75.155473480147606</v>
      </c>
      <c r="P876" s="41">
        <f>3450</f>
        <v>3450</v>
      </c>
      <c r="Q876" s="42">
        <v>44273</v>
      </c>
      <c r="R876" s="41" t="s">
        <v>1530</v>
      </c>
      <c r="S876" s="41" t="s">
        <v>517</v>
      </c>
      <c r="T876" s="24">
        <f t="shared" si="26"/>
        <v>4229.7</v>
      </c>
    </row>
    <row r="877" spans="1:20" x14ac:dyDescent="0.25">
      <c r="A877" s="9">
        <v>856</v>
      </c>
      <c r="B877" s="9" t="s">
        <v>1524</v>
      </c>
      <c r="C877" s="9">
        <v>6</v>
      </c>
      <c r="D877" s="9" t="s">
        <v>2157</v>
      </c>
      <c r="E877" s="9" t="s">
        <v>2158</v>
      </c>
      <c r="F877" s="37" t="s">
        <v>742</v>
      </c>
      <c r="G877" s="37" t="s">
        <v>1583</v>
      </c>
      <c r="H877" s="43">
        <v>80</v>
      </c>
      <c r="I877" s="43">
        <v>0</v>
      </c>
      <c r="J877" s="38" t="s">
        <v>2170</v>
      </c>
      <c r="K877" s="38" t="s">
        <v>25</v>
      </c>
      <c r="L877" s="39" t="s">
        <v>26</v>
      </c>
      <c r="M877" s="39" t="s">
        <v>26</v>
      </c>
      <c r="N877" s="44">
        <v>39.990850401836397</v>
      </c>
      <c r="O877" s="44">
        <v>-75.155141184903101</v>
      </c>
      <c r="P877" s="41">
        <f>3259</f>
        <v>3259</v>
      </c>
      <c r="Q877" s="42">
        <v>44273</v>
      </c>
      <c r="R877" s="41" t="s">
        <v>1530</v>
      </c>
      <c r="S877" s="41" t="s">
        <v>38</v>
      </c>
      <c r="T877" s="24">
        <f t="shared" si="26"/>
        <v>3995.5340000000001</v>
      </c>
    </row>
    <row r="878" spans="1:20" x14ac:dyDescent="0.25">
      <c r="A878" s="36">
        <v>857</v>
      </c>
      <c r="B878" s="36" t="s">
        <v>1524</v>
      </c>
      <c r="C878" s="36">
        <v>6</v>
      </c>
      <c r="D878" s="36" t="s">
        <v>2157</v>
      </c>
      <c r="E878" s="36" t="s">
        <v>2158</v>
      </c>
      <c r="F878" s="37" t="s">
        <v>742</v>
      </c>
      <c r="G878" s="37" t="s">
        <v>1583</v>
      </c>
      <c r="H878" s="43">
        <v>90</v>
      </c>
      <c r="I878" s="43">
        <v>80</v>
      </c>
      <c r="J878" s="38" t="s">
        <v>2171</v>
      </c>
      <c r="K878" s="38" t="s">
        <v>25</v>
      </c>
      <c r="L878" s="39" t="s">
        <v>26</v>
      </c>
      <c r="M878" s="39" t="s">
        <v>26</v>
      </c>
      <c r="N878" s="40">
        <v>39.998704007594</v>
      </c>
      <c r="O878" s="40">
        <v>-75.153424679952593</v>
      </c>
      <c r="P878" s="41">
        <f>1648</f>
        <v>1648</v>
      </c>
      <c r="Q878" s="42">
        <v>44273</v>
      </c>
      <c r="R878" s="41" t="s">
        <v>1530</v>
      </c>
      <c r="S878" s="41" t="s">
        <v>38</v>
      </c>
      <c r="T878" s="24">
        <f t="shared" si="26"/>
        <v>2020.4479999999999</v>
      </c>
    </row>
    <row r="879" spans="1:20" x14ac:dyDescent="0.25">
      <c r="A879" s="9">
        <v>858</v>
      </c>
      <c r="B879" s="9" t="s">
        <v>1524</v>
      </c>
      <c r="C879" s="9">
        <v>6</v>
      </c>
      <c r="D879" s="9" t="s">
        <v>2157</v>
      </c>
      <c r="E879" s="9" t="s">
        <v>2158</v>
      </c>
      <c r="F879" s="37" t="s">
        <v>742</v>
      </c>
      <c r="G879" s="37" t="s">
        <v>1583</v>
      </c>
      <c r="H879" s="43">
        <v>110</v>
      </c>
      <c r="I879" s="43">
        <v>550</v>
      </c>
      <c r="J879" s="38" t="s">
        <v>2172</v>
      </c>
      <c r="K879" s="38" t="s">
        <v>25</v>
      </c>
      <c r="L879" s="39" t="s">
        <v>26</v>
      </c>
      <c r="M879" s="39" t="s">
        <v>26</v>
      </c>
      <c r="N879" s="44">
        <v>40.007632604773903</v>
      </c>
      <c r="O879" s="44">
        <v>-75.151483608366306</v>
      </c>
      <c r="P879" s="41">
        <f>3227</f>
        <v>3227</v>
      </c>
      <c r="Q879" s="42">
        <v>44273</v>
      </c>
      <c r="R879" s="41" t="s">
        <v>1530</v>
      </c>
      <c r="S879" s="41" t="s">
        <v>517</v>
      </c>
      <c r="T879" s="24">
        <f t="shared" si="26"/>
        <v>3956.3020000000001</v>
      </c>
    </row>
    <row r="880" spans="1:20" x14ac:dyDescent="0.25">
      <c r="A880" s="36">
        <v>859</v>
      </c>
      <c r="B880" s="36" t="s">
        <v>1524</v>
      </c>
      <c r="C880" s="36">
        <v>6</v>
      </c>
      <c r="D880" s="36" t="s">
        <v>2157</v>
      </c>
      <c r="E880" s="36" t="s">
        <v>2158</v>
      </c>
      <c r="F880" s="37" t="s">
        <v>2173</v>
      </c>
      <c r="G880" s="37" t="s">
        <v>89</v>
      </c>
      <c r="H880" s="43">
        <v>70</v>
      </c>
      <c r="I880" s="43">
        <v>0</v>
      </c>
      <c r="J880" s="38" t="s">
        <v>2174</v>
      </c>
      <c r="K880" s="38" t="s">
        <v>25</v>
      </c>
      <c r="L880" s="39" t="s">
        <v>26</v>
      </c>
      <c r="M880" s="39" t="s">
        <v>26</v>
      </c>
      <c r="N880" s="40">
        <v>40.005515984381603</v>
      </c>
      <c r="O880" s="40">
        <v>-75.105343729304906</v>
      </c>
      <c r="P880" s="41">
        <f>2254+2120</f>
        <v>4374</v>
      </c>
      <c r="Q880" s="42">
        <v>44284</v>
      </c>
      <c r="R880" s="41" t="s">
        <v>1530</v>
      </c>
      <c r="S880" s="41" t="s">
        <v>28</v>
      </c>
      <c r="T880" s="24">
        <f t="shared" si="26"/>
        <v>5362.5240000000003</v>
      </c>
    </row>
    <row r="881" spans="1:20" x14ac:dyDescent="0.25">
      <c r="A881" s="9">
        <v>860</v>
      </c>
      <c r="B881" s="9" t="s">
        <v>1524</v>
      </c>
      <c r="C881" s="9">
        <v>6</v>
      </c>
      <c r="D881" s="9" t="s">
        <v>2157</v>
      </c>
      <c r="E881" s="9" t="s">
        <v>2158</v>
      </c>
      <c r="F881" s="37" t="s">
        <v>2175</v>
      </c>
      <c r="G881" s="37" t="s">
        <v>481</v>
      </c>
      <c r="H881" s="43">
        <v>130</v>
      </c>
      <c r="I881" s="43">
        <v>2250</v>
      </c>
      <c r="J881" s="38" t="s">
        <v>2176</v>
      </c>
      <c r="K881" s="38" t="s">
        <v>25</v>
      </c>
      <c r="L881" s="39" t="s">
        <v>26</v>
      </c>
      <c r="M881" s="39" t="s">
        <v>26</v>
      </c>
      <c r="N881" s="44">
        <v>40.043133839062499</v>
      </c>
      <c r="O881" s="44">
        <v>-75.073805083159499</v>
      </c>
      <c r="P881" s="41">
        <f>3624</f>
        <v>3624</v>
      </c>
      <c r="Q881" s="42">
        <v>44279</v>
      </c>
      <c r="R881" s="41" t="s">
        <v>27</v>
      </c>
      <c r="S881" s="41" t="s">
        <v>38</v>
      </c>
      <c r="T881" s="24">
        <f t="shared" si="26"/>
        <v>4443.0240000000003</v>
      </c>
    </row>
    <row r="882" spans="1:20" x14ac:dyDescent="0.25">
      <c r="A882" s="36">
        <v>861</v>
      </c>
      <c r="B882" s="36" t="s">
        <v>1524</v>
      </c>
      <c r="C882" s="36">
        <v>6</v>
      </c>
      <c r="D882" s="36" t="s">
        <v>2157</v>
      </c>
      <c r="E882" s="36" t="s">
        <v>2158</v>
      </c>
      <c r="F882" s="37" t="s">
        <v>2177</v>
      </c>
      <c r="G882" s="37" t="s">
        <v>2178</v>
      </c>
      <c r="H882" s="43">
        <v>30</v>
      </c>
      <c r="I882" s="43">
        <v>1789</v>
      </c>
      <c r="J882" s="38" t="s">
        <v>2168</v>
      </c>
      <c r="K882" s="38" t="s">
        <v>25</v>
      </c>
      <c r="L882" s="39" t="s">
        <v>26</v>
      </c>
      <c r="M882" s="39" t="s">
        <v>26</v>
      </c>
      <c r="N882" s="40">
        <v>40.038217213464499</v>
      </c>
      <c r="O882" s="40">
        <v>-75.075207664819899</v>
      </c>
      <c r="P882" s="41">
        <f>4168</f>
        <v>4168</v>
      </c>
      <c r="Q882" s="42">
        <v>44279</v>
      </c>
      <c r="R882" s="41" t="s">
        <v>27</v>
      </c>
      <c r="S882" s="41" t="s">
        <v>34</v>
      </c>
      <c r="T882" s="24">
        <f t="shared" si="26"/>
        <v>5109.9679999999998</v>
      </c>
    </row>
    <row r="883" spans="1:20" x14ac:dyDescent="0.25">
      <c r="A883" s="9">
        <v>862</v>
      </c>
      <c r="B883" s="9" t="s">
        <v>1524</v>
      </c>
      <c r="C883" s="9">
        <v>6</v>
      </c>
      <c r="D883" s="9" t="s">
        <v>2157</v>
      </c>
      <c r="E883" s="9" t="s">
        <v>2158</v>
      </c>
      <c r="F883" s="37" t="s">
        <v>2179</v>
      </c>
      <c r="G883" s="37" t="s">
        <v>2180</v>
      </c>
      <c r="H883" s="43">
        <v>40</v>
      </c>
      <c r="I883" s="43">
        <v>0</v>
      </c>
      <c r="J883" s="38" t="s">
        <v>2181</v>
      </c>
      <c r="K883" s="38" t="s">
        <v>25</v>
      </c>
      <c r="L883" s="39" t="s">
        <v>26</v>
      </c>
      <c r="M883" s="39" t="s">
        <v>26</v>
      </c>
      <c r="N883" s="44">
        <v>40.0779923462661</v>
      </c>
      <c r="O883" s="44">
        <v>-75.023685043703395</v>
      </c>
      <c r="P883" s="41">
        <f>3599+3124</f>
        <v>6723</v>
      </c>
      <c r="Q883" s="42">
        <v>44279</v>
      </c>
      <c r="R883" s="41" t="s">
        <v>1530</v>
      </c>
      <c r="S883" s="41" t="s">
        <v>28</v>
      </c>
      <c r="T883" s="24">
        <f t="shared" si="26"/>
        <v>8242.3979999999992</v>
      </c>
    </row>
    <row r="884" spans="1:20" x14ac:dyDescent="0.25">
      <c r="A884" s="36">
        <v>863</v>
      </c>
      <c r="B884" s="36" t="s">
        <v>1524</v>
      </c>
      <c r="C884" s="36">
        <v>6</v>
      </c>
      <c r="D884" s="36" t="s">
        <v>2157</v>
      </c>
      <c r="E884" s="36" t="s">
        <v>2158</v>
      </c>
      <c r="F884" s="37" t="s">
        <v>2163</v>
      </c>
      <c r="G884" s="37" t="s">
        <v>2182</v>
      </c>
      <c r="H884" s="43">
        <v>150</v>
      </c>
      <c r="I884" s="43">
        <v>1503</v>
      </c>
      <c r="J884" s="38" t="s">
        <v>2183</v>
      </c>
      <c r="K884" s="38" t="s">
        <v>25</v>
      </c>
      <c r="L884" s="39" t="s">
        <v>26</v>
      </c>
      <c r="M884" s="39" t="s">
        <v>26</v>
      </c>
      <c r="N884" s="40">
        <v>40.027407158274201</v>
      </c>
      <c r="O884" s="40">
        <v>-75.062711630382395</v>
      </c>
      <c r="P884" s="41">
        <f>3690+2104</f>
        <v>5794</v>
      </c>
      <c r="Q884" s="42">
        <v>44279</v>
      </c>
      <c r="R884" s="41" t="s">
        <v>1530</v>
      </c>
      <c r="S884" s="41" t="s">
        <v>517</v>
      </c>
      <c r="T884" s="24">
        <f t="shared" si="26"/>
        <v>7103.4439999999995</v>
      </c>
    </row>
    <row r="885" spans="1:20" x14ac:dyDescent="0.25">
      <c r="A885" s="9">
        <v>864</v>
      </c>
      <c r="B885" s="9" t="s">
        <v>1524</v>
      </c>
      <c r="C885" s="9">
        <v>6</v>
      </c>
      <c r="D885" s="9" t="s">
        <v>2157</v>
      </c>
      <c r="E885" s="9" t="s">
        <v>2158</v>
      </c>
      <c r="F885" s="37" t="s">
        <v>2163</v>
      </c>
      <c r="G885" s="37" t="s">
        <v>2182</v>
      </c>
      <c r="H885" s="43">
        <v>150</v>
      </c>
      <c r="I885" s="43">
        <v>1685</v>
      </c>
      <c r="J885" s="38" t="s">
        <v>2184</v>
      </c>
      <c r="K885" s="38" t="s">
        <v>25</v>
      </c>
      <c r="L885" s="39" t="s">
        <v>26</v>
      </c>
      <c r="M885" s="39" t="s">
        <v>26</v>
      </c>
      <c r="N885" s="44">
        <v>40.027504333059198</v>
      </c>
      <c r="O885" s="44">
        <v>-75.062070363429896</v>
      </c>
      <c r="P885" s="41">
        <f>332</f>
        <v>332</v>
      </c>
      <c r="Q885" s="42">
        <v>44279</v>
      </c>
      <c r="R885" s="41" t="s">
        <v>1530</v>
      </c>
      <c r="S885" s="41" t="s">
        <v>517</v>
      </c>
      <c r="T885" s="24">
        <f t="shared" si="26"/>
        <v>407.03199999999998</v>
      </c>
    </row>
    <row r="886" spans="1:20" x14ac:dyDescent="0.25">
      <c r="A886" s="36">
        <v>865</v>
      </c>
      <c r="B886" s="36" t="s">
        <v>1524</v>
      </c>
      <c r="C886" s="36">
        <v>6</v>
      </c>
      <c r="D886" s="36" t="s">
        <v>2157</v>
      </c>
      <c r="E886" s="36" t="s">
        <v>2158</v>
      </c>
      <c r="F886" s="37" t="s">
        <v>2185</v>
      </c>
      <c r="G886" s="37" t="s">
        <v>1838</v>
      </c>
      <c r="H886" s="43">
        <v>90</v>
      </c>
      <c r="I886" s="43">
        <v>476</v>
      </c>
      <c r="J886" s="38" t="s">
        <v>2186</v>
      </c>
      <c r="K886" s="38" t="s">
        <v>25</v>
      </c>
      <c r="L886" s="39" t="s">
        <v>26</v>
      </c>
      <c r="M886" s="39" t="s">
        <v>26</v>
      </c>
      <c r="N886" s="40">
        <v>39.996537693228397</v>
      </c>
      <c r="O886" s="40">
        <v>-75.113984753556295</v>
      </c>
      <c r="P886" s="41">
        <f>643</f>
        <v>643</v>
      </c>
      <c r="Q886" s="42">
        <v>44279</v>
      </c>
      <c r="R886" s="41" t="s">
        <v>1530</v>
      </c>
      <c r="S886" s="41" t="s">
        <v>34</v>
      </c>
      <c r="T886" s="24">
        <f t="shared" si="26"/>
        <v>788.31799999999998</v>
      </c>
    </row>
    <row r="887" spans="1:20" x14ac:dyDescent="0.25">
      <c r="A887" s="9">
        <v>866</v>
      </c>
      <c r="B887" s="9" t="s">
        <v>1524</v>
      </c>
      <c r="C887" s="9">
        <v>6</v>
      </c>
      <c r="D887" s="9" t="s">
        <v>2157</v>
      </c>
      <c r="E887" s="9" t="s">
        <v>2158</v>
      </c>
      <c r="F887" s="37" t="s">
        <v>2187</v>
      </c>
      <c r="G887" s="37" t="s">
        <v>2188</v>
      </c>
      <c r="H887" s="43">
        <v>110</v>
      </c>
      <c r="I887" s="43">
        <v>434</v>
      </c>
      <c r="J887" s="38" t="s">
        <v>2189</v>
      </c>
      <c r="K887" s="38" t="s">
        <v>25</v>
      </c>
      <c r="L887" s="39" t="s">
        <v>26</v>
      </c>
      <c r="M887" s="39" t="s">
        <v>26</v>
      </c>
      <c r="N887" s="44">
        <v>39.969910887439298</v>
      </c>
      <c r="O887" s="44">
        <v>-75.211564313962199</v>
      </c>
      <c r="P887" s="41">
        <f>523</f>
        <v>523</v>
      </c>
      <c r="Q887" s="42">
        <v>44273</v>
      </c>
      <c r="R887" s="41" t="s">
        <v>1530</v>
      </c>
      <c r="S887" s="41" t="s">
        <v>517</v>
      </c>
      <c r="T887" s="24">
        <f t="shared" si="26"/>
        <v>641.19799999999998</v>
      </c>
    </row>
    <row r="888" spans="1:20" x14ac:dyDescent="0.25">
      <c r="A888" s="36">
        <v>867</v>
      </c>
      <c r="B888" s="36" t="s">
        <v>1524</v>
      </c>
      <c r="C888" s="36">
        <v>6</v>
      </c>
      <c r="D888" s="36" t="s">
        <v>2157</v>
      </c>
      <c r="E888" s="36" t="s">
        <v>2158</v>
      </c>
      <c r="F888" s="37" t="s">
        <v>2190</v>
      </c>
      <c r="G888" s="37" t="s">
        <v>2191</v>
      </c>
      <c r="H888" s="43">
        <v>10</v>
      </c>
      <c r="I888" s="43">
        <v>100</v>
      </c>
      <c r="J888" s="38" t="s">
        <v>2192</v>
      </c>
      <c r="K888" s="38" t="s">
        <v>25</v>
      </c>
      <c r="L888" s="39" t="s">
        <v>26</v>
      </c>
      <c r="M888" s="39" t="s">
        <v>26</v>
      </c>
      <c r="N888" s="40">
        <v>39.9540763571516</v>
      </c>
      <c r="O888" s="40">
        <v>-75.166535694710902</v>
      </c>
      <c r="P888" s="41">
        <f>199</f>
        <v>199</v>
      </c>
      <c r="Q888" s="42">
        <v>44273</v>
      </c>
      <c r="R888" s="41" t="s">
        <v>1530</v>
      </c>
      <c r="S888" s="41" t="s">
        <v>517</v>
      </c>
      <c r="T888" s="24">
        <f t="shared" si="26"/>
        <v>243.97399999999999</v>
      </c>
    </row>
    <row r="889" spans="1:20" x14ac:dyDescent="0.25">
      <c r="A889" s="9">
        <v>868</v>
      </c>
      <c r="B889" s="9" t="s">
        <v>1524</v>
      </c>
      <c r="C889" s="9">
        <v>6</v>
      </c>
      <c r="D889" s="9" t="s">
        <v>2157</v>
      </c>
      <c r="E889" s="9" t="s">
        <v>2158</v>
      </c>
      <c r="F889" s="37" t="s">
        <v>1035</v>
      </c>
      <c r="G889" s="37" t="s">
        <v>2193</v>
      </c>
      <c r="H889" s="43">
        <v>20</v>
      </c>
      <c r="I889" s="43">
        <v>1025</v>
      </c>
      <c r="J889" s="38" t="s">
        <v>2194</v>
      </c>
      <c r="K889" s="38" t="s">
        <v>25</v>
      </c>
      <c r="L889" s="39" t="s">
        <v>26</v>
      </c>
      <c r="M889" s="39" t="s">
        <v>26</v>
      </c>
      <c r="N889" s="44">
        <v>40.022921053376002</v>
      </c>
      <c r="O889" s="44">
        <v>-75.163155770720493</v>
      </c>
      <c r="P889" s="41">
        <f>408</f>
        <v>408</v>
      </c>
      <c r="Q889" s="42">
        <v>44273</v>
      </c>
      <c r="R889" s="41" t="s">
        <v>1530</v>
      </c>
      <c r="S889" s="41" t="s">
        <v>38</v>
      </c>
      <c r="T889" s="24">
        <f t="shared" si="26"/>
        <v>500.20799999999997</v>
      </c>
    </row>
    <row r="890" spans="1:20" x14ac:dyDescent="0.25">
      <c r="A890" s="36">
        <v>890</v>
      </c>
      <c r="B890" s="36" t="s">
        <v>1524</v>
      </c>
      <c r="C890" s="36">
        <v>5</v>
      </c>
      <c r="D890" s="36" t="s">
        <v>2195</v>
      </c>
      <c r="E890" s="36" t="s">
        <v>2196</v>
      </c>
      <c r="F890" s="37" t="s">
        <v>2197</v>
      </c>
      <c r="G890" s="37" t="s">
        <v>1533</v>
      </c>
      <c r="H890" s="43">
        <v>230</v>
      </c>
      <c r="I890" s="43">
        <v>0</v>
      </c>
      <c r="J890" s="38" t="s">
        <v>2198</v>
      </c>
      <c r="K890" s="38" t="s">
        <v>25</v>
      </c>
      <c r="L890" s="38" t="s">
        <v>26</v>
      </c>
      <c r="M890" s="38" t="s">
        <v>26</v>
      </c>
      <c r="N890" s="40">
        <v>40.6409520114617</v>
      </c>
      <c r="O890" s="40">
        <v>-76.158518280899997</v>
      </c>
      <c r="P890" s="41">
        <f>3098+3415</f>
        <v>6513</v>
      </c>
      <c r="Q890" s="42">
        <v>44260</v>
      </c>
      <c r="R890" s="41" t="s">
        <v>1530</v>
      </c>
      <c r="S890" s="41" t="s">
        <v>38</v>
      </c>
      <c r="T890" s="24">
        <f t="shared" ref="T890:T909" si="27">P890*$X$7</f>
        <v>7027.527</v>
      </c>
    </row>
    <row r="891" spans="1:20" x14ac:dyDescent="0.25">
      <c r="A891" s="9">
        <v>891</v>
      </c>
      <c r="B891" s="9" t="s">
        <v>1524</v>
      </c>
      <c r="C891" s="9">
        <v>5</v>
      </c>
      <c r="D891" s="9" t="s">
        <v>2195</v>
      </c>
      <c r="E891" s="9" t="s">
        <v>2196</v>
      </c>
      <c r="F891" s="37" t="s">
        <v>2197</v>
      </c>
      <c r="G891" s="37" t="s">
        <v>1533</v>
      </c>
      <c r="H891" s="43">
        <v>230</v>
      </c>
      <c r="I891" s="43">
        <v>2598</v>
      </c>
      <c r="J891" s="38" t="s">
        <v>2199</v>
      </c>
      <c r="K891" s="38" t="s">
        <v>25</v>
      </c>
      <c r="L891" s="38" t="s">
        <v>26</v>
      </c>
      <c r="M891" s="38" t="s">
        <v>26</v>
      </c>
      <c r="N891" s="44">
        <v>40.638784724055803</v>
      </c>
      <c r="O891" s="44">
        <v>-76.167442816385801</v>
      </c>
      <c r="P891" s="41">
        <f>381+428</f>
        <v>809</v>
      </c>
      <c r="Q891" s="42">
        <v>44260</v>
      </c>
      <c r="R891" s="41" t="s">
        <v>1530</v>
      </c>
      <c r="S891" s="41" t="s">
        <v>38</v>
      </c>
      <c r="T891" s="24">
        <f t="shared" si="27"/>
        <v>872.91099999999994</v>
      </c>
    </row>
    <row r="892" spans="1:20" x14ac:dyDescent="0.25">
      <c r="A892" s="36">
        <v>892</v>
      </c>
      <c r="B892" s="36" t="s">
        <v>1524</v>
      </c>
      <c r="C892" s="36">
        <v>5</v>
      </c>
      <c r="D892" s="36" t="s">
        <v>2195</v>
      </c>
      <c r="E892" s="36" t="s">
        <v>2196</v>
      </c>
      <c r="F892" s="37" t="s">
        <v>1538</v>
      </c>
      <c r="G892" s="37" t="s">
        <v>1533</v>
      </c>
      <c r="H892" s="43">
        <v>310</v>
      </c>
      <c r="I892" s="43">
        <v>0</v>
      </c>
      <c r="J892" s="38" t="s">
        <v>2200</v>
      </c>
      <c r="K892" s="38" t="s">
        <v>25</v>
      </c>
      <c r="L892" s="38" t="s">
        <v>26</v>
      </c>
      <c r="M892" s="38" t="s">
        <v>26</v>
      </c>
      <c r="N892" s="40">
        <v>40.6555967867696</v>
      </c>
      <c r="O892" s="40">
        <v>-76.188365020912201</v>
      </c>
      <c r="P892" s="41">
        <f>319+30</f>
        <v>349</v>
      </c>
      <c r="Q892" s="42">
        <v>44260</v>
      </c>
      <c r="R892" s="41" t="s">
        <v>1530</v>
      </c>
      <c r="S892" s="41" t="s">
        <v>38</v>
      </c>
      <c r="T892" s="24">
        <f t="shared" si="27"/>
        <v>376.57099999999997</v>
      </c>
    </row>
    <row r="893" spans="1:20" x14ac:dyDescent="0.25">
      <c r="A893" s="9">
        <v>893</v>
      </c>
      <c r="B893" s="9" t="s">
        <v>1524</v>
      </c>
      <c r="C893" s="9">
        <v>5</v>
      </c>
      <c r="D893" s="9" t="s">
        <v>2195</v>
      </c>
      <c r="E893" s="9" t="s">
        <v>2201</v>
      </c>
      <c r="F893" s="37" t="s">
        <v>2202</v>
      </c>
      <c r="G893" s="37" t="s">
        <v>1533</v>
      </c>
      <c r="H893" s="43">
        <v>432</v>
      </c>
      <c r="I893" s="43">
        <v>1470</v>
      </c>
      <c r="J893" s="38" t="s">
        <v>2203</v>
      </c>
      <c r="K893" s="38" t="s">
        <v>25</v>
      </c>
      <c r="L893" s="38" t="s">
        <v>26</v>
      </c>
      <c r="M893" s="38" t="s">
        <v>26</v>
      </c>
      <c r="N893" s="44">
        <v>40.727552936601903</v>
      </c>
      <c r="O893" s="44">
        <v>-76.194196543188198</v>
      </c>
      <c r="P893" s="41">
        <f>7112+7097</f>
        <v>14209</v>
      </c>
      <c r="Q893" s="42">
        <v>44260</v>
      </c>
      <c r="R893" s="41" t="s">
        <v>1530</v>
      </c>
      <c r="S893" s="41" t="s">
        <v>38</v>
      </c>
      <c r="T893" s="24">
        <f t="shared" si="27"/>
        <v>15331.510999999999</v>
      </c>
    </row>
    <row r="894" spans="1:20" x14ac:dyDescent="0.25">
      <c r="A894" s="36">
        <v>894</v>
      </c>
      <c r="B894" s="36" t="s">
        <v>1524</v>
      </c>
      <c r="C894" s="36">
        <v>5</v>
      </c>
      <c r="D894" s="36" t="s">
        <v>2195</v>
      </c>
      <c r="E894" s="36" t="s">
        <v>2196</v>
      </c>
      <c r="F894" s="37" t="s">
        <v>2204</v>
      </c>
      <c r="G894" s="37" t="s">
        <v>2205</v>
      </c>
      <c r="H894" s="43">
        <v>180</v>
      </c>
      <c r="I894" s="43">
        <v>528</v>
      </c>
      <c r="J894" s="38" t="s">
        <v>2206</v>
      </c>
      <c r="K894" s="38" t="s">
        <v>25</v>
      </c>
      <c r="L894" s="38" t="s">
        <v>26</v>
      </c>
      <c r="M894" s="38" t="s">
        <v>26</v>
      </c>
      <c r="N894" s="40">
        <v>40.625219814392999</v>
      </c>
      <c r="O894" s="40">
        <v>-76.208999499877905</v>
      </c>
      <c r="P894" s="41">
        <f>449+472</f>
        <v>921</v>
      </c>
      <c r="Q894" s="42">
        <v>44260</v>
      </c>
      <c r="R894" s="41" t="s">
        <v>1530</v>
      </c>
      <c r="S894" s="41" t="s">
        <v>517</v>
      </c>
      <c r="T894" s="24">
        <f t="shared" si="27"/>
        <v>993.75900000000001</v>
      </c>
    </row>
    <row r="895" spans="1:20" x14ac:dyDescent="0.25">
      <c r="A895" s="9">
        <v>895</v>
      </c>
      <c r="B895" s="9" t="s">
        <v>1524</v>
      </c>
      <c r="C895" s="9">
        <v>5</v>
      </c>
      <c r="D895" s="9" t="s">
        <v>2195</v>
      </c>
      <c r="E895" s="9" t="s">
        <v>2207</v>
      </c>
      <c r="F895" s="37" t="s">
        <v>2208</v>
      </c>
      <c r="G895" s="37" t="s">
        <v>2205</v>
      </c>
      <c r="H895" s="43">
        <v>200</v>
      </c>
      <c r="I895" s="43">
        <v>1619</v>
      </c>
      <c r="J895" s="38" t="s">
        <v>2209</v>
      </c>
      <c r="K895" s="38" t="s">
        <v>25</v>
      </c>
      <c r="L895" s="38" t="s">
        <v>26</v>
      </c>
      <c r="M895" s="38" t="s">
        <v>26</v>
      </c>
      <c r="N895" s="44">
        <v>40.6332125005992</v>
      </c>
      <c r="O895" s="44">
        <v>-76.193653436931299</v>
      </c>
      <c r="P895" s="41">
        <f>71+1</f>
        <v>72</v>
      </c>
      <c r="Q895" s="42">
        <v>44260</v>
      </c>
      <c r="R895" s="41" t="s">
        <v>1530</v>
      </c>
      <c r="S895" s="41" t="s">
        <v>517</v>
      </c>
      <c r="T895" s="24">
        <f t="shared" si="27"/>
        <v>77.688000000000002</v>
      </c>
    </row>
    <row r="896" spans="1:20" x14ac:dyDescent="0.25">
      <c r="A896" s="36">
        <v>896</v>
      </c>
      <c r="B896" s="36" t="s">
        <v>1524</v>
      </c>
      <c r="C896" s="36">
        <v>5</v>
      </c>
      <c r="D896" s="36" t="s">
        <v>2195</v>
      </c>
      <c r="E896" s="36" t="s">
        <v>2210</v>
      </c>
      <c r="F896" s="37" t="s">
        <v>233</v>
      </c>
      <c r="G896" s="37" t="s">
        <v>751</v>
      </c>
      <c r="H896" s="43">
        <v>518</v>
      </c>
      <c r="I896" s="43">
        <v>676</v>
      </c>
      <c r="J896" s="38" t="s">
        <v>484</v>
      </c>
      <c r="K896" s="38" t="s">
        <v>25</v>
      </c>
      <c r="L896" s="38" t="s">
        <v>26</v>
      </c>
      <c r="M896" s="38" t="s">
        <v>26</v>
      </c>
      <c r="N896" s="40">
        <v>40.685401493626699</v>
      </c>
      <c r="O896" s="40">
        <v>-76.196476122502901</v>
      </c>
      <c r="P896" s="41">
        <f>835</f>
        <v>835</v>
      </c>
      <c r="Q896" s="42">
        <v>44260</v>
      </c>
      <c r="R896" s="41" t="s">
        <v>1530</v>
      </c>
      <c r="S896" s="41" t="s">
        <v>517</v>
      </c>
      <c r="T896" s="24">
        <f t="shared" si="27"/>
        <v>900.96499999999992</v>
      </c>
    </row>
    <row r="897" spans="1:20" x14ac:dyDescent="0.25">
      <c r="A897" s="9">
        <v>897</v>
      </c>
      <c r="B897" s="9" t="s">
        <v>1524</v>
      </c>
      <c r="C897" s="9">
        <v>5</v>
      </c>
      <c r="D897" s="9" t="s">
        <v>2195</v>
      </c>
      <c r="E897" s="9" t="s">
        <v>2211</v>
      </c>
      <c r="F897" s="37" t="s">
        <v>1615</v>
      </c>
      <c r="G897" s="37" t="s">
        <v>751</v>
      </c>
      <c r="H897" s="37">
        <v>700</v>
      </c>
      <c r="I897" s="37">
        <v>2240</v>
      </c>
      <c r="J897" s="38" t="s">
        <v>2212</v>
      </c>
      <c r="K897" s="38" t="s">
        <v>25</v>
      </c>
      <c r="L897" s="39" t="s">
        <v>26</v>
      </c>
      <c r="M897" s="39" t="s">
        <v>26</v>
      </c>
      <c r="N897" s="44">
        <v>40.724944263133999</v>
      </c>
      <c r="O897" s="44">
        <v>-76.094650349163999</v>
      </c>
      <c r="P897" s="41">
        <f>235</f>
        <v>235</v>
      </c>
      <c r="Q897" s="42">
        <v>44258</v>
      </c>
      <c r="R897" s="41" t="s">
        <v>27</v>
      </c>
      <c r="S897" s="41" t="s">
        <v>517</v>
      </c>
      <c r="T897" s="24">
        <f t="shared" si="27"/>
        <v>253.565</v>
      </c>
    </row>
    <row r="898" spans="1:20" x14ac:dyDescent="0.25">
      <c r="A898" s="36">
        <v>898</v>
      </c>
      <c r="B898" s="36" t="s">
        <v>1524</v>
      </c>
      <c r="C898" s="36">
        <v>5</v>
      </c>
      <c r="D898" s="36" t="s">
        <v>2195</v>
      </c>
      <c r="E898" s="36" t="s">
        <v>2213</v>
      </c>
      <c r="F898" s="37" t="s">
        <v>2214</v>
      </c>
      <c r="G898" s="37" t="s">
        <v>717</v>
      </c>
      <c r="H898" s="37">
        <v>330</v>
      </c>
      <c r="I898" s="37">
        <v>1974</v>
      </c>
      <c r="J898" s="38" t="s">
        <v>2215</v>
      </c>
      <c r="K898" s="38" t="s">
        <v>25</v>
      </c>
      <c r="L898" s="39" t="s">
        <v>26</v>
      </c>
      <c r="M898" s="39" t="s">
        <v>26</v>
      </c>
      <c r="N898" s="40">
        <v>40.828090379466197</v>
      </c>
      <c r="O898" s="40">
        <v>-75.984523179749701</v>
      </c>
      <c r="P898" s="41">
        <f>313</f>
        <v>313</v>
      </c>
      <c r="Q898" s="42">
        <v>44258</v>
      </c>
      <c r="R898" s="41" t="s">
        <v>27</v>
      </c>
      <c r="S898" s="41" t="s">
        <v>38</v>
      </c>
      <c r="T898" s="24">
        <f t="shared" si="27"/>
        <v>337.72699999999998</v>
      </c>
    </row>
    <row r="899" spans="1:20" x14ac:dyDescent="0.25">
      <c r="A899" s="9">
        <v>899</v>
      </c>
      <c r="B899" s="9" t="s">
        <v>1524</v>
      </c>
      <c r="C899" s="9">
        <v>5</v>
      </c>
      <c r="D899" s="9" t="s">
        <v>2195</v>
      </c>
      <c r="E899" s="9" t="s">
        <v>2213</v>
      </c>
      <c r="F899" s="37" t="s">
        <v>2214</v>
      </c>
      <c r="G899" s="37" t="s">
        <v>717</v>
      </c>
      <c r="H899" s="37">
        <v>350</v>
      </c>
      <c r="I899" s="37">
        <v>59</v>
      </c>
      <c r="J899" s="38" t="s">
        <v>2216</v>
      </c>
      <c r="K899" s="38" t="s">
        <v>25</v>
      </c>
      <c r="L899" s="39" t="s">
        <v>26</v>
      </c>
      <c r="M899" s="39" t="s">
        <v>26</v>
      </c>
      <c r="N899" s="44">
        <v>40.833400315123399</v>
      </c>
      <c r="O899" s="44">
        <v>-75.988925190079698</v>
      </c>
      <c r="P899" s="41">
        <f>222+3280</f>
        <v>3502</v>
      </c>
      <c r="Q899" s="42">
        <v>44258</v>
      </c>
      <c r="R899" s="41" t="s">
        <v>1530</v>
      </c>
      <c r="S899" s="41" t="s">
        <v>38</v>
      </c>
      <c r="T899" s="24">
        <f t="shared" si="27"/>
        <v>3778.6579999999999</v>
      </c>
    </row>
    <row r="900" spans="1:20" x14ac:dyDescent="0.25">
      <c r="A900" s="36">
        <v>900</v>
      </c>
      <c r="B900" s="36" t="s">
        <v>1524</v>
      </c>
      <c r="C900" s="36">
        <v>5</v>
      </c>
      <c r="D900" s="36" t="s">
        <v>2195</v>
      </c>
      <c r="E900" s="36" t="s">
        <v>2213</v>
      </c>
      <c r="F900" s="37" t="s">
        <v>2214</v>
      </c>
      <c r="G900" s="37" t="s">
        <v>717</v>
      </c>
      <c r="H900" s="37">
        <v>350</v>
      </c>
      <c r="I900" s="37">
        <v>1316</v>
      </c>
      <c r="J900" s="38" t="s">
        <v>2217</v>
      </c>
      <c r="K900" s="38" t="s">
        <v>2218</v>
      </c>
      <c r="L900" s="39">
        <v>24</v>
      </c>
      <c r="M900" s="39">
        <v>2135</v>
      </c>
      <c r="N900" s="40">
        <v>40.835865685650802</v>
      </c>
      <c r="O900" s="40">
        <v>-75.992090403016107</v>
      </c>
      <c r="P900" s="41">
        <f>2284</f>
        <v>2284</v>
      </c>
      <c r="Q900" s="42">
        <v>44258</v>
      </c>
      <c r="R900" s="41" t="s">
        <v>27</v>
      </c>
      <c r="S900" s="41" t="s">
        <v>517</v>
      </c>
      <c r="T900" s="24">
        <f t="shared" si="27"/>
        <v>2464.4359999999997</v>
      </c>
    </row>
    <row r="901" spans="1:20" x14ac:dyDescent="0.25">
      <c r="A901" s="9">
        <v>901</v>
      </c>
      <c r="B901" s="9" t="s">
        <v>1524</v>
      </c>
      <c r="C901" s="9">
        <v>5</v>
      </c>
      <c r="D901" s="9" t="s">
        <v>2195</v>
      </c>
      <c r="E901" s="9" t="s">
        <v>2219</v>
      </c>
      <c r="F901" s="37" t="s">
        <v>2220</v>
      </c>
      <c r="G901" s="37" t="s">
        <v>1633</v>
      </c>
      <c r="H901" s="37">
        <v>180</v>
      </c>
      <c r="I901" s="37">
        <v>918</v>
      </c>
      <c r="J901" s="38" t="s">
        <v>2221</v>
      </c>
      <c r="K901" s="38" t="s">
        <v>25</v>
      </c>
      <c r="L901" s="39" t="s">
        <v>26</v>
      </c>
      <c r="M901" s="39" t="s">
        <v>26</v>
      </c>
      <c r="N901" s="44">
        <v>40.564826481655402</v>
      </c>
      <c r="O901" s="44">
        <v>-76.368630571219995</v>
      </c>
      <c r="P901" s="41">
        <v>751</v>
      </c>
      <c r="Q901" s="42">
        <v>44260</v>
      </c>
      <c r="R901" s="41" t="s">
        <v>27</v>
      </c>
      <c r="S901" s="41" t="s">
        <v>34</v>
      </c>
      <c r="T901" s="24">
        <f t="shared" si="27"/>
        <v>810.32899999999995</v>
      </c>
    </row>
    <row r="902" spans="1:20" x14ac:dyDescent="0.25">
      <c r="A902" s="36">
        <v>902</v>
      </c>
      <c r="B902" s="36" t="s">
        <v>1524</v>
      </c>
      <c r="C902" s="36">
        <v>5</v>
      </c>
      <c r="D902" s="36" t="s">
        <v>2195</v>
      </c>
      <c r="E902" s="36" t="s">
        <v>853</v>
      </c>
      <c r="F902" s="37" t="s">
        <v>2222</v>
      </c>
      <c r="G902" s="37" t="s">
        <v>1633</v>
      </c>
      <c r="H902" s="37">
        <v>220</v>
      </c>
      <c r="I902" s="37">
        <v>0</v>
      </c>
      <c r="J902" s="38" t="s">
        <v>2223</v>
      </c>
      <c r="K902" s="38" t="s">
        <v>25</v>
      </c>
      <c r="L902" s="39" t="s">
        <v>26</v>
      </c>
      <c r="M902" s="39" t="s">
        <v>26</v>
      </c>
      <c r="N902" s="40">
        <v>40.5749445861398</v>
      </c>
      <c r="O902" s="40">
        <v>-76.337471477308199</v>
      </c>
      <c r="P902" s="41">
        <v>551</v>
      </c>
      <c r="Q902" s="42">
        <v>44260</v>
      </c>
      <c r="R902" s="41" t="s">
        <v>27</v>
      </c>
      <c r="S902" s="41" t="s">
        <v>34</v>
      </c>
      <c r="T902" s="24">
        <f t="shared" si="27"/>
        <v>594.529</v>
      </c>
    </row>
    <row r="903" spans="1:20" x14ac:dyDescent="0.25">
      <c r="A903" s="9">
        <v>903</v>
      </c>
      <c r="B903" s="9" t="s">
        <v>1524</v>
      </c>
      <c r="C903" s="9">
        <v>5</v>
      </c>
      <c r="D903" s="9" t="s">
        <v>2195</v>
      </c>
      <c r="E903" s="9" t="s">
        <v>2196</v>
      </c>
      <c r="F903" s="37" t="s">
        <v>2224</v>
      </c>
      <c r="G903" s="37" t="s">
        <v>1633</v>
      </c>
      <c r="H903" s="43">
        <v>420</v>
      </c>
      <c r="I903" s="43">
        <v>369</v>
      </c>
      <c r="J903" s="38" t="s">
        <v>2225</v>
      </c>
      <c r="K903" s="38" t="s">
        <v>25</v>
      </c>
      <c r="L903" s="38" t="s">
        <v>26</v>
      </c>
      <c r="M903" s="38" t="s">
        <v>26</v>
      </c>
      <c r="N903" s="44">
        <v>40.646537998784801</v>
      </c>
      <c r="O903" s="44">
        <v>-76.137981759492106</v>
      </c>
      <c r="P903" s="41">
        <f>141+193</f>
        <v>334</v>
      </c>
      <c r="Q903" s="42">
        <v>44260</v>
      </c>
      <c r="R903" s="41" t="s">
        <v>1530</v>
      </c>
      <c r="S903" s="41" t="s">
        <v>34</v>
      </c>
      <c r="T903" s="24">
        <f t="shared" si="27"/>
        <v>360.38599999999997</v>
      </c>
    </row>
    <row r="904" spans="1:20" x14ac:dyDescent="0.25">
      <c r="A904" s="36">
        <v>904</v>
      </c>
      <c r="B904" s="36" t="s">
        <v>1524</v>
      </c>
      <c r="C904" s="36">
        <v>5</v>
      </c>
      <c r="D904" s="36" t="s">
        <v>2195</v>
      </c>
      <c r="E904" s="36" t="s">
        <v>2226</v>
      </c>
      <c r="F904" s="37" t="s">
        <v>2227</v>
      </c>
      <c r="G904" s="37" t="s">
        <v>1633</v>
      </c>
      <c r="H904" s="37">
        <v>820</v>
      </c>
      <c r="I904" s="37">
        <v>0</v>
      </c>
      <c r="J904" s="38" t="s">
        <v>1044</v>
      </c>
      <c r="K904" s="38" t="s">
        <v>25</v>
      </c>
      <c r="L904" s="39" t="s">
        <v>26</v>
      </c>
      <c r="M904" s="39" t="s">
        <v>26</v>
      </c>
      <c r="N904" s="40">
        <v>40.765764423475403</v>
      </c>
      <c r="O904" s="40">
        <v>-75.877116439436506</v>
      </c>
      <c r="P904" s="41">
        <f>434</f>
        <v>434</v>
      </c>
      <c r="Q904" s="42">
        <v>44258</v>
      </c>
      <c r="R904" s="41" t="s">
        <v>27</v>
      </c>
      <c r="S904" s="41" t="s">
        <v>28</v>
      </c>
      <c r="T904" s="24">
        <f t="shared" si="27"/>
        <v>468.286</v>
      </c>
    </row>
    <row r="905" spans="1:20" x14ac:dyDescent="0.25">
      <c r="A905" s="9">
        <v>905</v>
      </c>
      <c r="B905" s="9" t="s">
        <v>1524</v>
      </c>
      <c r="C905" s="9">
        <v>5</v>
      </c>
      <c r="D905" s="9" t="s">
        <v>2195</v>
      </c>
      <c r="E905" s="9" t="s">
        <v>2226</v>
      </c>
      <c r="F905" s="37" t="s">
        <v>2227</v>
      </c>
      <c r="G905" s="37" t="s">
        <v>1633</v>
      </c>
      <c r="H905" s="37">
        <v>820</v>
      </c>
      <c r="I905" s="37">
        <v>99</v>
      </c>
      <c r="J905" s="38" t="s">
        <v>2228</v>
      </c>
      <c r="K905" s="38" t="s">
        <v>25</v>
      </c>
      <c r="L905" s="39" t="s">
        <v>26</v>
      </c>
      <c r="M905" s="39" t="s">
        <v>26</v>
      </c>
      <c r="N905" s="44">
        <v>40.765863548114901</v>
      </c>
      <c r="O905" s="44">
        <v>-75.876778523449701</v>
      </c>
      <c r="P905" s="41">
        <f>242</f>
        <v>242</v>
      </c>
      <c r="Q905" s="42">
        <v>44258</v>
      </c>
      <c r="R905" s="41" t="s">
        <v>27</v>
      </c>
      <c r="S905" s="41" t="s">
        <v>34</v>
      </c>
      <c r="T905" s="24">
        <f t="shared" si="27"/>
        <v>261.11799999999999</v>
      </c>
    </row>
    <row r="906" spans="1:20" x14ac:dyDescent="0.25">
      <c r="A906" s="36">
        <v>906</v>
      </c>
      <c r="B906" s="36" t="s">
        <v>1524</v>
      </c>
      <c r="C906" s="36">
        <v>5</v>
      </c>
      <c r="D906" s="36" t="s">
        <v>2195</v>
      </c>
      <c r="E906" s="36" t="s">
        <v>895</v>
      </c>
      <c r="F906" s="37" t="s">
        <v>2229</v>
      </c>
      <c r="G906" s="37" t="s">
        <v>2149</v>
      </c>
      <c r="H906" s="43">
        <v>32</v>
      </c>
      <c r="I906" s="43">
        <v>343</v>
      </c>
      <c r="J906" s="38" t="s">
        <v>1058</v>
      </c>
      <c r="K906" s="38" t="s">
        <v>25</v>
      </c>
      <c r="L906" s="38" t="s">
        <v>26</v>
      </c>
      <c r="M906" s="38" t="s">
        <v>26</v>
      </c>
      <c r="N906" s="40">
        <v>40.763256244841003</v>
      </c>
      <c r="O906" s="40">
        <v>-76.382857412482295</v>
      </c>
      <c r="P906" s="41">
        <f>324+315</f>
        <v>639</v>
      </c>
      <c r="Q906" s="42">
        <v>44256</v>
      </c>
      <c r="R906" s="41" t="s">
        <v>1530</v>
      </c>
      <c r="S906" s="41" t="s">
        <v>28</v>
      </c>
      <c r="T906" s="24">
        <f t="shared" si="27"/>
        <v>689.48099999999999</v>
      </c>
    </row>
    <row r="907" spans="1:20" x14ac:dyDescent="0.25">
      <c r="A907" s="9">
        <v>907</v>
      </c>
      <c r="B907" s="9" t="s">
        <v>1524</v>
      </c>
      <c r="C907" s="9">
        <v>5</v>
      </c>
      <c r="D907" s="9" t="s">
        <v>2195</v>
      </c>
      <c r="E907" s="9" t="s">
        <v>455</v>
      </c>
      <c r="F907" s="37" t="s">
        <v>2230</v>
      </c>
      <c r="G907" s="37" t="s">
        <v>2149</v>
      </c>
      <c r="H907" s="37">
        <v>142</v>
      </c>
      <c r="I907" s="37">
        <v>1670</v>
      </c>
      <c r="J907" s="38" t="s">
        <v>2231</v>
      </c>
      <c r="K907" s="38" t="s">
        <v>25</v>
      </c>
      <c r="L907" s="39" t="s">
        <v>26</v>
      </c>
      <c r="M907" s="39" t="s">
        <v>26</v>
      </c>
      <c r="N907" s="44">
        <v>40.714392419327602</v>
      </c>
      <c r="O907" s="44">
        <v>-76.341466017305706</v>
      </c>
      <c r="P907" s="41">
        <f>1327+1364</f>
        <v>2691</v>
      </c>
      <c r="Q907" s="42">
        <v>44256</v>
      </c>
      <c r="R907" s="41" t="s">
        <v>1530</v>
      </c>
      <c r="S907" s="41" t="s">
        <v>34</v>
      </c>
      <c r="T907" s="24">
        <f t="shared" si="27"/>
        <v>2903.5889999999999</v>
      </c>
    </row>
    <row r="908" spans="1:20" x14ac:dyDescent="0.25">
      <c r="A908" s="36">
        <v>908</v>
      </c>
      <c r="B908" s="36" t="s">
        <v>1524</v>
      </c>
      <c r="C908" s="36">
        <v>5</v>
      </c>
      <c r="D908" s="36" t="s">
        <v>2195</v>
      </c>
      <c r="E908" s="36" t="s">
        <v>2196</v>
      </c>
      <c r="F908" s="37" t="s">
        <v>2232</v>
      </c>
      <c r="G908" s="37" t="s">
        <v>2149</v>
      </c>
      <c r="H908" s="43">
        <v>322</v>
      </c>
      <c r="I908" s="43">
        <v>1973</v>
      </c>
      <c r="J908" s="38" t="s">
        <v>2233</v>
      </c>
      <c r="K908" s="38" t="s">
        <v>25</v>
      </c>
      <c r="L908" s="38" t="s">
        <v>26</v>
      </c>
      <c r="M908" s="38" t="s">
        <v>26</v>
      </c>
      <c r="N908" s="40">
        <v>40.661720845386299</v>
      </c>
      <c r="O908" s="40">
        <v>-76.224936333430094</v>
      </c>
      <c r="P908" s="41">
        <f>363+382</f>
        <v>745</v>
      </c>
      <c r="Q908" s="42">
        <v>44260</v>
      </c>
      <c r="R908" s="41" t="s">
        <v>1530</v>
      </c>
      <c r="S908" s="41" t="s">
        <v>34</v>
      </c>
      <c r="T908" s="24">
        <f t="shared" si="27"/>
        <v>803.85500000000002</v>
      </c>
    </row>
    <row r="909" spans="1:20" x14ac:dyDescent="0.25">
      <c r="A909" s="9">
        <v>909</v>
      </c>
      <c r="B909" s="9" t="s">
        <v>1524</v>
      </c>
      <c r="C909" s="9">
        <v>5</v>
      </c>
      <c r="D909" s="9" t="s">
        <v>2195</v>
      </c>
      <c r="E909" s="9" t="s">
        <v>2234</v>
      </c>
      <c r="F909" s="37" t="s">
        <v>2235</v>
      </c>
      <c r="G909" s="37" t="s">
        <v>2236</v>
      </c>
      <c r="H909" s="43">
        <v>60</v>
      </c>
      <c r="I909" s="43">
        <v>1559</v>
      </c>
      <c r="J909" s="38" t="s">
        <v>2237</v>
      </c>
      <c r="K909" s="38" t="s">
        <v>25</v>
      </c>
      <c r="L909" s="38" t="s">
        <v>26</v>
      </c>
      <c r="M909" s="38" t="s">
        <v>26</v>
      </c>
      <c r="N909" s="44">
        <v>40.8052376035468</v>
      </c>
      <c r="O909" s="44">
        <v>-76.203933714840801</v>
      </c>
      <c r="P909" s="41">
        <f>1967+1971</f>
        <v>3938</v>
      </c>
      <c r="Q909" s="42">
        <v>44256</v>
      </c>
      <c r="R909" s="41" t="s">
        <v>1530</v>
      </c>
      <c r="S909" s="41" t="s">
        <v>517</v>
      </c>
      <c r="T909" s="24">
        <f t="shared" si="27"/>
        <v>4249.1019999999999</v>
      </c>
    </row>
    <row r="910" spans="1:20" x14ac:dyDescent="0.25">
      <c r="A910" s="36">
        <v>910</v>
      </c>
      <c r="B910" s="36" t="s">
        <v>1524</v>
      </c>
      <c r="C910" s="36">
        <v>3</v>
      </c>
      <c r="D910" s="36" t="s">
        <v>2238</v>
      </c>
      <c r="E910" s="36" t="s">
        <v>2239</v>
      </c>
      <c r="F910" s="37" t="s">
        <v>567</v>
      </c>
      <c r="G910" s="37" t="s">
        <v>646</v>
      </c>
      <c r="H910" s="37">
        <v>22</v>
      </c>
      <c r="I910" s="37">
        <v>2579</v>
      </c>
      <c r="J910" s="38" t="s">
        <v>2240</v>
      </c>
      <c r="K910" s="38" t="s">
        <v>25</v>
      </c>
      <c r="L910" s="39" t="s">
        <v>26</v>
      </c>
      <c r="M910" s="39" t="s">
        <v>26</v>
      </c>
      <c r="N910" s="40">
        <v>40.651196448375202</v>
      </c>
      <c r="O910" s="40">
        <v>-76.9270073598951</v>
      </c>
      <c r="P910" s="41">
        <f>3</f>
        <v>3</v>
      </c>
      <c r="Q910" s="42">
        <v>44272</v>
      </c>
      <c r="R910" s="41" t="s">
        <v>27</v>
      </c>
      <c r="S910" s="41" t="s">
        <v>38</v>
      </c>
      <c r="T910" s="24">
        <f t="shared" ref="T910:T953" si="28">P910*$X$5</f>
        <v>3.024</v>
      </c>
    </row>
    <row r="911" spans="1:20" x14ac:dyDescent="0.25">
      <c r="A911" s="9">
        <v>911</v>
      </c>
      <c r="B911" s="9" t="s">
        <v>1524</v>
      </c>
      <c r="C911" s="9">
        <v>3</v>
      </c>
      <c r="D911" s="9" t="s">
        <v>2238</v>
      </c>
      <c r="E911" s="9" t="s">
        <v>542</v>
      </c>
      <c r="F911" s="37" t="s">
        <v>2241</v>
      </c>
      <c r="G911" s="37" t="s">
        <v>646</v>
      </c>
      <c r="H911" s="43">
        <v>331</v>
      </c>
      <c r="I911" s="43">
        <v>2570</v>
      </c>
      <c r="J911" s="38" t="s">
        <v>603</v>
      </c>
      <c r="K911" s="38" t="s">
        <v>25</v>
      </c>
      <c r="L911" s="38" t="s">
        <v>26</v>
      </c>
      <c r="M911" s="38" t="s">
        <v>26</v>
      </c>
      <c r="N911" s="44">
        <v>40.826751088047402</v>
      </c>
      <c r="O911" s="44">
        <v>-76.844255388076306</v>
      </c>
      <c r="P911" s="41">
        <f>2550+3314</f>
        <v>5864</v>
      </c>
      <c r="Q911" s="42">
        <v>44267</v>
      </c>
      <c r="R911" s="41" t="s">
        <v>1530</v>
      </c>
      <c r="S911" s="41" t="s">
        <v>517</v>
      </c>
      <c r="T911" s="24">
        <f t="shared" si="28"/>
        <v>5910.9120000000003</v>
      </c>
    </row>
    <row r="912" spans="1:20" x14ac:dyDescent="0.25">
      <c r="A912" s="36">
        <v>912</v>
      </c>
      <c r="B912" s="36" t="s">
        <v>1524</v>
      </c>
      <c r="C912" s="36">
        <v>3</v>
      </c>
      <c r="D912" s="36" t="s">
        <v>2238</v>
      </c>
      <c r="E912" s="36" t="s">
        <v>542</v>
      </c>
      <c r="F912" s="37" t="s">
        <v>2241</v>
      </c>
      <c r="G912" s="37" t="s">
        <v>646</v>
      </c>
      <c r="H912" s="43">
        <v>350</v>
      </c>
      <c r="I912" s="47" t="s">
        <v>2242</v>
      </c>
      <c r="J912" s="38" t="s">
        <v>2243</v>
      </c>
      <c r="K912" s="38" t="s">
        <v>25</v>
      </c>
      <c r="L912" s="38" t="s">
        <v>26</v>
      </c>
      <c r="M912" s="38" t="s">
        <v>26</v>
      </c>
      <c r="N912" s="40">
        <v>40.8333740488263</v>
      </c>
      <c r="O912" s="40">
        <v>-76.837252418714002</v>
      </c>
      <c r="P912" s="41">
        <f>29+43</f>
        <v>72</v>
      </c>
      <c r="Q912" s="42">
        <v>44267</v>
      </c>
      <c r="R912" s="41" t="s">
        <v>1530</v>
      </c>
      <c r="S912" s="41" t="s">
        <v>38</v>
      </c>
      <c r="T912" s="24">
        <f t="shared" si="28"/>
        <v>72.575999999999993</v>
      </c>
    </row>
    <row r="913" spans="1:20" x14ac:dyDescent="0.25">
      <c r="A913" s="9">
        <v>913</v>
      </c>
      <c r="B913" s="9" t="s">
        <v>1524</v>
      </c>
      <c r="C913" s="9">
        <v>3</v>
      </c>
      <c r="D913" s="9" t="s">
        <v>2238</v>
      </c>
      <c r="E913" s="9" t="s">
        <v>542</v>
      </c>
      <c r="F913" s="37" t="s">
        <v>2241</v>
      </c>
      <c r="G913" s="37" t="s">
        <v>646</v>
      </c>
      <c r="H913" s="43">
        <v>370</v>
      </c>
      <c r="I913" s="47" t="s">
        <v>2244</v>
      </c>
      <c r="J913" s="38" t="s">
        <v>2245</v>
      </c>
      <c r="K913" s="38" t="s">
        <v>25</v>
      </c>
      <c r="L913" s="38" t="s">
        <v>26</v>
      </c>
      <c r="M913" s="38" t="s">
        <v>26</v>
      </c>
      <c r="N913" s="44">
        <v>40.836528222797597</v>
      </c>
      <c r="O913" s="44">
        <v>-76.833691207328101</v>
      </c>
      <c r="P913" s="41">
        <f>30+30</f>
        <v>60</v>
      </c>
      <c r="Q913" s="42">
        <v>44267</v>
      </c>
      <c r="R913" s="41" t="s">
        <v>1530</v>
      </c>
      <c r="S913" s="41" t="s">
        <v>517</v>
      </c>
      <c r="T913" s="24">
        <f t="shared" si="28"/>
        <v>60.480000000000004</v>
      </c>
    </row>
    <row r="914" spans="1:20" x14ac:dyDescent="0.25">
      <c r="A914" s="36">
        <v>914</v>
      </c>
      <c r="B914" s="36" t="s">
        <v>1524</v>
      </c>
      <c r="C914" s="36">
        <v>3</v>
      </c>
      <c r="D914" s="36" t="s">
        <v>2238</v>
      </c>
      <c r="E914" s="36" t="s">
        <v>2246</v>
      </c>
      <c r="F914" s="37" t="s">
        <v>2241</v>
      </c>
      <c r="G914" s="37" t="s">
        <v>646</v>
      </c>
      <c r="H914" s="43">
        <v>380</v>
      </c>
      <c r="I914" s="43">
        <v>55</v>
      </c>
      <c r="J914" s="38" t="s">
        <v>2247</v>
      </c>
      <c r="K914" s="38" t="s">
        <v>25</v>
      </c>
      <c r="L914" s="38" t="s">
        <v>26</v>
      </c>
      <c r="M914" s="38" t="s">
        <v>26</v>
      </c>
      <c r="N914" s="40">
        <v>40.841151633520703</v>
      </c>
      <c r="O914" s="40">
        <v>-76.828211497477497</v>
      </c>
      <c r="P914" s="41">
        <f>108+423</f>
        <v>531</v>
      </c>
      <c r="Q914" s="42">
        <v>44267</v>
      </c>
      <c r="R914" s="41" t="s">
        <v>1530</v>
      </c>
      <c r="S914" s="41" t="s">
        <v>38</v>
      </c>
      <c r="T914" s="24">
        <f t="shared" si="28"/>
        <v>535.24800000000005</v>
      </c>
    </row>
    <row r="915" spans="1:20" x14ac:dyDescent="0.25">
      <c r="A915" s="9">
        <v>915</v>
      </c>
      <c r="B915" s="9" t="s">
        <v>1524</v>
      </c>
      <c r="C915" s="9">
        <v>3</v>
      </c>
      <c r="D915" s="9" t="s">
        <v>2238</v>
      </c>
      <c r="E915" s="9" t="s">
        <v>542</v>
      </c>
      <c r="F915" s="37" t="s">
        <v>2248</v>
      </c>
      <c r="G915" s="37" t="s">
        <v>568</v>
      </c>
      <c r="H915" s="37">
        <v>60</v>
      </c>
      <c r="I915" s="37">
        <v>2302</v>
      </c>
      <c r="J915" s="38" t="s">
        <v>2249</v>
      </c>
      <c r="K915" s="38" t="s">
        <v>25</v>
      </c>
      <c r="L915" s="39" t="s">
        <v>26</v>
      </c>
      <c r="M915" s="39" t="s">
        <v>26</v>
      </c>
      <c r="N915" s="44">
        <v>40.871567696418097</v>
      </c>
      <c r="O915" s="44">
        <v>-76.818113959776198</v>
      </c>
      <c r="P915" s="41">
        <f>154</f>
        <v>154</v>
      </c>
      <c r="Q915" s="42">
        <v>44267</v>
      </c>
      <c r="R915" s="41" t="s">
        <v>27</v>
      </c>
      <c r="S915" s="41" t="s">
        <v>38</v>
      </c>
      <c r="T915" s="24">
        <f t="shared" si="28"/>
        <v>155.232</v>
      </c>
    </row>
    <row r="916" spans="1:20" x14ac:dyDescent="0.25">
      <c r="A916" s="36">
        <v>916</v>
      </c>
      <c r="B916" s="36" t="s">
        <v>1524</v>
      </c>
      <c r="C916" s="36">
        <v>3</v>
      </c>
      <c r="D916" s="36" t="s">
        <v>2238</v>
      </c>
      <c r="E916" s="36" t="s">
        <v>1063</v>
      </c>
      <c r="F916" s="37" t="s">
        <v>428</v>
      </c>
      <c r="G916" s="37" t="s">
        <v>429</v>
      </c>
      <c r="H916" s="43">
        <v>320</v>
      </c>
      <c r="I916" s="43">
        <v>593</v>
      </c>
      <c r="J916" s="38" t="s">
        <v>2250</v>
      </c>
      <c r="K916" s="38" t="s">
        <v>25</v>
      </c>
      <c r="L916" s="38" t="s">
        <v>26</v>
      </c>
      <c r="M916" s="38" t="s">
        <v>26</v>
      </c>
      <c r="N916" s="40">
        <v>40.784549323093898</v>
      </c>
      <c r="O916" s="40">
        <v>-76.874396566354505</v>
      </c>
      <c r="P916" s="41">
        <f>744</f>
        <v>744</v>
      </c>
      <c r="Q916" s="42">
        <v>44267</v>
      </c>
      <c r="R916" s="41" t="s">
        <v>27</v>
      </c>
      <c r="S916" s="41" t="s">
        <v>38</v>
      </c>
      <c r="T916" s="24">
        <f t="shared" si="28"/>
        <v>749.952</v>
      </c>
    </row>
    <row r="917" spans="1:20" x14ac:dyDescent="0.25">
      <c r="A917" s="9">
        <v>917</v>
      </c>
      <c r="B917" s="9" t="s">
        <v>1524</v>
      </c>
      <c r="C917" s="9">
        <v>3</v>
      </c>
      <c r="D917" s="9" t="s">
        <v>2238</v>
      </c>
      <c r="E917" s="9" t="s">
        <v>2239</v>
      </c>
      <c r="F917" s="37" t="s">
        <v>2251</v>
      </c>
      <c r="G917" s="37" t="s">
        <v>2252</v>
      </c>
      <c r="H917" s="37">
        <v>40</v>
      </c>
      <c r="I917" s="37">
        <v>1249</v>
      </c>
      <c r="J917" s="38" t="s">
        <v>2253</v>
      </c>
      <c r="K917" s="38" t="s">
        <v>25</v>
      </c>
      <c r="L917" s="39" t="s">
        <v>26</v>
      </c>
      <c r="M917" s="39" t="s">
        <v>26</v>
      </c>
      <c r="N917" s="44">
        <v>40.668642604663603</v>
      </c>
      <c r="O917" s="44">
        <v>-76.972133990178506</v>
      </c>
      <c r="P917" s="41">
        <f>71+63</f>
        <v>134</v>
      </c>
      <c r="Q917" s="42">
        <v>44272</v>
      </c>
      <c r="R917" s="41" t="s">
        <v>1530</v>
      </c>
      <c r="S917" s="41" t="s">
        <v>517</v>
      </c>
      <c r="T917" s="24">
        <f t="shared" si="28"/>
        <v>135.072</v>
      </c>
    </row>
    <row r="918" spans="1:20" x14ac:dyDescent="0.25">
      <c r="A918" s="36">
        <v>918</v>
      </c>
      <c r="B918" s="36" t="s">
        <v>1524</v>
      </c>
      <c r="C918" s="36">
        <v>3</v>
      </c>
      <c r="D918" s="36" t="s">
        <v>2238</v>
      </c>
      <c r="E918" s="36" t="s">
        <v>1098</v>
      </c>
      <c r="F918" s="37" t="s">
        <v>2254</v>
      </c>
      <c r="G918" s="37" t="s">
        <v>2252</v>
      </c>
      <c r="H918" s="37">
        <v>240</v>
      </c>
      <c r="I918" s="37">
        <v>1386</v>
      </c>
      <c r="J918" s="38" t="s">
        <v>2255</v>
      </c>
      <c r="K918" s="38" t="s">
        <v>25</v>
      </c>
      <c r="L918" s="39" t="s">
        <v>26</v>
      </c>
      <c r="M918" s="39" t="s">
        <v>26</v>
      </c>
      <c r="N918" s="40">
        <v>40.783328069428002</v>
      </c>
      <c r="O918" s="40">
        <v>-77.042892487909</v>
      </c>
      <c r="P918" s="41">
        <f>26+26</f>
        <v>52</v>
      </c>
      <c r="Q918" s="42">
        <v>44263</v>
      </c>
      <c r="R918" s="41" t="s">
        <v>1530</v>
      </c>
      <c r="S918" s="41" t="s">
        <v>517</v>
      </c>
      <c r="T918" s="24">
        <f t="shared" si="28"/>
        <v>52.415999999999997</v>
      </c>
    </row>
    <row r="919" spans="1:20" x14ac:dyDescent="0.25">
      <c r="A919" s="9">
        <v>919</v>
      </c>
      <c r="B919" s="9" t="s">
        <v>1524</v>
      </c>
      <c r="C919" s="9">
        <v>3</v>
      </c>
      <c r="D919" s="9" t="s">
        <v>2238</v>
      </c>
      <c r="E919" s="9" t="s">
        <v>2256</v>
      </c>
      <c r="F919" s="37" t="s">
        <v>77</v>
      </c>
      <c r="G919" s="37" t="s">
        <v>2252</v>
      </c>
      <c r="H919" s="37">
        <v>260</v>
      </c>
      <c r="I919" s="37">
        <v>187</v>
      </c>
      <c r="J919" s="38" t="s">
        <v>2257</v>
      </c>
      <c r="K919" s="38" t="s">
        <v>25</v>
      </c>
      <c r="L919" s="39" t="s">
        <v>26</v>
      </c>
      <c r="M919" s="39" t="s">
        <v>26</v>
      </c>
      <c r="N919" s="44">
        <v>40.792536811681401</v>
      </c>
      <c r="O919" s="44">
        <v>-77.046159737931504</v>
      </c>
      <c r="P919" s="41">
        <f>169+225</f>
        <v>394</v>
      </c>
      <c r="Q919" s="42">
        <v>44263</v>
      </c>
      <c r="R919" s="41" t="s">
        <v>1530</v>
      </c>
      <c r="S919" s="41" t="s">
        <v>517</v>
      </c>
      <c r="T919" s="24">
        <f t="shared" si="28"/>
        <v>397.15199999999999</v>
      </c>
    </row>
    <row r="920" spans="1:20" x14ac:dyDescent="0.25">
      <c r="A920" s="36">
        <v>920</v>
      </c>
      <c r="B920" s="36" t="s">
        <v>1524</v>
      </c>
      <c r="C920" s="36">
        <v>3</v>
      </c>
      <c r="D920" s="36" t="s">
        <v>2238</v>
      </c>
      <c r="E920" s="36" t="s">
        <v>1201</v>
      </c>
      <c r="F920" s="37" t="s">
        <v>2251</v>
      </c>
      <c r="G920" s="37" t="s">
        <v>2252</v>
      </c>
      <c r="H920" s="37">
        <v>320</v>
      </c>
      <c r="I920" s="37">
        <v>1786</v>
      </c>
      <c r="J920" s="38" t="s">
        <v>2258</v>
      </c>
      <c r="K920" s="38" t="s">
        <v>25</v>
      </c>
      <c r="L920" s="39" t="s">
        <v>26</v>
      </c>
      <c r="M920" s="39" t="s">
        <v>26</v>
      </c>
      <c r="N920" s="40">
        <v>40.827168098605298</v>
      </c>
      <c r="O920" s="40">
        <v>-77.051826000659702</v>
      </c>
      <c r="P920" s="41">
        <f>143+129</f>
        <v>272</v>
      </c>
      <c r="Q920" s="42">
        <v>44259</v>
      </c>
      <c r="R920" s="41" t="s">
        <v>1530</v>
      </c>
      <c r="S920" s="41" t="s">
        <v>38</v>
      </c>
      <c r="T920" s="24">
        <f t="shared" si="28"/>
        <v>274.17599999999999</v>
      </c>
    </row>
    <row r="921" spans="1:20" x14ac:dyDescent="0.25">
      <c r="A921" s="9">
        <v>921</v>
      </c>
      <c r="B921" s="9" t="s">
        <v>1524</v>
      </c>
      <c r="C921" s="9">
        <v>3</v>
      </c>
      <c r="D921" s="9" t="s">
        <v>2238</v>
      </c>
      <c r="E921" s="9" t="s">
        <v>1201</v>
      </c>
      <c r="F921" s="37" t="s">
        <v>2251</v>
      </c>
      <c r="G921" s="37" t="s">
        <v>2252</v>
      </c>
      <c r="H921" s="37">
        <v>330</v>
      </c>
      <c r="I921" s="37">
        <v>1352</v>
      </c>
      <c r="J921" s="38" t="s">
        <v>156</v>
      </c>
      <c r="K921" s="38" t="s">
        <v>25</v>
      </c>
      <c r="L921" s="39" t="s">
        <v>26</v>
      </c>
      <c r="M921" s="39" t="s">
        <v>26</v>
      </c>
      <c r="N921" s="44">
        <v>40.832725060475802</v>
      </c>
      <c r="O921" s="44">
        <v>-77.056000144822505</v>
      </c>
      <c r="P921" s="41">
        <f>318+324</f>
        <v>642</v>
      </c>
      <c r="Q921" s="42">
        <v>44259</v>
      </c>
      <c r="R921" s="41" t="s">
        <v>1530</v>
      </c>
      <c r="S921" s="41" t="s">
        <v>517</v>
      </c>
      <c r="T921" s="24">
        <f t="shared" si="28"/>
        <v>647.13599999999997</v>
      </c>
    </row>
    <row r="922" spans="1:20" x14ac:dyDescent="0.25">
      <c r="A922" s="36">
        <v>922</v>
      </c>
      <c r="B922" s="36" t="s">
        <v>1524</v>
      </c>
      <c r="C922" s="36">
        <v>3</v>
      </c>
      <c r="D922" s="36" t="s">
        <v>2238</v>
      </c>
      <c r="E922" s="36" t="s">
        <v>286</v>
      </c>
      <c r="F922" s="37" t="s">
        <v>2259</v>
      </c>
      <c r="G922" s="37" t="s">
        <v>469</v>
      </c>
      <c r="H922" s="37">
        <v>170</v>
      </c>
      <c r="I922" s="37">
        <v>1001</v>
      </c>
      <c r="J922" s="38" t="s">
        <v>45</v>
      </c>
      <c r="K922" s="38" t="s">
        <v>25</v>
      </c>
      <c r="L922" s="39" t="s">
        <v>26</v>
      </c>
      <c r="M922" s="39" t="s">
        <v>26</v>
      </c>
      <c r="N922" s="40">
        <v>40.748336592055502</v>
      </c>
      <c r="O922" s="40">
        <v>-77.210213341967801</v>
      </c>
      <c r="P922" s="41">
        <f>505+536</f>
        <v>1041</v>
      </c>
      <c r="Q922" s="42">
        <v>44277</v>
      </c>
      <c r="R922" s="41" t="s">
        <v>1530</v>
      </c>
      <c r="S922" s="41" t="s">
        <v>38</v>
      </c>
      <c r="T922" s="24">
        <f t="shared" si="28"/>
        <v>1049.328</v>
      </c>
    </row>
    <row r="923" spans="1:20" x14ac:dyDescent="0.25">
      <c r="A923" s="9">
        <v>923</v>
      </c>
      <c r="B923" s="9" t="s">
        <v>1524</v>
      </c>
      <c r="C923" s="9">
        <v>3</v>
      </c>
      <c r="D923" s="9" t="s">
        <v>2238</v>
      </c>
      <c r="E923" s="9" t="s">
        <v>2260</v>
      </c>
      <c r="F923" s="37" t="s">
        <v>233</v>
      </c>
      <c r="G923" s="37" t="s">
        <v>469</v>
      </c>
      <c r="H923" s="37">
        <v>220</v>
      </c>
      <c r="I923" s="37">
        <v>830</v>
      </c>
      <c r="J923" s="38" t="s">
        <v>2261</v>
      </c>
      <c r="K923" s="38" t="s">
        <v>25</v>
      </c>
      <c r="L923" s="39" t="s">
        <v>26</v>
      </c>
      <c r="M923" s="39" t="s">
        <v>26</v>
      </c>
      <c r="N923" s="44">
        <v>40.753247953672798</v>
      </c>
      <c r="O923" s="44">
        <v>-77.170907195620998</v>
      </c>
      <c r="P923" s="41">
        <f>52+49</f>
        <v>101</v>
      </c>
      <c r="Q923" s="42">
        <v>44277</v>
      </c>
      <c r="R923" s="41" t="s">
        <v>1530</v>
      </c>
      <c r="S923" s="41" t="s">
        <v>517</v>
      </c>
      <c r="T923" s="24">
        <f t="shared" si="28"/>
        <v>101.80800000000001</v>
      </c>
    </row>
    <row r="924" spans="1:20" x14ac:dyDescent="0.25">
      <c r="A924" s="36">
        <v>924</v>
      </c>
      <c r="B924" s="36" t="s">
        <v>1524</v>
      </c>
      <c r="C924" s="36">
        <v>3</v>
      </c>
      <c r="D924" s="36" t="s">
        <v>2238</v>
      </c>
      <c r="E924" s="36" t="s">
        <v>2260</v>
      </c>
      <c r="F924" s="37" t="s">
        <v>233</v>
      </c>
      <c r="G924" s="37" t="s">
        <v>469</v>
      </c>
      <c r="H924" s="37">
        <v>220</v>
      </c>
      <c r="I924" s="37">
        <v>1242</v>
      </c>
      <c r="J924" s="38" t="s">
        <v>2097</v>
      </c>
      <c r="K924" s="38" t="s">
        <v>25</v>
      </c>
      <c r="L924" s="39" t="s">
        <v>26</v>
      </c>
      <c r="M924" s="39" t="s">
        <v>26</v>
      </c>
      <c r="N924" s="40">
        <v>40.753738846355901</v>
      </c>
      <c r="O924" s="40">
        <v>-77.169578628642199</v>
      </c>
      <c r="P924" s="41">
        <f>235+235</f>
        <v>470</v>
      </c>
      <c r="Q924" s="42">
        <v>44277</v>
      </c>
      <c r="R924" s="41" t="s">
        <v>1530</v>
      </c>
      <c r="S924" s="41" t="s">
        <v>38</v>
      </c>
      <c r="T924" s="24">
        <f t="shared" si="28"/>
        <v>473.76</v>
      </c>
    </row>
    <row r="925" spans="1:20" x14ac:dyDescent="0.25">
      <c r="A925" s="9">
        <v>925</v>
      </c>
      <c r="B925" s="9" t="s">
        <v>1524</v>
      </c>
      <c r="C925" s="9">
        <v>3</v>
      </c>
      <c r="D925" s="9" t="s">
        <v>2238</v>
      </c>
      <c r="E925" s="9" t="s">
        <v>2260</v>
      </c>
      <c r="F925" s="37" t="s">
        <v>233</v>
      </c>
      <c r="G925" s="37" t="s">
        <v>469</v>
      </c>
      <c r="H925" s="37">
        <v>220</v>
      </c>
      <c r="I925" s="37">
        <v>2807</v>
      </c>
      <c r="J925" s="38" t="s">
        <v>2262</v>
      </c>
      <c r="K925" s="38" t="s">
        <v>25</v>
      </c>
      <c r="L925" s="39" t="s">
        <v>26</v>
      </c>
      <c r="M925" s="39" t="s">
        <v>26</v>
      </c>
      <c r="N925" s="44">
        <v>40.755800995951397</v>
      </c>
      <c r="O925" s="44">
        <v>-77.164615939422404</v>
      </c>
      <c r="P925" s="41">
        <f>197+181</f>
        <v>378</v>
      </c>
      <c r="Q925" s="42">
        <v>44277</v>
      </c>
      <c r="R925" s="41" t="s">
        <v>1530</v>
      </c>
      <c r="S925" s="41" t="s">
        <v>38</v>
      </c>
      <c r="T925" s="24">
        <f t="shared" si="28"/>
        <v>381.024</v>
      </c>
    </row>
    <row r="926" spans="1:20" x14ac:dyDescent="0.25">
      <c r="A926" s="36">
        <v>926</v>
      </c>
      <c r="B926" s="36" t="s">
        <v>1524</v>
      </c>
      <c r="C926" s="36">
        <v>3</v>
      </c>
      <c r="D926" s="36" t="s">
        <v>2238</v>
      </c>
      <c r="E926" s="36" t="s">
        <v>2256</v>
      </c>
      <c r="F926" s="37" t="s">
        <v>77</v>
      </c>
      <c r="G926" s="37" t="s">
        <v>469</v>
      </c>
      <c r="H926" s="37">
        <v>390</v>
      </c>
      <c r="I926" s="37">
        <v>794</v>
      </c>
      <c r="J926" s="38" t="s">
        <v>596</v>
      </c>
      <c r="K926" s="38" t="s">
        <v>25</v>
      </c>
      <c r="L926" s="39" t="s">
        <v>26</v>
      </c>
      <c r="M926" s="39" t="s">
        <v>26</v>
      </c>
      <c r="N926" s="40">
        <v>40.789726820350701</v>
      </c>
      <c r="O926" s="40">
        <v>-77.045632710634393</v>
      </c>
      <c r="P926" s="41">
        <f>421+474</f>
        <v>895</v>
      </c>
      <c r="Q926" s="42">
        <v>44263</v>
      </c>
      <c r="R926" s="41" t="s">
        <v>1530</v>
      </c>
      <c r="S926" s="41" t="s">
        <v>28</v>
      </c>
      <c r="T926" s="24">
        <f t="shared" si="28"/>
        <v>902.16</v>
      </c>
    </row>
    <row r="927" spans="1:20" x14ac:dyDescent="0.25">
      <c r="A927" s="9">
        <v>927</v>
      </c>
      <c r="B927" s="9" t="s">
        <v>1524</v>
      </c>
      <c r="C927" s="9">
        <v>3</v>
      </c>
      <c r="D927" s="9" t="s">
        <v>2238</v>
      </c>
      <c r="E927" s="9" t="s">
        <v>2256</v>
      </c>
      <c r="F927" s="37" t="s">
        <v>2259</v>
      </c>
      <c r="G927" s="37" t="s">
        <v>469</v>
      </c>
      <c r="H927" s="37">
        <v>410</v>
      </c>
      <c r="I927" s="37">
        <v>0</v>
      </c>
      <c r="J927" s="38" t="s">
        <v>2263</v>
      </c>
      <c r="K927" s="38" t="s">
        <v>25</v>
      </c>
      <c r="L927" s="39" t="s">
        <v>26</v>
      </c>
      <c r="M927" s="39" t="s">
        <v>26</v>
      </c>
      <c r="N927" s="44">
        <v>40.789680984753304</v>
      </c>
      <c r="O927" s="44">
        <v>-77.034699164453698</v>
      </c>
      <c r="P927" s="41">
        <f>780+771</f>
        <v>1551</v>
      </c>
      <c r="Q927" s="42">
        <v>44263</v>
      </c>
      <c r="R927" s="41" t="s">
        <v>1530</v>
      </c>
      <c r="S927" s="41" t="s">
        <v>34</v>
      </c>
      <c r="T927" s="24">
        <f t="shared" si="28"/>
        <v>1563.4079999999999</v>
      </c>
    </row>
    <row r="928" spans="1:20" x14ac:dyDescent="0.25">
      <c r="A928" s="36">
        <v>928</v>
      </c>
      <c r="B928" s="36" t="s">
        <v>1524</v>
      </c>
      <c r="C928" s="36">
        <v>3</v>
      </c>
      <c r="D928" s="36" t="s">
        <v>2238</v>
      </c>
      <c r="E928" s="36" t="s">
        <v>2264</v>
      </c>
      <c r="F928" s="37" t="s">
        <v>2259</v>
      </c>
      <c r="G928" s="37" t="s">
        <v>469</v>
      </c>
      <c r="H928" s="43">
        <v>480</v>
      </c>
      <c r="I928" s="43">
        <v>1194</v>
      </c>
      <c r="J928" s="38" t="s">
        <v>2265</v>
      </c>
      <c r="K928" s="38" t="s">
        <v>25</v>
      </c>
      <c r="L928" s="38" t="s">
        <v>26</v>
      </c>
      <c r="M928" s="38" t="s">
        <v>26</v>
      </c>
      <c r="N928" s="40">
        <v>40.804853807207401</v>
      </c>
      <c r="O928" s="40">
        <v>-76.964456589745595</v>
      </c>
      <c r="P928" s="41">
        <v>1652</v>
      </c>
      <c r="Q928" s="42">
        <v>44263</v>
      </c>
      <c r="R928" s="41" t="s">
        <v>27</v>
      </c>
      <c r="S928" s="41" t="s">
        <v>28</v>
      </c>
      <c r="T928" s="24">
        <f t="shared" si="28"/>
        <v>1665.2160000000001</v>
      </c>
    </row>
    <row r="929" spans="1:20" x14ac:dyDescent="0.25">
      <c r="A929" s="9">
        <v>929</v>
      </c>
      <c r="B929" s="9" t="s">
        <v>1524</v>
      </c>
      <c r="C929" s="9">
        <v>3</v>
      </c>
      <c r="D929" s="9" t="s">
        <v>2238</v>
      </c>
      <c r="E929" s="9" t="s">
        <v>2266</v>
      </c>
      <c r="F929" s="37" t="s">
        <v>2259</v>
      </c>
      <c r="G929" s="37" t="s">
        <v>469</v>
      </c>
      <c r="H929" s="43">
        <v>600</v>
      </c>
      <c r="I929" s="43">
        <v>1891</v>
      </c>
      <c r="J929" s="38" t="s">
        <v>2267</v>
      </c>
      <c r="K929" s="38" t="s">
        <v>25</v>
      </c>
      <c r="L929" s="38" t="s">
        <v>26</v>
      </c>
      <c r="M929" s="38" t="s">
        <v>26</v>
      </c>
      <c r="N929" s="44">
        <v>40.811181946598602</v>
      </c>
      <c r="O929" s="44">
        <v>-76.859975927342006</v>
      </c>
      <c r="P929" s="41">
        <f>208+220</f>
        <v>428</v>
      </c>
      <c r="Q929" s="42">
        <v>44267</v>
      </c>
      <c r="R929" s="41" t="s">
        <v>1530</v>
      </c>
      <c r="S929" s="41" t="s">
        <v>38</v>
      </c>
      <c r="T929" s="24">
        <f t="shared" si="28"/>
        <v>431.42399999999998</v>
      </c>
    </row>
    <row r="930" spans="1:20" x14ac:dyDescent="0.25">
      <c r="A930" s="36">
        <v>930</v>
      </c>
      <c r="B930" s="36" t="s">
        <v>1524</v>
      </c>
      <c r="C930" s="36">
        <v>3</v>
      </c>
      <c r="D930" s="36" t="s">
        <v>2238</v>
      </c>
      <c r="E930" s="36" t="s">
        <v>2266</v>
      </c>
      <c r="F930" s="37" t="s">
        <v>2259</v>
      </c>
      <c r="G930" s="37" t="s">
        <v>469</v>
      </c>
      <c r="H930" s="43">
        <v>600</v>
      </c>
      <c r="I930" s="43">
        <v>2375</v>
      </c>
      <c r="J930" s="38" t="s">
        <v>2104</v>
      </c>
      <c r="K930" s="38" t="s">
        <v>25</v>
      </c>
      <c r="L930" s="38" t="s">
        <v>26</v>
      </c>
      <c r="M930" s="38" t="s">
        <v>26</v>
      </c>
      <c r="N930" s="40">
        <v>40.811525736775103</v>
      </c>
      <c r="O930" s="40">
        <v>-76.858294393046705</v>
      </c>
      <c r="P930" s="41">
        <f>243+234</f>
        <v>477</v>
      </c>
      <c r="Q930" s="42">
        <v>44267</v>
      </c>
      <c r="R930" s="41" t="s">
        <v>1530</v>
      </c>
      <c r="S930" s="41" t="s">
        <v>38</v>
      </c>
      <c r="T930" s="24">
        <f t="shared" si="28"/>
        <v>480.81600000000003</v>
      </c>
    </row>
    <row r="931" spans="1:20" x14ac:dyDescent="0.25">
      <c r="A931" s="9">
        <v>931</v>
      </c>
      <c r="B931" s="9" t="s">
        <v>1524</v>
      </c>
      <c r="C931" s="9">
        <v>3</v>
      </c>
      <c r="D931" s="9" t="s">
        <v>2238</v>
      </c>
      <c r="E931" s="9" t="s">
        <v>1098</v>
      </c>
      <c r="F931" s="37" t="s">
        <v>2268</v>
      </c>
      <c r="G931" s="37" t="s">
        <v>481</v>
      </c>
      <c r="H931" s="37">
        <v>40</v>
      </c>
      <c r="I931" s="37">
        <v>630</v>
      </c>
      <c r="J931" s="38" t="s">
        <v>2269</v>
      </c>
      <c r="K931" s="38" t="s">
        <v>25</v>
      </c>
      <c r="L931" s="39" t="s">
        <v>26</v>
      </c>
      <c r="M931" s="39" t="s">
        <v>26</v>
      </c>
      <c r="N931" s="44">
        <v>40.806318709483897</v>
      </c>
      <c r="O931" s="44">
        <v>-77.024969808646503</v>
      </c>
      <c r="P931" s="41">
        <v>428</v>
      </c>
      <c r="Q931" s="42">
        <v>44263</v>
      </c>
      <c r="R931" s="41" t="s">
        <v>27</v>
      </c>
      <c r="S931" s="41" t="s">
        <v>38</v>
      </c>
      <c r="T931" s="24">
        <f t="shared" si="28"/>
        <v>431.42399999999998</v>
      </c>
    </row>
    <row r="932" spans="1:20" x14ac:dyDescent="0.25">
      <c r="A932" s="36">
        <v>932</v>
      </c>
      <c r="B932" s="36" t="s">
        <v>1524</v>
      </c>
      <c r="C932" s="36">
        <v>3</v>
      </c>
      <c r="D932" s="36" t="s">
        <v>2238</v>
      </c>
      <c r="E932" s="36" t="s">
        <v>1063</v>
      </c>
      <c r="F932" s="37" t="s">
        <v>2270</v>
      </c>
      <c r="G932" s="37" t="s">
        <v>1867</v>
      </c>
      <c r="H932" s="43">
        <v>30</v>
      </c>
      <c r="I932" s="43">
        <v>0</v>
      </c>
      <c r="J932" s="38" t="s">
        <v>2271</v>
      </c>
      <c r="K932" s="38" t="s">
        <v>2272</v>
      </c>
      <c r="L932" s="38" t="s">
        <v>26</v>
      </c>
      <c r="M932" s="38" t="s">
        <v>26</v>
      </c>
      <c r="N932" s="40">
        <v>40.800806501331699</v>
      </c>
      <c r="O932" s="40">
        <v>-76.882675572902897</v>
      </c>
      <c r="P932" s="41">
        <f>199</f>
        <v>199</v>
      </c>
      <c r="Q932" s="42">
        <v>44267</v>
      </c>
      <c r="R932" s="41" t="s">
        <v>27</v>
      </c>
      <c r="S932" s="41" t="s">
        <v>38</v>
      </c>
      <c r="T932" s="24">
        <f t="shared" si="28"/>
        <v>200.59200000000001</v>
      </c>
    </row>
    <row r="933" spans="1:20" x14ac:dyDescent="0.25">
      <c r="A933" s="9">
        <v>933</v>
      </c>
      <c r="B933" s="9" t="s">
        <v>1524</v>
      </c>
      <c r="C933" s="9">
        <v>3</v>
      </c>
      <c r="D933" s="9" t="s">
        <v>2238</v>
      </c>
      <c r="E933" s="9" t="s">
        <v>2246</v>
      </c>
      <c r="F933" s="37" t="s">
        <v>2273</v>
      </c>
      <c r="G933" s="37" t="s">
        <v>2274</v>
      </c>
      <c r="H933" s="43">
        <v>10</v>
      </c>
      <c r="I933" s="43">
        <v>1237</v>
      </c>
      <c r="J933" s="38" t="s">
        <v>2275</v>
      </c>
      <c r="K933" s="38" t="s">
        <v>25</v>
      </c>
      <c r="L933" s="38" t="s">
        <v>26</v>
      </c>
      <c r="M933" s="38" t="s">
        <v>26</v>
      </c>
      <c r="N933" s="44">
        <v>40.846746061387002</v>
      </c>
      <c r="O933" s="44">
        <v>-76.825360831446105</v>
      </c>
      <c r="P933" s="41">
        <f>1030</f>
        <v>1030</v>
      </c>
      <c r="Q933" s="42">
        <v>44267</v>
      </c>
      <c r="R933" s="41" t="s">
        <v>27</v>
      </c>
      <c r="S933" s="41" t="s">
        <v>517</v>
      </c>
      <c r="T933" s="24">
        <f t="shared" si="28"/>
        <v>1038.24</v>
      </c>
    </row>
    <row r="934" spans="1:20" x14ac:dyDescent="0.25">
      <c r="A934" s="36">
        <v>934</v>
      </c>
      <c r="B934" s="36" t="s">
        <v>1524</v>
      </c>
      <c r="C934" s="36">
        <v>3</v>
      </c>
      <c r="D934" s="36" t="s">
        <v>2238</v>
      </c>
      <c r="E934" s="36" t="s">
        <v>542</v>
      </c>
      <c r="F934" s="37" t="s">
        <v>2276</v>
      </c>
      <c r="G934" s="37" t="s">
        <v>2277</v>
      </c>
      <c r="H934" s="43">
        <v>30</v>
      </c>
      <c r="I934" s="43">
        <v>2207</v>
      </c>
      <c r="J934" s="38" t="s">
        <v>2278</v>
      </c>
      <c r="K934" s="38" t="s">
        <v>25</v>
      </c>
      <c r="L934" s="38" t="s">
        <v>26</v>
      </c>
      <c r="M934" s="38" t="s">
        <v>26</v>
      </c>
      <c r="N934" s="40">
        <v>40.824712353506897</v>
      </c>
      <c r="O934" s="40">
        <v>-76.840711259147696</v>
      </c>
      <c r="P934" s="41">
        <f>1640+1816</f>
        <v>3456</v>
      </c>
      <c r="Q934" s="42">
        <v>44267</v>
      </c>
      <c r="R934" s="41" t="s">
        <v>1530</v>
      </c>
      <c r="S934" s="41" t="s">
        <v>517</v>
      </c>
      <c r="T934" s="24">
        <f t="shared" si="28"/>
        <v>3483.6480000000001</v>
      </c>
    </row>
    <row r="935" spans="1:20" x14ac:dyDescent="0.25">
      <c r="A935" s="9">
        <v>935</v>
      </c>
      <c r="B935" s="9" t="s">
        <v>1524</v>
      </c>
      <c r="C935" s="9">
        <v>3</v>
      </c>
      <c r="D935" s="9" t="s">
        <v>2238</v>
      </c>
      <c r="E935" s="9" t="s">
        <v>2266</v>
      </c>
      <c r="F935" s="37" t="s">
        <v>233</v>
      </c>
      <c r="G935" s="37" t="s">
        <v>2279</v>
      </c>
      <c r="H935" s="43">
        <v>70</v>
      </c>
      <c r="I935" s="43">
        <v>535</v>
      </c>
      <c r="J935" s="38" t="s">
        <v>2280</v>
      </c>
      <c r="K935" s="38" t="s">
        <v>25</v>
      </c>
      <c r="L935" s="38" t="s">
        <v>26</v>
      </c>
      <c r="M935" s="38" t="s">
        <v>26</v>
      </c>
      <c r="N935" s="44">
        <v>40.808371120443098</v>
      </c>
      <c r="O935" s="44">
        <v>-76.857158674928101</v>
      </c>
      <c r="P935" s="41">
        <f>168+97</f>
        <v>265</v>
      </c>
      <c r="Q935" s="42">
        <v>44267</v>
      </c>
      <c r="R935" s="41" t="s">
        <v>1530</v>
      </c>
      <c r="S935" s="41" t="s">
        <v>517</v>
      </c>
      <c r="T935" s="24">
        <f t="shared" si="28"/>
        <v>267.12</v>
      </c>
    </row>
    <row r="936" spans="1:20" x14ac:dyDescent="0.25">
      <c r="A936" s="36">
        <v>966</v>
      </c>
      <c r="B936" s="36" t="s">
        <v>1524</v>
      </c>
      <c r="C936" s="36">
        <v>3</v>
      </c>
      <c r="D936" s="36" t="s">
        <v>638</v>
      </c>
      <c r="E936" s="36" t="s">
        <v>472</v>
      </c>
      <c r="F936" s="37" t="s">
        <v>567</v>
      </c>
      <c r="G936" s="37" t="s">
        <v>568</v>
      </c>
      <c r="H936" s="43">
        <v>80</v>
      </c>
      <c r="I936" s="43">
        <v>0</v>
      </c>
      <c r="J936" s="38" t="s">
        <v>2281</v>
      </c>
      <c r="K936" s="38" t="s">
        <v>25</v>
      </c>
      <c r="L936" s="38" t="s">
        <v>26</v>
      </c>
      <c r="M936" s="38" t="s">
        <v>26</v>
      </c>
      <c r="N936" s="40">
        <v>40.919560099402801</v>
      </c>
      <c r="O936" s="40">
        <v>-76.858215445744605</v>
      </c>
      <c r="P936" s="41">
        <f>129</f>
        <v>129</v>
      </c>
      <c r="Q936" s="42">
        <v>44272</v>
      </c>
      <c r="R936" s="41" t="s">
        <v>27</v>
      </c>
      <c r="S936" s="41" t="s">
        <v>517</v>
      </c>
      <c r="T936" s="24">
        <f t="shared" si="28"/>
        <v>130.03200000000001</v>
      </c>
    </row>
    <row r="937" spans="1:20" x14ac:dyDescent="0.25">
      <c r="A937" s="9">
        <v>967</v>
      </c>
      <c r="B937" s="9" t="s">
        <v>1524</v>
      </c>
      <c r="C937" s="9">
        <v>3</v>
      </c>
      <c r="D937" s="9" t="s">
        <v>638</v>
      </c>
      <c r="E937" s="9" t="s">
        <v>2282</v>
      </c>
      <c r="F937" s="37" t="s">
        <v>2283</v>
      </c>
      <c r="G937" s="37" t="s">
        <v>568</v>
      </c>
      <c r="H937" s="43">
        <v>170</v>
      </c>
      <c r="I937" s="43">
        <v>809</v>
      </c>
      <c r="J937" s="38" t="s">
        <v>2284</v>
      </c>
      <c r="K937" s="38" t="s">
        <v>25</v>
      </c>
      <c r="L937" s="38" t="s">
        <v>26</v>
      </c>
      <c r="M937" s="38" t="s">
        <v>26</v>
      </c>
      <c r="N937" s="44">
        <v>40.957728118837899</v>
      </c>
      <c r="O937" s="44">
        <v>-76.891603186293196</v>
      </c>
      <c r="P937" s="41">
        <f>67+432</f>
        <v>499</v>
      </c>
      <c r="Q937" s="42">
        <v>44257</v>
      </c>
      <c r="R937" s="41" t="s">
        <v>1530</v>
      </c>
      <c r="S937" s="41" t="s">
        <v>517</v>
      </c>
      <c r="T937" s="24">
        <f t="shared" si="28"/>
        <v>502.99200000000002</v>
      </c>
    </row>
    <row r="938" spans="1:20" x14ac:dyDescent="0.25">
      <c r="A938" s="36">
        <v>968</v>
      </c>
      <c r="B938" s="36" t="s">
        <v>1524</v>
      </c>
      <c r="C938" s="36">
        <v>3</v>
      </c>
      <c r="D938" s="36" t="s">
        <v>638</v>
      </c>
      <c r="E938" s="36" t="s">
        <v>2285</v>
      </c>
      <c r="F938" s="37" t="s">
        <v>567</v>
      </c>
      <c r="G938" s="37" t="s">
        <v>568</v>
      </c>
      <c r="H938" s="43">
        <v>210</v>
      </c>
      <c r="I938" s="43">
        <v>978</v>
      </c>
      <c r="J938" s="38" t="s">
        <v>2286</v>
      </c>
      <c r="K938" s="38" t="s">
        <v>25</v>
      </c>
      <c r="L938" s="38" t="s">
        <v>26</v>
      </c>
      <c r="M938" s="38" t="s">
        <v>26</v>
      </c>
      <c r="N938" s="40">
        <v>40.977366055878299</v>
      </c>
      <c r="O938" s="40">
        <v>-76.886686292720299</v>
      </c>
      <c r="P938" s="41">
        <f>1320+1305</f>
        <v>2625</v>
      </c>
      <c r="Q938" s="42">
        <v>44257</v>
      </c>
      <c r="R938" s="41" t="s">
        <v>1530</v>
      </c>
      <c r="S938" s="41" t="s">
        <v>517</v>
      </c>
      <c r="T938" s="24">
        <f t="shared" si="28"/>
        <v>2646</v>
      </c>
    </row>
    <row r="939" spans="1:20" x14ac:dyDescent="0.25">
      <c r="A939" s="9">
        <v>969</v>
      </c>
      <c r="B939" s="9" t="s">
        <v>1524</v>
      </c>
      <c r="C939" s="9">
        <v>3</v>
      </c>
      <c r="D939" s="9" t="s">
        <v>638</v>
      </c>
      <c r="E939" s="9" t="s">
        <v>2285</v>
      </c>
      <c r="F939" s="37" t="s">
        <v>567</v>
      </c>
      <c r="G939" s="37" t="s">
        <v>568</v>
      </c>
      <c r="H939" s="43">
        <v>220</v>
      </c>
      <c r="I939" s="43">
        <v>1331</v>
      </c>
      <c r="J939" s="38" t="s">
        <v>2287</v>
      </c>
      <c r="K939" s="38" t="s">
        <v>25</v>
      </c>
      <c r="L939" s="38" t="s">
        <v>26</v>
      </c>
      <c r="M939" s="38" t="s">
        <v>26</v>
      </c>
      <c r="N939" s="44">
        <v>40.982794387629603</v>
      </c>
      <c r="O939" s="44">
        <v>-76.882125596588196</v>
      </c>
      <c r="P939" s="41">
        <f>992+772</f>
        <v>1764</v>
      </c>
      <c r="Q939" s="42">
        <v>44257</v>
      </c>
      <c r="R939" s="41" t="s">
        <v>1530</v>
      </c>
      <c r="S939" s="41" t="s">
        <v>517</v>
      </c>
      <c r="T939" s="24">
        <f t="shared" si="28"/>
        <v>1778.1120000000001</v>
      </c>
    </row>
    <row r="940" spans="1:20" x14ac:dyDescent="0.25">
      <c r="A940" s="36">
        <v>970</v>
      </c>
      <c r="B940" s="36" t="s">
        <v>1524</v>
      </c>
      <c r="C940" s="36">
        <v>3</v>
      </c>
      <c r="D940" s="36" t="s">
        <v>638</v>
      </c>
      <c r="E940" s="36" t="s">
        <v>2285</v>
      </c>
      <c r="F940" s="37" t="s">
        <v>567</v>
      </c>
      <c r="G940" s="37" t="s">
        <v>568</v>
      </c>
      <c r="H940" s="43">
        <v>250</v>
      </c>
      <c r="I940" s="43">
        <v>0</v>
      </c>
      <c r="J940" s="38" t="s">
        <v>2288</v>
      </c>
      <c r="K940" s="38" t="s">
        <v>25</v>
      </c>
      <c r="L940" s="38" t="s">
        <v>26</v>
      </c>
      <c r="M940" s="38" t="s">
        <v>26</v>
      </c>
      <c r="N940" s="40">
        <v>40.994502728723397</v>
      </c>
      <c r="O940" s="40">
        <v>-76.872110038586996</v>
      </c>
      <c r="P940" s="41">
        <f>611+1076</f>
        <v>1687</v>
      </c>
      <c r="Q940" s="42">
        <v>44252</v>
      </c>
      <c r="R940" s="41" t="s">
        <v>1530</v>
      </c>
      <c r="S940" s="41" t="s">
        <v>517</v>
      </c>
      <c r="T940" s="24">
        <f t="shared" si="28"/>
        <v>1700.4960000000001</v>
      </c>
    </row>
    <row r="941" spans="1:20" x14ac:dyDescent="0.25">
      <c r="A941" s="9">
        <v>971</v>
      </c>
      <c r="B941" s="9" t="s">
        <v>1524</v>
      </c>
      <c r="C941" s="9">
        <v>3</v>
      </c>
      <c r="D941" s="9" t="s">
        <v>638</v>
      </c>
      <c r="E941" s="9" t="s">
        <v>272</v>
      </c>
      <c r="F941" s="37" t="s">
        <v>567</v>
      </c>
      <c r="G941" s="37" t="s">
        <v>568</v>
      </c>
      <c r="H941" s="43">
        <v>450</v>
      </c>
      <c r="I941" s="43">
        <v>334</v>
      </c>
      <c r="J941" s="38" t="s">
        <v>2289</v>
      </c>
      <c r="K941" s="38" t="s">
        <v>25</v>
      </c>
      <c r="L941" s="38" t="s">
        <v>26</v>
      </c>
      <c r="M941" s="38" t="s">
        <v>26</v>
      </c>
      <c r="N941" s="44">
        <v>41.108381581398</v>
      </c>
      <c r="O941" s="44">
        <v>-76.899300403798605</v>
      </c>
      <c r="P941" s="41">
        <f>70+46</f>
        <v>116</v>
      </c>
      <c r="Q941" s="42">
        <v>44252</v>
      </c>
      <c r="R941" s="41" t="s">
        <v>1530</v>
      </c>
      <c r="S941" s="41" t="s">
        <v>38</v>
      </c>
      <c r="T941" s="24">
        <f t="shared" si="28"/>
        <v>116.928</v>
      </c>
    </row>
    <row r="942" spans="1:20" x14ac:dyDescent="0.25">
      <c r="A942" s="36">
        <v>974</v>
      </c>
      <c r="B942" s="36" t="s">
        <v>1524</v>
      </c>
      <c r="C942" s="36">
        <v>3</v>
      </c>
      <c r="D942" s="36" t="s">
        <v>638</v>
      </c>
      <c r="E942" s="36" t="s">
        <v>2290</v>
      </c>
      <c r="F942" s="37" t="s">
        <v>2291</v>
      </c>
      <c r="G942" s="37" t="s">
        <v>268</v>
      </c>
      <c r="H942" s="43">
        <v>410</v>
      </c>
      <c r="I942" s="43">
        <v>1537</v>
      </c>
      <c r="J942" s="38" t="s">
        <v>2292</v>
      </c>
      <c r="K942" s="38" t="s">
        <v>25</v>
      </c>
      <c r="L942" s="38" t="s">
        <v>26</v>
      </c>
      <c r="M942" s="38" t="s">
        <v>26</v>
      </c>
      <c r="N942" s="40">
        <v>40.9530971796164</v>
      </c>
      <c r="O942" s="40">
        <v>-76.934066551944198</v>
      </c>
      <c r="P942" s="41">
        <v>204</v>
      </c>
      <c r="Q942" s="42">
        <v>44259</v>
      </c>
      <c r="R942" s="41" t="s">
        <v>27</v>
      </c>
      <c r="S942" s="41" t="s">
        <v>28</v>
      </c>
      <c r="T942" s="24">
        <f t="shared" si="28"/>
        <v>205.63200000000001</v>
      </c>
    </row>
    <row r="943" spans="1:20" x14ac:dyDescent="0.25">
      <c r="A943" s="9">
        <v>975</v>
      </c>
      <c r="B943" s="9" t="s">
        <v>1524</v>
      </c>
      <c r="C943" s="9">
        <v>3</v>
      </c>
      <c r="D943" s="9" t="s">
        <v>638</v>
      </c>
      <c r="E943" s="9" t="s">
        <v>2290</v>
      </c>
      <c r="F943" s="37" t="s">
        <v>233</v>
      </c>
      <c r="G943" s="37" t="s">
        <v>268</v>
      </c>
      <c r="H943" s="43">
        <v>450</v>
      </c>
      <c r="I943" s="43">
        <v>2242</v>
      </c>
      <c r="J943" s="38" t="s">
        <v>2293</v>
      </c>
      <c r="K943" s="38" t="s">
        <v>25</v>
      </c>
      <c r="L943" s="38" t="s">
        <v>26</v>
      </c>
      <c r="M943" s="38" t="s">
        <v>26</v>
      </c>
      <c r="N943" s="44">
        <v>40.959564034665199</v>
      </c>
      <c r="O943" s="44">
        <v>-76.894724707748296</v>
      </c>
      <c r="P943" s="41">
        <f>553+478</f>
        <v>1031</v>
      </c>
      <c r="Q943" s="42">
        <v>44257</v>
      </c>
      <c r="R943" s="41" t="s">
        <v>1530</v>
      </c>
      <c r="S943" s="41" t="s">
        <v>34</v>
      </c>
      <c r="T943" s="24">
        <f t="shared" si="28"/>
        <v>1039.248</v>
      </c>
    </row>
    <row r="944" spans="1:20" x14ac:dyDescent="0.25">
      <c r="A944" s="36">
        <v>976</v>
      </c>
      <c r="B944" s="36" t="s">
        <v>1524</v>
      </c>
      <c r="C944" s="36">
        <v>3</v>
      </c>
      <c r="D944" s="36" t="s">
        <v>638</v>
      </c>
      <c r="E944" s="36" t="s">
        <v>1244</v>
      </c>
      <c r="F944" s="37" t="s">
        <v>2251</v>
      </c>
      <c r="G944" s="37" t="s">
        <v>2252</v>
      </c>
      <c r="H944" s="37">
        <v>60</v>
      </c>
      <c r="I944" s="37">
        <v>0</v>
      </c>
      <c r="J944" s="38" t="s">
        <v>2294</v>
      </c>
      <c r="K944" s="38" t="s">
        <v>25</v>
      </c>
      <c r="L944" s="39" t="s">
        <v>26</v>
      </c>
      <c r="M944" s="39" t="s">
        <v>26</v>
      </c>
      <c r="N944" s="40">
        <v>40.902751209930202</v>
      </c>
      <c r="O944" s="40">
        <v>-77.053359008163</v>
      </c>
      <c r="P944" s="41">
        <f>147+130</f>
        <v>277</v>
      </c>
      <c r="Q944" s="42">
        <v>44259</v>
      </c>
      <c r="R944" s="41" t="s">
        <v>1530</v>
      </c>
      <c r="S944" s="41" t="s">
        <v>517</v>
      </c>
      <c r="T944" s="24">
        <f t="shared" si="28"/>
        <v>279.21600000000001</v>
      </c>
    </row>
    <row r="945" spans="1:20" x14ac:dyDescent="0.25">
      <c r="A945" s="9">
        <v>977</v>
      </c>
      <c r="B945" s="9" t="s">
        <v>1524</v>
      </c>
      <c r="C945" s="9">
        <v>3</v>
      </c>
      <c r="D945" s="9" t="s">
        <v>638</v>
      </c>
      <c r="E945" s="9" t="s">
        <v>2295</v>
      </c>
      <c r="F945" s="37" t="s">
        <v>148</v>
      </c>
      <c r="G945" s="37" t="s">
        <v>2296</v>
      </c>
      <c r="H945" s="37">
        <v>180</v>
      </c>
      <c r="I945" s="37">
        <v>0</v>
      </c>
      <c r="J945" s="38" t="s">
        <v>2297</v>
      </c>
      <c r="K945" s="38" t="s">
        <v>25</v>
      </c>
      <c r="L945" s="39" t="s">
        <v>26</v>
      </c>
      <c r="M945" s="39" t="s">
        <v>26</v>
      </c>
      <c r="N945" s="44">
        <v>40.981544126300598</v>
      </c>
      <c r="O945" s="44">
        <v>-77.066268408751796</v>
      </c>
      <c r="P945" s="41">
        <f>184+178</f>
        <v>362</v>
      </c>
      <c r="Q945" s="42">
        <v>44259</v>
      </c>
      <c r="R945" s="41" t="s">
        <v>1530</v>
      </c>
      <c r="S945" s="41" t="s">
        <v>34</v>
      </c>
      <c r="T945" s="24">
        <f t="shared" si="28"/>
        <v>364.89600000000002</v>
      </c>
    </row>
    <row r="946" spans="1:20" x14ac:dyDescent="0.25">
      <c r="A946" s="36">
        <v>978</v>
      </c>
      <c r="B946" s="36" t="s">
        <v>1524</v>
      </c>
      <c r="C946" s="36">
        <v>3</v>
      </c>
      <c r="D946" s="36" t="s">
        <v>638</v>
      </c>
      <c r="E946" s="36" t="s">
        <v>1051</v>
      </c>
      <c r="F946" s="37" t="s">
        <v>148</v>
      </c>
      <c r="G946" s="37" t="s">
        <v>2296</v>
      </c>
      <c r="H946" s="43">
        <v>380</v>
      </c>
      <c r="I946" s="43">
        <v>1416</v>
      </c>
      <c r="J946" s="38" t="s">
        <v>2298</v>
      </c>
      <c r="K946" s="38" t="s">
        <v>25</v>
      </c>
      <c r="L946" s="38" t="s">
        <v>26</v>
      </c>
      <c r="M946" s="38" t="s">
        <v>26</v>
      </c>
      <c r="N946" s="40">
        <v>40.966808033384901</v>
      </c>
      <c r="O946" s="40">
        <v>-76.911391979557493</v>
      </c>
      <c r="P946" s="41">
        <f>2079</f>
        <v>2079</v>
      </c>
      <c r="Q946" s="42">
        <v>44257</v>
      </c>
      <c r="R946" s="41" t="s">
        <v>27</v>
      </c>
      <c r="S946" s="41" t="s">
        <v>28</v>
      </c>
      <c r="T946" s="24">
        <f t="shared" si="28"/>
        <v>2095.6320000000001</v>
      </c>
    </row>
    <row r="947" spans="1:20" x14ac:dyDescent="0.25">
      <c r="A947" s="9">
        <v>979</v>
      </c>
      <c r="B947" s="9" t="s">
        <v>1524</v>
      </c>
      <c r="C947" s="9">
        <v>3</v>
      </c>
      <c r="D947" s="9" t="s">
        <v>638</v>
      </c>
      <c r="E947" s="9" t="s">
        <v>2285</v>
      </c>
      <c r="F947" s="37" t="s">
        <v>2299</v>
      </c>
      <c r="G947" s="37" t="s">
        <v>1592</v>
      </c>
      <c r="H947" s="37">
        <v>120</v>
      </c>
      <c r="I947" s="37">
        <v>2067</v>
      </c>
      <c r="J947" s="38" t="s">
        <v>2300</v>
      </c>
      <c r="K947" s="38" t="s">
        <v>25</v>
      </c>
      <c r="L947" s="39" t="s">
        <v>26</v>
      </c>
      <c r="M947" s="39" t="s">
        <v>26</v>
      </c>
      <c r="N947" s="44">
        <v>40.991744843437303</v>
      </c>
      <c r="O947" s="44">
        <v>-76.932243053511399</v>
      </c>
      <c r="P947" s="41">
        <f>616</f>
        <v>616</v>
      </c>
      <c r="Q947" s="42">
        <v>44257</v>
      </c>
      <c r="R947" s="41" t="s">
        <v>27</v>
      </c>
      <c r="S947" s="41" t="s">
        <v>28</v>
      </c>
      <c r="T947" s="24">
        <f t="shared" si="28"/>
        <v>620.928</v>
      </c>
    </row>
    <row r="948" spans="1:20" x14ac:dyDescent="0.25">
      <c r="A948" s="36">
        <v>980</v>
      </c>
      <c r="B948" s="36" t="s">
        <v>1524</v>
      </c>
      <c r="C948" s="36">
        <v>3</v>
      </c>
      <c r="D948" s="36" t="s">
        <v>638</v>
      </c>
      <c r="E948" s="36" t="s">
        <v>2285</v>
      </c>
      <c r="F948" s="37" t="s">
        <v>524</v>
      </c>
      <c r="G948" s="37" t="s">
        <v>481</v>
      </c>
      <c r="H948" s="43">
        <v>40</v>
      </c>
      <c r="I948" s="43">
        <v>2110</v>
      </c>
      <c r="J948" s="38" t="s">
        <v>2301</v>
      </c>
      <c r="K948" s="38" t="s">
        <v>25</v>
      </c>
      <c r="L948" s="38" t="s">
        <v>26</v>
      </c>
      <c r="M948" s="38" t="s">
        <v>26</v>
      </c>
      <c r="N948" s="40">
        <v>40.986742912993897</v>
      </c>
      <c r="O948" s="40">
        <v>-76.894368778269396</v>
      </c>
      <c r="P948" s="41">
        <f>5+3</f>
        <v>8</v>
      </c>
      <c r="Q948" s="42">
        <v>44257</v>
      </c>
      <c r="R948" s="41" t="s">
        <v>1530</v>
      </c>
      <c r="S948" s="41" t="s">
        <v>38</v>
      </c>
      <c r="T948" s="24">
        <f t="shared" si="28"/>
        <v>8.0640000000000001</v>
      </c>
    </row>
    <row r="949" spans="1:20" x14ac:dyDescent="0.25">
      <c r="A949" s="9">
        <v>981</v>
      </c>
      <c r="B949" s="9" t="s">
        <v>1524</v>
      </c>
      <c r="C949" s="9">
        <v>3</v>
      </c>
      <c r="D949" s="9" t="s">
        <v>638</v>
      </c>
      <c r="E949" s="9" t="s">
        <v>2285</v>
      </c>
      <c r="F949" s="37" t="s">
        <v>524</v>
      </c>
      <c r="G949" s="37" t="s">
        <v>481</v>
      </c>
      <c r="H949" s="43">
        <v>50</v>
      </c>
      <c r="I949" s="43">
        <v>0</v>
      </c>
      <c r="J949" s="38" t="s">
        <v>2302</v>
      </c>
      <c r="K949" s="38" t="s">
        <v>25</v>
      </c>
      <c r="L949" s="38" t="s">
        <v>26</v>
      </c>
      <c r="M949" s="38" t="s">
        <v>26</v>
      </c>
      <c r="N949" s="44">
        <v>40.986930081848001</v>
      </c>
      <c r="O949" s="44">
        <v>-76.894598380764606</v>
      </c>
      <c r="P949" s="41">
        <f>732+876</f>
        <v>1608</v>
      </c>
      <c r="Q949" s="42">
        <v>44257</v>
      </c>
      <c r="R949" s="41" t="s">
        <v>1530</v>
      </c>
      <c r="S949" s="41" t="s">
        <v>517</v>
      </c>
      <c r="T949" s="24">
        <f t="shared" si="28"/>
        <v>1620.864</v>
      </c>
    </row>
    <row r="950" spans="1:20" x14ac:dyDescent="0.25">
      <c r="A950" s="36">
        <v>982</v>
      </c>
      <c r="B950" s="36" t="s">
        <v>1524</v>
      </c>
      <c r="C950" s="36">
        <v>3</v>
      </c>
      <c r="D950" s="36" t="s">
        <v>638</v>
      </c>
      <c r="E950" s="36" t="s">
        <v>2285</v>
      </c>
      <c r="F950" s="37" t="s">
        <v>2303</v>
      </c>
      <c r="G950" s="37" t="s">
        <v>2180</v>
      </c>
      <c r="H950" s="43">
        <v>20</v>
      </c>
      <c r="I950" s="43">
        <v>0</v>
      </c>
      <c r="J950" s="38" t="s">
        <v>2304</v>
      </c>
      <c r="K950" s="38" t="s">
        <v>25</v>
      </c>
      <c r="L950" s="38" t="s">
        <v>26</v>
      </c>
      <c r="M950" s="38" t="s">
        <v>26</v>
      </c>
      <c r="N950" s="40">
        <v>40.972965305469799</v>
      </c>
      <c r="O950" s="40">
        <v>-76.897727230865598</v>
      </c>
      <c r="P950" s="41">
        <f>2216</f>
        <v>2216</v>
      </c>
      <c r="Q950" s="42">
        <v>44257</v>
      </c>
      <c r="R950" s="41" t="s">
        <v>27</v>
      </c>
      <c r="S950" s="41" t="s">
        <v>34</v>
      </c>
      <c r="T950" s="24">
        <f t="shared" si="28"/>
        <v>2233.7280000000001</v>
      </c>
    </row>
    <row r="951" spans="1:20" x14ac:dyDescent="0.25">
      <c r="A951" s="9">
        <v>983</v>
      </c>
      <c r="B951" s="9" t="s">
        <v>1524</v>
      </c>
      <c r="C951" s="9">
        <v>3</v>
      </c>
      <c r="D951" s="9" t="s">
        <v>638</v>
      </c>
      <c r="E951" s="9" t="s">
        <v>2290</v>
      </c>
      <c r="F951" s="37" t="s">
        <v>2305</v>
      </c>
      <c r="G951" s="37" t="s">
        <v>489</v>
      </c>
      <c r="H951" s="37">
        <v>170</v>
      </c>
      <c r="I951" s="37">
        <v>2111</v>
      </c>
      <c r="J951" s="38" t="s">
        <v>2306</v>
      </c>
      <c r="K951" s="38" t="s">
        <v>25</v>
      </c>
      <c r="L951" s="39" t="s">
        <v>26</v>
      </c>
      <c r="M951" s="39" t="s">
        <v>26</v>
      </c>
      <c r="N951" s="44">
        <v>40.922875190981998</v>
      </c>
      <c r="O951" s="44">
        <v>-76.905187007316997</v>
      </c>
      <c r="P951" s="41">
        <v>769</v>
      </c>
      <c r="Q951" s="42">
        <v>44259</v>
      </c>
      <c r="R951" s="41" t="s">
        <v>27</v>
      </c>
      <c r="S951" s="41" t="s">
        <v>28</v>
      </c>
      <c r="T951" s="24">
        <f t="shared" si="28"/>
        <v>775.15200000000004</v>
      </c>
    </row>
    <row r="952" spans="1:20" x14ac:dyDescent="0.25">
      <c r="A952" s="36">
        <v>985</v>
      </c>
      <c r="B952" s="36" t="s">
        <v>1524</v>
      </c>
      <c r="C952" s="36">
        <v>3</v>
      </c>
      <c r="D952" s="36" t="s">
        <v>638</v>
      </c>
      <c r="E952" s="36" t="s">
        <v>2295</v>
      </c>
      <c r="F952" s="37" t="s">
        <v>642</v>
      </c>
      <c r="G952" s="37" t="s">
        <v>241</v>
      </c>
      <c r="H952" s="37">
        <v>20</v>
      </c>
      <c r="I952" s="37">
        <v>1510</v>
      </c>
      <c r="J952" s="38" t="s">
        <v>2307</v>
      </c>
      <c r="K952" s="38" t="s">
        <v>25</v>
      </c>
      <c r="L952" s="39" t="s">
        <v>26</v>
      </c>
      <c r="M952" s="39" t="s">
        <v>26</v>
      </c>
      <c r="N952" s="40">
        <v>40.932972150399301</v>
      </c>
      <c r="O952" s="40">
        <v>-77.041364488220594</v>
      </c>
      <c r="P952" s="41">
        <f>1051+1077</f>
        <v>2128</v>
      </c>
      <c r="Q952" s="42">
        <v>44259</v>
      </c>
      <c r="R952" s="41" t="s">
        <v>1530</v>
      </c>
      <c r="S952" s="41" t="s">
        <v>517</v>
      </c>
      <c r="T952" s="24">
        <f t="shared" si="28"/>
        <v>2145.0239999999999</v>
      </c>
    </row>
    <row r="953" spans="1:20" x14ac:dyDescent="0.25">
      <c r="A953" s="9">
        <v>986</v>
      </c>
      <c r="B953" s="9" t="s">
        <v>1524</v>
      </c>
      <c r="C953" s="9">
        <v>3</v>
      </c>
      <c r="D953" s="9" t="s">
        <v>638</v>
      </c>
      <c r="E953" s="9" t="s">
        <v>2295</v>
      </c>
      <c r="F953" s="37" t="s">
        <v>642</v>
      </c>
      <c r="G953" s="37" t="s">
        <v>241</v>
      </c>
      <c r="H953" s="37">
        <v>80</v>
      </c>
      <c r="I953" s="37">
        <v>1033</v>
      </c>
      <c r="J953" s="38" t="s">
        <v>2308</v>
      </c>
      <c r="K953" s="38" t="s">
        <v>25</v>
      </c>
      <c r="L953" s="39" t="s">
        <v>26</v>
      </c>
      <c r="M953" s="39" t="s">
        <v>26</v>
      </c>
      <c r="N953" s="44">
        <v>40.966340519800603</v>
      </c>
      <c r="O953" s="44">
        <v>-77.048372393295296</v>
      </c>
      <c r="P953" s="41">
        <f>212+230</f>
        <v>442</v>
      </c>
      <c r="Q953" s="42">
        <v>44259</v>
      </c>
      <c r="R953" s="41" t="s">
        <v>1530</v>
      </c>
      <c r="S953" s="41" t="s">
        <v>517</v>
      </c>
      <c r="T953" s="24">
        <f t="shared" si="28"/>
        <v>445.536</v>
      </c>
    </row>
    <row r="954" spans="1:20" x14ac:dyDescent="0.25">
      <c r="A954" s="36">
        <v>3001</v>
      </c>
      <c r="B954" s="48" t="s">
        <v>1524</v>
      </c>
      <c r="C954" s="36">
        <v>5</v>
      </c>
      <c r="D954" s="36" t="s">
        <v>1925</v>
      </c>
      <c r="E954" s="36" t="s">
        <v>1929</v>
      </c>
      <c r="F954" s="37" t="s">
        <v>2309</v>
      </c>
      <c r="G954" s="37" t="s">
        <v>1592</v>
      </c>
      <c r="H954" s="43">
        <v>140</v>
      </c>
      <c r="I954" s="43">
        <v>0</v>
      </c>
      <c r="J954" s="38" t="s">
        <v>2310</v>
      </c>
      <c r="K954" s="38" t="s">
        <v>2311</v>
      </c>
      <c r="L954" s="38" t="s">
        <v>26</v>
      </c>
      <c r="M954" s="38" t="s">
        <v>26</v>
      </c>
      <c r="N954" s="49">
        <v>40.594174099999996</v>
      </c>
      <c r="O954" s="50">
        <v>-75.540361099999998</v>
      </c>
      <c r="P954" s="41">
        <f>2470+2638</f>
        <v>5108</v>
      </c>
      <c r="Q954" s="42">
        <v>44223</v>
      </c>
      <c r="R954" s="41" t="s">
        <v>1530</v>
      </c>
      <c r="S954" s="41" t="s">
        <v>34</v>
      </c>
      <c r="T954" s="24">
        <f>P954*$X$7</f>
        <v>5511.5320000000002</v>
      </c>
    </row>
    <row r="955" spans="1:20" x14ac:dyDescent="0.25">
      <c r="A955" s="8">
        <v>41</v>
      </c>
      <c r="B955" s="8" t="s">
        <v>2312</v>
      </c>
      <c r="C955" s="8">
        <v>10</v>
      </c>
      <c r="D955" s="8" t="s">
        <v>1184</v>
      </c>
      <c r="E955" s="8" t="s">
        <v>2313</v>
      </c>
      <c r="F955" s="18" t="s">
        <v>233</v>
      </c>
      <c r="G955" s="18" t="s">
        <v>1187</v>
      </c>
      <c r="H955" s="19">
        <v>120</v>
      </c>
      <c r="I955" s="19">
        <v>2276</v>
      </c>
      <c r="J955" s="20" t="s">
        <v>2314</v>
      </c>
      <c r="K955" s="20" t="s">
        <v>25</v>
      </c>
      <c r="L955" s="30" t="s">
        <v>26</v>
      </c>
      <c r="M955" s="30" t="s">
        <v>26</v>
      </c>
      <c r="N955" s="21">
        <v>40.627206517657001</v>
      </c>
      <c r="O955" s="10">
        <v>-79.6076276918849</v>
      </c>
      <c r="P955" s="22">
        <v>161</v>
      </c>
      <c r="Q955" s="23">
        <v>44249</v>
      </c>
      <c r="R955" s="22" t="s">
        <v>1530</v>
      </c>
      <c r="S955" s="22" t="s">
        <v>28</v>
      </c>
      <c r="T955" s="24">
        <f t="shared" ref="T955:T962" si="29">P955*$X$11</f>
        <v>167.762</v>
      </c>
    </row>
    <row r="956" spans="1:20" x14ac:dyDescent="0.25">
      <c r="A956" s="8">
        <v>42</v>
      </c>
      <c r="B956" s="8" t="s">
        <v>2312</v>
      </c>
      <c r="C956" s="8">
        <v>10</v>
      </c>
      <c r="D956" s="8" t="s">
        <v>1184</v>
      </c>
      <c r="E956" s="8" t="s">
        <v>2315</v>
      </c>
      <c r="F956" s="18" t="s">
        <v>1186</v>
      </c>
      <c r="G956" s="18" t="s">
        <v>1187</v>
      </c>
      <c r="H956" s="18">
        <v>190</v>
      </c>
      <c r="I956" s="18">
        <v>405</v>
      </c>
      <c r="J956" s="20" t="s">
        <v>2316</v>
      </c>
      <c r="K956" s="20" t="s">
        <v>25</v>
      </c>
      <c r="L956" s="27" t="s">
        <v>26</v>
      </c>
      <c r="M956" s="27" t="s">
        <v>26</v>
      </c>
      <c r="N956" s="21">
        <v>40.664753094267397</v>
      </c>
      <c r="O956" s="10">
        <v>-79.604770055111302</v>
      </c>
      <c r="P956" s="22">
        <v>138</v>
      </c>
      <c r="Q956" s="23">
        <v>44249</v>
      </c>
      <c r="R956" s="22" t="s">
        <v>1530</v>
      </c>
      <c r="S956" s="22" t="s">
        <v>517</v>
      </c>
      <c r="T956" s="24">
        <f t="shared" si="29"/>
        <v>143.79599999999999</v>
      </c>
    </row>
    <row r="957" spans="1:20" x14ac:dyDescent="0.25">
      <c r="A957" s="8">
        <v>45</v>
      </c>
      <c r="B957" s="8" t="s">
        <v>2312</v>
      </c>
      <c r="C957" s="8">
        <v>10</v>
      </c>
      <c r="D957" s="8" t="s">
        <v>1184</v>
      </c>
      <c r="E957" s="8" t="s">
        <v>2317</v>
      </c>
      <c r="F957" s="18" t="s">
        <v>2318</v>
      </c>
      <c r="G957" s="18" t="s">
        <v>2319</v>
      </c>
      <c r="H957" s="19">
        <v>20</v>
      </c>
      <c r="I957" s="19">
        <v>0</v>
      </c>
      <c r="J957" s="20" t="s">
        <v>2320</v>
      </c>
      <c r="K957" s="20" t="s">
        <v>25</v>
      </c>
      <c r="L957" s="20" t="s">
        <v>26</v>
      </c>
      <c r="M957" s="20" t="s">
        <v>26</v>
      </c>
      <c r="N957" s="21">
        <v>40.817143791208899</v>
      </c>
      <c r="O957" s="10">
        <v>-79.534559417289202</v>
      </c>
      <c r="P957" s="22">
        <v>191</v>
      </c>
      <c r="Q957" s="23">
        <v>44249</v>
      </c>
      <c r="R957" s="22" t="s">
        <v>1530</v>
      </c>
      <c r="S957" s="22" t="s">
        <v>517</v>
      </c>
      <c r="T957" s="24">
        <f t="shared" si="29"/>
        <v>199.02200000000002</v>
      </c>
    </row>
    <row r="958" spans="1:20" x14ac:dyDescent="0.25">
      <c r="A958" s="8">
        <v>46</v>
      </c>
      <c r="B958" s="8" t="s">
        <v>2312</v>
      </c>
      <c r="C958" s="8">
        <v>10</v>
      </c>
      <c r="D958" s="8" t="s">
        <v>1184</v>
      </c>
      <c r="E958" s="8" t="s">
        <v>2321</v>
      </c>
      <c r="F958" s="18" t="s">
        <v>438</v>
      </c>
      <c r="G958" s="18" t="s">
        <v>2319</v>
      </c>
      <c r="H958" s="18">
        <v>320</v>
      </c>
      <c r="I958" s="18">
        <v>458</v>
      </c>
      <c r="J958" s="20" t="s">
        <v>347</v>
      </c>
      <c r="K958" s="20" t="s">
        <v>25</v>
      </c>
      <c r="L958" s="27" t="s">
        <v>26</v>
      </c>
      <c r="M958" s="27" t="s">
        <v>26</v>
      </c>
      <c r="N958" s="21">
        <v>41.098796281054199</v>
      </c>
      <c r="O958" s="10">
        <v>-79.680869672492804</v>
      </c>
      <c r="P958" s="22">
        <v>101</v>
      </c>
      <c r="Q958" s="23">
        <v>44249</v>
      </c>
      <c r="R958" s="22" t="s">
        <v>1530</v>
      </c>
      <c r="S958" s="22" t="s">
        <v>517</v>
      </c>
      <c r="T958" s="24">
        <f t="shared" si="29"/>
        <v>105.242</v>
      </c>
    </row>
    <row r="959" spans="1:20" x14ac:dyDescent="0.25">
      <c r="A959" s="8">
        <v>48</v>
      </c>
      <c r="B959" s="8" t="s">
        <v>2312</v>
      </c>
      <c r="C959" s="8">
        <v>10</v>
      </c>
      <c r="D959" s="8" t="s">
        <v>1184</v>
      </c>
      <c r="E959" s="8" t="s">
        <v>2322</v>
      </c>
      <c r="F959" s="18" t="s">
        <v>1191</v>
      </c>
      <c r="G959" s="18" t="s">
        <v>1192</v>
      </c>
      <c r="H959" s="18">
        <v>420</v>
      </c>
      <c r="I959" s="18">
        <v>1580</v>
      </c>
      <c r="J959" s="20" t="s">
        <v>2323</v>
      </c>
      <c r="K959" s="20" t="s">
        <v>25</v>
      </c>
      <c r="L959" s="27" t="s">
        <v>26</v>
      </c>
      <c r="M959" s="27" t="s">
        <v>26</v>
      </c>
      <c r="N959" s="21">
        <v>40.733609430212297</v>
      </c>
      <c r="O959" s="10">
        <v>-79.392296575728196</v>
      </c>
      <c r="P959" s="22">
        <v>37</v>
      </c>
      <c r="Q959" s="23">
        <v>44249</v>
      </c>
      <c r="R959" s="22" t="s">
        <v>1530</v>
      </c>
      <c r="S959" s="22" t="s">
        <v>38</v>
      </c>
      <c r="T959" s="24">
        <f t="shared" si="29"/>
        <v>38.554000000000002</v>
      </c>
    </row>
    <row r="960" spans="1:20" x14ac:dyDescent="0.25">
      <c r="A960" s="8">
        <v>49</v>
      </c>
      <c r="B960" s="8" t="s">
        <v>2312</v>
      </c>
      <c r="C960" s="8">
        <v>10</v>
      </c>
      <c r="D960" s="8" t="s">
        <v>1184</v>
      </c>
      <c r="E960" s="8" t="s">
        <v>2324</v>
      </c>
      <c r="F960" s="18" t="s">
        <v>2325</v>
      </c>
      <c r="G960" s="18" t="s">
        <v>2326</v>
      </c>
      <c r="H960" s="18">
        <v>20</v>
      </c>
      <c r="I960" s="18">
        <v>1553</v>
      </c>
      <c r="J960" s="20" t="s">
        <v>2327</v>
      </c>
      <c r="K960" s="20" t="s">
        <v>25</v>
      </c>
      <c r="L960" s="27" t="s">
        <v>26</v>
      </c>
      <c r="M960" s="27" t="s">
        <v>26</v>
      </c>
      <c r="N960" s="21">
        <v>40.827137082655199</v>
      </c>
      <c r="O960" s="10">
        <v>-79.508787247859601</v>
      </c>
      <c r="P960" s="22">
        <v>24</v>
      </c>
      <c r="Q960" s="23">
        <v>44249</v>
      </c>
      <c r="R960" s="22" t="s">
        <v>33</v>
      </c>
      <c r="S960" s="22" t="s">
        <v>34</v>
      </c>
      <c r="T960" s="24">
        <f t="shared" si="29"/>
        <v>25.008000000000003</v>
      </c>
    </row>
    <row r="961" spans="1:20" x14ac:dyDescent="0.25">
      <c r="A961" s="8">
        <v>50</v>
      </c>
      <c r="B961" s="8" t="s">
        <v>2312</v>
      </c>
      <c r="C961" s="8">
        <v>10</v>
      </c>
      <c r="D961" s="8" t="s">
        <v>1184</v>
      </c>
      <c r="E961" s="8" t="s">
        <v>2328</v>
      </c>
      <c r="F961" s="18" t="s">
        <v>233</v>
      </c>
      <c r="G961" s="18" t="s">
        <v>2329</v>
      </c>
      <c r="H961" s="19">
        <v>70</v>
      </c>
      <c r="I961" s="19">
        <v>817</v>
      </c>
      <c r="J961" s="20" t="s">
        <v>2179</v>
      </c>
      <c r="K961" s="20" t="s">
        <v>25</v>
      </c>
      <c r="L961" s="20" t="s">
        <v>26</v>
      </c>
      <c r="M961" s="20" t="s">
        <v>26</v>
      </c>
      <c r="N961" s="21">
        <v>40.815564792829001</v>
      </c>
      <c r="O961" s="10">
        <v>-79.517403145182996</v>
      </c>
      <c r="P961" s="22">
        <v>1633</v>
      </c>
      <c r="Q961" s="23">
        <v>44249</v>
      </c>
      <c r="R961" s="22" t="s">
        <v>1530</v>
      </c>
      <c r="S961" s="22" t="s">
        <v>34</v>
      </c>
      <c r="T961" s="24">
        <f t="shared" si="29"/>
        <v>1701.586</v>
      </c>
    </row>
    <row r="962" spans="1:20" x14ac:dyDescent="0.25">
      <c r="A962" s="8">
        <v>52</v>
      </c>
      <c r="B962" s="8" t="s">
        <v>2312</v>
      </c>
      <c r="C962" s="8">
        <v>10</v>
      </c>
      <c r="D962" s="8" t="s">
        <v>1184</v>
      </c>
      <c r="E962" s="8" t="s">
        <v>2322</v>
      </c>
      <c r="F962" s="18" t="s">
        <v>2330</v>
      </c>
      <c r="G962" s="18" t="s">
        <v>634</v>
      </c>
      <c r="H962" s="18">
        <v>140</v>
      </c>
      <c r="I962" s="18">
        <v>1384</v>
      </c>
      <c r="J962" s="20" t="s">
        <v>2331</v>
      </c>
      <c r="K962" s="20" t="s">
        <v>25</v>
      </c>
      <c r="L962" s="27" t="s">
        <v>26</v>
      </c>
      <c r="M962" s="27" t="s">
        <v>26</v>
      </c>
      <c r="N962" s="21">
        <v>40.727392926811604</v>
      </c>
      <c r="O962" s="10">
        <v>-79.381517147721993</v>
      </c>
      <c r="P962" s="22">
        <v>169</v>
      </c>
      <c r="Q962" s="23">
        <v>44249</v>
      </c>
      <c r="R962" s="22" t="s">
        <v>1530</v>
      </c>
      <c r="S962" s="22" t="s">
        <v>38</v>
      </c>
      <c r="T962" s="24">
        <f t="shared" si="29"/>
        <v>176.09800000000001</v>
      </c>
    </row>
    <row r="963" spans="1:20" x14ac:dyDescent="0.25">
      <c r="A963" s="8">
        <v>70</v>
      </c>
      <c r="B963" s="8" t="s">
        <v>2312</v>
      </c>
      <c r="C963" s="8">
        <v>9</v>
      </c>
      <c r="D963" s="8" t="s">
        <v>2332</v>
      </c>
      <c r="E963" s="8" t="s">
        <v>2333</v>
      </c>
      <c r="F963" s="18" t="s">
        <v>2334</v>
      </c>
      <c r="G963" s="18" t="s">
        <v>254</v>
      </c>
      <c r="H963" s="18">
        <v>500</v>
      </c>
      <c r="I963" s="18">
        <v>260</v>
      </c>
      <c r="J963" s="20" t="s">
        <v>2335</v>
      </c>
      <c r="K963" s="20" t="s">
        <v>25</v>
      </c>
      <c r="L963" s="27" t="s">
        <v>26</v>
      </c>
      <c r="M963" s="27" t="s">
        <v>26</v>
      </c>
      <c r="N963" s="21">
        <v>40.017488337970001</v>
      </c>
      <c r="O963" s="10">
        <v>-78.374497227028499</v>
      </c>
      <c r="P963" s="22">
        <v>93</v>
      </c>
      <c r="Q963" s="23">
        <v>44202</v>
      </c>
      <c r="R963" s="22" t="s">
        <v>1530</v>
      </c>
      <c r="S963" s="22" t="s">
        <v>38</v>
      </c>
      <c r="T963" s="24">
        <f t="shared" ref="T963:T1003" si="30">P963*$X$10</f>
        <v>99.696000000000012</v>
      </c>
    </row>
    <row r="964" spans="1:20" x14ac:dyDescent="0.25">
      <c r="A964" s="8">
        <v>71</v>
      </c>
      <c r="B964" s="8" t="s">
        <v>2312</v>
      </c>
      <c r="C964" s="8">
        <v>9</v>
      </c>
      <c r="D964" s="8" t="s">
        <v>2332</v>
      </c>
      <c r="E964" s="8" t="s">
        <v>2336</v>
      </c>
      <c r="F964" s="18" t="s">
        <v>1355</v>
      </c>
      <c r="G964" s="18" t="s">
        <v>890</v>
      </c>
      <c r="H964" s="18">
        <v>419</v>
      </c>
      <c r="I964" s="18">
        <v>1051</v>
      </c>
      <c r="J964" s="20" t="s">
        <v>2337</v>
      </c>
      <c r="K964" s="20" t="s">
        <v>25</v>
      </c>
      <c r="L964" s="27" t="s">
        <v>26</v>
      </c>
      <c r="M964" s="27" t="s">
        <v>26</v>
      </c>
      <c r="N964" s="21">
        <v>40.025987961396403</v>
      </c>
      <c r="O964" s="10">
        <v>-78.446877816967898</v>
      </c>
      <c r="P964" s="22">
        <v>6365</v>
      </c>
      <c r="Q964" s="23">
        <v>44202</v>
      </c>
      <c r="R964" s="22" t="s">
        <v>1530</v>
      </c>
      <c r="S964" s="22" t="s">
        <v>28</v>
      </c>
      <c r="T964" s="24">
        <f t="shared" si="30"/>
        <v>6823.2800000000007</v>
      </c>
    </row>
    <row r="965" spans="1:20" x14ac:dyDescent="0.25">
      <c r="A965" s="8">
        <v>72</v>
      </c>
      <c r="B965" s="8" t="s">
        <v>2312</v>
      </c>
      <c r="C965" s="8">
        <v>9</v>
      </c>
      <c r="D965" s="8" t="s">
        <v>2332</v>
      </c>
      <c r="E965" s="8" t="s">
        <v>2338</v>
      </c>
      <c r="F965" s="18" t="s">
        <v>1355</v>
      </c>
      <c r="G965" s="18" t="s">
        <v>890</v>
      </c>
      <c r="H965" s="18">
        <v>650</v>
      </c>
      <c r="I965" s="18">
        <v>1244</v>
      </c>
      <c r="J965" s="20" t="s">
        <v>2339</v>
      </c>
      <c r="K965" s="20" t="s">
        <v>25</v>
      </c>
      <c r="L965" s="27" t="s">
        <v>26</v>
      </c>
      <c r="M965" s="27" t="s">
        <v>26</v>
      </c>
      <c r="N965" s="21">
        <v>39.999141618805197</v>
      </c>
      <c r="O965" s="10">
        <v>-78.243567010055699</v>
      </c>
      <c r="P965" s="22">
        <v>684</v>
      </c>
      <c r="Q965" s="23">
        <v>44202</v>
      </c>
      <c r="R965" s="22" t="s">
        <v>1530</v>
      </c>
      <c r="S965" s="22" t="s">
        <v>28</v>
      </c>
      <c r="T965" s="24">
        <f t="shared" si="30"/>
        <v>733.24800000000005</v>
      </c>
    </row>
    <row r="966" spans="1:20" x14ac:dyDescent="0.25">
      <c r="A966" s="8">
        <v>73</v>
      </c>
      <c r="B966" s="8" t="s">
        <v>2312</v>
      </c>
      <c r="C966" s="8">
        <v>9</v>
      </c>
      <c r="D966" s="8" t="s">
        <v>2332</v>
      </c>
      <c r="E966" s="8" t="s">
        <v>2338</v>
      </c>
      <c r="F966" s="18" t="s">
        <v>1355</v>
      </c>
      <c r="G966" s="18" t="s">
        <v>890</v>
      </c>
      <c r="H966" s="18">
        <v>662</v>
      </c>
      <c r="I966" s="18">
        <v>1469</v>
      </c>
      <c r="J966" s="20" t="s">
        <v>2340</v>
      </c>
      <c r="K966" s="20" t="s">
        <v>25</v>
      </c>
      <c r="L966" s="27" t="s">
        <v>26</v>
      </c>
      <c r="M966" s="27" t="s">
        <v>26</v>
      </c>
      <c r="N966" s="21">
        <v>39.999398877849202</v>
      </c>
      <c r="O966" s="10">
        <v>-78.233563623985901</v>
      </c>
      <c r="P966" s="22">
        <v>7714</v>
      </c>
      <c r="Q966" s="23">
        <v>44202</v>
      </c>
      <c r="R966" s="22" t="s">
        <v>1530</v>
      </c>
      <c r="S966" s="22" t="s">
        <v>28</v>
      </c>
      <c r="T966" s="24">
        <f t="shared" si="30"/>
        <v>8269.4080000000013</v>
      </c>
    </row>
    <row r="967" spans="1:20" x14ac:dyDescent="0.25">
      <c r="A967" s="8">
        <v>74</v>
      </c>
      <c r="B967" s="8" t="s">
        <v>2312</v>
      </c>
      <c r="C967" s="8">
        <v>9</v>
      </c>
      <c r="D967" s="8" t="s">
        <v>2332</v>
      </c>
      <c r="E967" s="8" t="s">
        <v>1715</v>
      </c>
      <c r="F967" s="18" t="s">
        <v>2341</v>
      </c>
      <c r="G967" s="18" t="s">
        <v>2342</v>
      </c>
      <c r="H967" s="18">
        <v>170</v>
      </c>
      <c r="I967" s="18">
        <v>2285</v>
      </c>
      <c r="J967" s="20" t="s">
        <v>2343</v>
      </c>
      <c r="K967" s="20" t="s">
        <v>25</v>
      </c>
      <c r="L967" s="27" t="s">
        <v>26</v>
      </c>
      <c r="M967" s="27" t="s">
        <v>26</v>
      </c>
      <c r="N967" s="21">
        <v>39.8344458196255</v>
      </c>
      <c r="O967" s="10">
        <v>-78.7170263884463</v>
      </c>
      <c r="P967" s="22">
        <v>106</v>
      </c>
      <c r="Q967" s="23">
        <v>44208</v>
      </c>
      <c r="R967" s="22" t="s">
        <v>1530</v>
      </c>
      <c r="S967" s="22" t="s">
        <v>517</v>
      </c>
      <c r="T967" s="24">
        <f t="shared" si="30"/>
        <v>113.63200000000001</v>
      </c>
    </row>
    <row r="968" spans="1:20" x14ac:dyDescent="0.25">
      <c r="A968" s="8">
        <v>75</v>
      </c>
      <c r="B968" s="8" t="s">
        <v>2312</v>
      </c>
      <c r="C968" s="8">
        <v>9</v>
      </c>
      <c r="D968" s="8" t="s">
        <v>2332</v>
      </c>
      <c r="E968" s="8" t="s">
        <v>2344</v>
      </c>
      <c r="F968" s="18" t="s">
        <v>2345</v>
      </c>
      <c r="G968" s="18" t="s">
        <v>2342</v>
      </c>
      <c r="H968" s="18">
        <v>730</v>
      </c>
      <c r="I968" s="18">
        <v>0</v>
      </c>
      <c r="J968" s="20" t="s">
        <v>2346</v>
      </c>
      <c r="K968" s="20" t="s">
        <v>25</v>
      </c>
      <c r="L968" s="27" t="s">
        <v>26</v>
      </c>
      <c r="M968" s="27" t="s">
        <v>26</v>
      </c>
      <c r="N968" s="21">
        <v>40.1907524779974</v>
      </c>
      <c r="O968" s="10">
        <v>-78.588337417445501</v>
      </c>
      <c r="P968" s="22">
        <v>619</v>
      </c>
      <c r="Q968" s="23">
        <v>44208</v>
      </c>
      <c r="R968" s="22" t="s">
        <v>1530</v>
      </c>
      <c r="S968" s="22" t="s">
        <v>517</v>
      </c>
      <c r="T968" s="24">
        <f t="shared" si="30"/>
        <v>663.56799999999998</v>
      </c>
    </row>
    <row r="969" spans="1:20" x14ac:dyDescent="0.25">
      <c r="A969" s="8">
        <v>76</v>
      </c>
      <c r="B969" s="8" t="s">
        <v>2312</v>
      </c>
      <c r="C969" s="8">
        <v>9</v>
      </c>
      <c r="D969" s="8" t="s">
        <v>2332</v>
      </c>
      <c r="E969" s="8" t="s">
        <v>2344</v>
      </c>
      <c r="F969" s="18" t="s">
        <v>2345</v>
      </c>
      <c r="G969" s="18" t="s">
        <v>2342</v>
      </c>
      <c r="H969" s="18">
        <v>730</v>
      </c>
      <c r="I969" s="18">
        <v>1573</v>
      </c>
      <c r="J969" s="20" t="s">
        <v>2347</v>
      </c>
      <c r="K969" s="20" t="s">
        <v>25</v>
      </c>
      <c r="L969" s="27" t="s">
        <v>26</v>
      </c>
      <c r="M969" s="27" t="s">
        <v>26</v>
      </c>
      <c r="N969" s="21">
        <v>40.188074089447099</v>
      </c>
      <c r="O969" s="10">
        <v>-78.584009078854706</v>
      </c>
      <c r="P969" s="22">
        <v>465</v>
      </c>
      <c r="Q969" s="23">
        <v>44208</v>
      </c>
      <c r="R969" s="22" t="s">
        <v>1530</v>
      </c>
      <c r="S969" s="22" t="s">
        <v>28</v>
      </c>
      <c r="T969" s="24">
        <f t="shared" si="30"/>
        <v>498.48</v>
      </c>
    </row>
    <row r="970" spans="1:20" x14ac:dyDescent="0.25">
      <c r="A970" s="8">
        <v>77</v>
      </c>
      <c r="B970" s="8" t="s">
        <v>2312</v>
      </c>
      <c r="C970" s="8">
        <v>9</v>
      </c>
      <c r="D970" s="8" t="s">
        <v>2332</v>
      </c>
      <c r="E970" s="8" t="s">
        <v>2348</v>
      </c>
      <c r="F970" s="18" t="s">
        <v>2349</v>
      </c>
      <c r="G970" s="18" t="s">
        <v>2350</v>
      </c>
      <c r="H970" s="18">
        <v>40</v>
      </c>
      <c r="I970" s="18">
        <v>148</v>
      </c>
      <c r="J970" s="20" t="s">
        <v>2351</v>
      </c>
      <c r="K970" s="20" t="s">
        <v>25</v>
      </c>
      <c r="L970" s="27" t="s">
        <v>26</v>
      </c>
      <c r="M970" s="27" t="s">
        <v>26</v>
      </c>
      <c r="N970" s="21">
        <v>40.202176795582702</v>
      </c>
      <c r="O970" s="10">
        <v>-78.394061400656199</v>
      </c>
      <c r="P970" s="22">
        <v>43</v>
      </c>
      <c r="Q970" s="23">
        <v>44208</v>
      </c>
      <c r="R970" s="22" t="s">
        <v>33</v>
      </c>
      <c r="S970" s="22" t="s">
        <v>517</v>
      </c>
      <c r="T970" s="24">
        <f t="shared" si="30"/>
        <v>46.096000000000004</v>
      </c>
    </row>
    <row r="971" spans="1:20" x14ac:dyDescent="0.25">
      <c r="A971" s="8">
        <v>78</v>
      </c>
      <c r="B971" s="8" t="s">
        <v>2312</v>
      </c>
      <c r="C971" s="8">
        <v>9</v>
      </c>
      <c r="D971" s="8" t="s">
        <v>2332</v>
      </c>
      <c r="E971" s="8" t="s">
        <v>2352</v>
      </c>
      <c r="F971" s="18" t="s">
        <v>2353</v>
      </c>
      <c r="G971" s="18" t="s">
        <v>2354</v>
      </c>
      <c r="H971" s="18">
        <v>40</v>
      </c>
      <c r="I971" s="18">
        <v>0</v>
      </c>
      <c r="J971" s="20" t="s">
        <v>2355</v>
      </c>
      <c r="K971" s="20" t="s">
        <v>25</v>
      </c>
      <c r="L971" s="27" t="s">
        <v>26</v>
      </c>
      <c r="M971" s="27" t="s">
        <v>26</v>
      </c>
      <c r="N971" s="21">
        <v>40.215619994811703</v>
      </c>
      <c r="O971" s="10">
        <v>-78.244716379229999</v>
      </c>
      <c r="P971" s="22">
        <v>1374</v>
      </c>
      <c r="Q971" s="23">
        <v>44208</v>
      </c>
      <c r="R971" s="22" t="s">
        <v>1530</v>
      </c>
      <c r="S971" s="22" t="s">
        <v>28</v>
      </c>
      <c r="T971" s="24">
        <f t="shared" si="30"/>
        <v>1472.9280000000001</v>
      </c>
    </row>
    <row r="972" spans="1:20" x14ac:dyDescent="0.25">
      <c r="A972" s="8">
        <v>79</v>
      </c>
      <c r="B972" s="8" t="s">
        <v>2312</v>
      </c>
      <c r="C972" s="8">
        <v>9</v>
      </c>
      <c r="D972" s="8" t="s">
        <v>2332</v>
      </c>
      <c r="E972" s="8" t="s">
        <v>2352</v>
      </c>
      <c r="F972" s="18" t="s">
        <v>2356</v>
      </c>
      <c r="G972" s="18" t="s">
        <v>2354</v>
      </c>
      <c r="H972" s="18">
        <v>40</v>
      </c>
      <c r="I972" s="18">
        <v>928</v>
      </c>
      <c r="J972" s="20" t="s">
        <v>2356</v>
      </c>
      <c r="K972" s="20" t="s">
        <v>25</v>
      </c>
      <c r="L972" s="27" t="s">
        <v>26</v>
      </c>
      <c r="M972" s="27" t="s">
        <v>26</v>
      </c>
      <c r="N972" s="21">
        <v>40.215674460768099</v>
      </c>
      <c r="O972" s="10">
        <v>-78.241784164751493</v>
      </c>
      <c r="P972" s="22">
        <v>2377</v>
      </c>
      <c r="Q972" s="23">
        <v>44208</v>
      </c>
      <c r="R972" s="22" t="s">
        <v>1530</v>
      </c>
      <c r="S972" s="22" t="s">
        <v>38</v>
      </c>
      <c r="T972" s="24">
        <f t="shared" si="30"/>
        <v>2548.1440000000002</v>
      </c>
    </row>
    <row r="973" spans="1:20" x14ac:dyDescent="0.25">
      <c r="A973" s="8">
        <v>80</v>
      </c>
      <c r="B973" s="8" t="s">
        <v>2312</v>
      </c>
      <c r="C973" s="8">
        <v>9</v>
      </c>
      <c r="D973" s="8" t="s">
        <v>2332</v>
      </c>
      <c r="E973" s="8" t="s">
        <v>2357</v>
      </c>
      <c r="F973" s="18" t="s">
        <v>77</v>
      </c>
      <c r="G973" s="18" t="s">
        <v>2326</v>
      </c>
      <c r="H973" s="18">
        <v>50</v>
      </c>
      <c r="I973" s="18">
        <v>0</v>
      </c>
      <c r="J973" s="20" t="s">
        <v>2358</v>
      </c>
      <c r="K973" s="20" t="s">
        <v>25</v>
      </c>
      <c r="L973" s="27" t="s">
        <v>26</v>
      </c>
      <c r="M973" s="27" t="s">
        <v>26</v>
      </c>
      <c r="N973" s="21">
        <v>40.166564800549402</v>
      </c>
      <c r="O973" s="10">
        <v>-78.219396393664994</v>
      </c>
      <c r="P973" s="22">
        <v>19</v>
      </c>
      <c r="Q973" s="23">
        <v>44217</v>
      </c>
      <c r="R973" s="22" t="s">
        <v>1530</v>
      </c>
      <c r="S973" s="22" t="s">
        <v>34</v>
      </c>
      <c r="T973" s="24">
        <f t="shared" si="30"/>
        <v>20.368000000000002</v>
      </c>
    </row>
    <row r="974" spans="1:20" x14ac:dyDescent="0.25">
      <c r="A974" s="8">
        <v>81</v>
      </c>
      <c r="B974" s="8" t="s">
        <v>2312</v>
      </c>
      <c r="C974" s="8">
        <v>9</v>
      </c>
      <c r="D974" s="8" t="s">
        <v>2332</v>
      </c>
      <c r="E974" s="8" t="s">
        <v>2357</v>
      </c>
      <c r="F974" s="18" t="s">
        <v>77</v>
      </c>
      <c r="G974" s="18" t="s">
        <v>2326</v>
      </c>
      <c r="H974" s="18">
        <v>50</v>
      </c>
      <c r="I974" s="18">
        <v>1065</v>
      </c>
      <c r="J974" s="20" t="s">
        <v>2359</v>
      </c>
      <c r="K974" s="20" t="s">
        <v>25</v>
      </c>
      <c r="L974" s="27" t="s">
        <v>26</v>
      </c>
      <c r="M974" s="27" t="s">
        <v>26</v>
      </c>
      <c r="N974" s="21">
        <v>40.167389809273899</v>
      </c>
      <c r="O974" s="10">
        <v>-78.215787656052797</v>
      </c>
      <c r="P974" s="22">
        <v>35</v>
      </c>
      <c r="Q974" s="23">
        <v>44208</v>
      </c>
      <c r="R974" s="22" t="s">
        <v>33</v>
      </c>
      <c r="S974" s="22" t="s">
        <v>28</v>
      </c>
      <c r="T974" s="24">
        <f t="shared" si="30"/>
        <v>37.520000000000003</v>
      </c>
    </row>
    <row r="975" spans="1:20" x14ac:dyDescent="0.25">
      <c r="A975" s="8">
        <v>82</v>
      </c>
      <c r="B975" s="8" t="s">
        <v>2312</v>
      </c>
      <c r="C975" s="8">
        <v>9</v>
      </c>
      <c r="D975" s="8" t="s">
        <v>2332</v>
      </c>
      <c r="E975" s="8" t="s">
        <v>2338</v>
      </c>
      <c r="F975" s="18" t="s">
        <v>2360</v>
      </c>
      <c r="G975" s="18" t="s">
        <v>1953</v>
      </c>
      <c r="H975" s="18">
        <v>320</v>
      </c>
      <c r="I975" s="18">
        <v>283</v>
      </c>
      <c r="J975" s="20" t="s">
        <v>77</v>
      </c>
      <c r="K975" s="20" t="s">
        <v>25</v>
      </c>
      <c r="L975" s="27" t="s">
        <v>26</v>
      </c>
      <c r="M975" s="27" t="s">
        <v>26</v>
      </c>
      <c r="N975" s="21">
        <v>39.996459354140498</v>
      </c>
      <c r="O975" s="10">
        <v>-78.242451577965596</v>
      </c>
      <c r="P975" s="22">
        <v>639</v>
      </c>
      <c r="Q975" s="23">
        <v>44202</v>
      </c>
      <c r="R975" s="22" t="s">
        <v>1530</v>
      </c>
      <c r="S975" s="22" t="s">
        <v>517</v>
      </c>
      <c r="T975" s="24">
        <f t="shared" si="30"/>
        <v>685.00800000000004</v>
      </c>
    </row>
    <row r="976" spans="1:20" x14ac:dyDescent="0.25">
      <c r="A976" s="8">
        <v>83</v>
      </c>
      <c r="B976" s="8" t="s">
        <v>2312</v>
      </c>
      <c r="C976" s="8">
        <v>9</v>
      </c>
      <c r="D976" s="8" t="s">
        <v>2332</v>
      </c>
      <c r="E976" s="8" t="s">
        <v>2338</v>
      </c>
      <c r="F976" s="18" t="s">
        <v>2360</v>
      </c>
      <c r="G976" s="18" t="s">
        <v>92</v>
      </c>
      <c r="H976" s="18">
        <v>10</v>
      </c>
      <c r="I976" s="18">
        <v>0</v>
      </c>
      <c r="J976" s="20" t="s">
        <v>2361</v>
      </c>
      <c r="K976" s="20" t="s">
        <v>25</v>
      </c>
      <c r="L976" s="27" t="s">
        <v>26</v>
      </c>
      <c r="M976" s="27" t="s">
        <v>26</v>
      </c>
      <c r="N976" s="21">
        <v>39.978722396287999</v>
      </c>
      <c r="O976" s="10">
        <v>-78.243724182812201</v>
      </c>
      <c r="P976" s="22">
        <v>85</v>
      </c>
      <c r="Q976" s="23">
        <v>44202</v>
      </c>
      <c r="R976" s="22" t="s">
        <v>1530</v>
      </c>
      <c r="S976" s="22" t="s">
        <v>517</v>
      </c>
      <c r="T976" s="24">
        <f t="shared" si="30"/>
        <v>91.12</v>
      </c>
    </row>
    <row r="977" spans="1:20" x14ac:dyDescent="0.25">
      <c r="A977" s="8">
        <v>84</v>
      </c>
      <c r="B977" s="8" t="s">
        <v>2312</v>
      </c>
      <c r="C977" s="8">
        <v>9</v>
      </c>
      <c r="D977" s="8" t="s">
        <v>2332</v>
      </c>
      <c r="E977" s="8" t="s">
        <v>2362</v>
      </c>
      <c r="F977" s="18" t="s">
        <v>2363</v>
      </c>
      <c r="G977" s="18" t="s">
        <v>2364</v>
      </c>
      <c r="H977" s="18">
        <v>150</v>
      </c>
      <c r="I977" s="18">
        <v>0</v>
      </c>
      <c r="J977" s="20" t="s">
        <v>1450</v>
      </c>
      <c r="K977" s="20" t="s">
        <v>25</v>
      </c>
      <c r="L977" s="27" t="s">
        <v>26</v>
      </c>
      <c r="M977" s="27" t="s">
        <v>26</v>
      </c>
      <c r="N977" s="21">
        <v>40.021840518535697</v>
      </c>
      <c r="O977" s="10">
        <v>-78.5020652091236</v>
      </c>
      <c r="P977" s="22">
        <v>1419</v>
      </c>
      <c r="Q977" s="23">
        <v>44208</v>
      </c>
      <c r="R977" s="22" t="s">
        <v>1530</v>
      </c>
      <c r="S977" s="22" t="s">
        <v>517</v>
      </c>
      <c r="T977" s="24">
        <f t="shared" si="30"/>
        <v>1521.1680000000001</v>
      </c>
    </row>
    <row r="978" spans="1:20" x14ac:dyDescent="0.25">
      <c r="A978" s="8">
        <v>85</v>
      </c>
      <c r="B978" s="8" t="s">
        <v>2312</v>
      </c>
      <c r="C978" s="8">
        <v>9</v>
      </c>
      <c r="D978" s="8" t="s">
        <v>2332</v>
      </c>
      <c r="E978" s="8" t="s">
        <v>2362</v>
      </c>
      <c r="F978" s="18" t="s">
        <v>1003</v>
      </c>
      <c r="G978" s="18" t="s">
        <v>1142</v>
      </c>
      <c r="H978" s="18">
        <v>60</v>
      </c>
      <c r="I978" s="18">
        <v>172</v>
      </c>
      <c r="J978" s="20" t="s">
        <v>2365</v>
      </c>
      <c r="K978" s="20" t="s">
        <v>25</v>
      </c>
      <c r="L978" s="27" t="s">
        <v>26</v>
      </c>
      <c r="M978" s="27" t="s">
        <v>26</v>
      </c>
      <c r="N978" s="21">
        <v>40.020150757162</v>
      </c>
      <c r="O978" s="10">
        <v>-78.510622994316194</v>
      </c>
      <c r="P978" s="22">
        <v>56</v>
      </c>
      <c r="Q978" s="23">
        <v>44202</v>
      </c>
      <c r="R978" s="22" t="s">
        <v>1530</v>
      </c>
      <c r="S978" s="22" t="s">
        <v>34</v>
      </c>
      <c r="T978" s="24">
        <f t="shared" si="30"/>
        <v>60.032000000000004</v>
      </c>
    </row>
    <row r="979" spans="1:20" x14ac:dyDescent="0.25">
      <c r="A979" s="8">
        <v>86</v>
      </c>
      <c r="B979" s="8" t="s">
        <v>2312</v>
      </c>
      <c r="C979" s="8">
        <v>9</v>
      </c>
      <c r="D979" s="8" t="s">
        <v>2332</v>
      </c>
      <c r="E979" s="8" t="s">
        <v>2362</v>
      </c>
      <c r="F979" s="18" t="s">
        <v>1003</v>
      </c>
      <c r="G979" s="18" t="s">
        <v>1142</v>
      </c>
      <c r="H979" s="18">
        <v>60</v>
      </c>
      <c r="I979" s="18">
        <v>2221</v>
      </c>
      <c r="J979" s="20" t="s">
        <v>2366</v>
      </c>
      <c r="K979" s="20" t="s">
        <v>25</v>
      </c>
      <c r="L979" s="27" t="s">
        <v>26</v>
      </c>
      <c r="M979" s="27" t="s">
        <v>26</v>
      </c>
      <c r="N979" s="21">
        <v>40.018999641404498</v>
      </c>
      <c r="O979" s="10">
        <v>-78.503770792179196</v>
      </c>
      <c r="P979" s="22">
        <v>1864</v>
      </c>
      <c r="Q979" s="23">
        <v>44202</v>
      </c>
      <c r="R979" s="22" t="s">
        <v>1530</v>
      </c>
      <c r="S979" s="22" t="s">
        <v>28</v>
      </c>
      <c r="T979" s="24">
        <f t="shared" si="30"/>
        <v>1998.2080000000001</v>
      </c>
    </row>
    <row r="980" spans="1:20" x14ac:dyDescent="0.25">
      <c r="A980" s="8">
        <v>175</v>
      </c>
      <c r="B980" s="8" t="s">
        <v>2312</v>
      </c>
      <c r="C980" s="8">
        <v>9</v>
      </c>
      <c r="D980" s="8" t="s">
        <v>2367</v>
      </c>
      <c r="E980" s="8" t="s">
        <v>2368</v>
      </c>
      <c r="F980" s="18" t="s">
        <v>1161</v>
      </c>
      <c r="G980" s="18" t="s">
        <v>1162</v>
      </c>
      <c r="H980" s="18">
        <v>170</v>
      </c>
      <c r="I980" s="18">
        <v>0</v>
      </c>
      <c r="J980" s="20" t="s">
        <v>2369</v>
      </c>
      <c r="K980" s="20" t="s">
        <v>25</v>
      </c>
      <c r="L980" s="27" t="s">
        <v>26</v>
      </c>
      <c r="M980" s="27" t="s">
        <v>26</v>
      </c>
      <c r="N980" s="21">
        <v>40.4610084006516</v>
      </c>
      <c r="O980" s="10">
        <v>-78.769334182310502</v>
      </c>
      <c r="P980" s="22">
        <v>1445</v>
      </c>
      <c r="Q980" s="23">
        <v>44259</v>
      </c>
      <c r="R980" s="22" t="s">
        <v>1530</v>
      </c>
      <c r="S980" s="22" t="s">
        <v>28</v>
      </c>
      <c r="T980" s="24">
        <f t="shared" si="30"/>
        <v>1549.0400000000002</v>
      </c>
    </row>
    <row r="981" spans="1:20" x14ac:dyDescent="0.25">
      <c r="A981" s="8">
        <v>176</v>
      </c>
      <c r="B981" s="8" t="s">
        <v>2312</v>
      </c>
      <c r="C981" s="8">
        <v>9</v>
      </c>
      <c r="D981" s="8" t="s">
        <v>2367</v>
      </c>
      <c r="E981" s="8" t="s">
        <v>2370</v>
      </c>
      <c r="F981" s="18" t="s">
        <v>2371</v>
      </c>
      <c r="G981" s="18" t="s">
        <v>314</v>
      </c>
      <c r="H981" s="18">
        <v>480</v>
      </c>
      <c r="I981" s="18">
        <v>2547</v>
      </c>
      <c r="J981" s="20" t="s">
        <v>2372</v>
      </c>
      <c r="K981" s="20" t="s">
        <v>25</v>
      </c>
      <c r="L981" s="27" t="s">
        <v>26</v>
      </c>
      <c r="M981" s="27" t="s">
        <v>26</v>
      </c>
      <c r="N981" s="21">
        <v>40.5516201320509</v>
      </c>
      <c r="O981" s="10">
        <v>-78.558670437140705</v>
      </c>
      <c r="P981" s="22">
        <v>159</v>
      </c>
      <c r="Q981" s="23">
        <v>44252</v>
      </c>
      <c r="R981" s="22" t="s">
        <v>1530</v>
      </c>
      <c r="S981" s="22" t="s">
        <v>517</v>
      </c>
      <c r="T981" s="24">
        <f t="shared" si="30"/>
        <v>170.44800000000001</v>
      </c>
    </row>
    <row r="982" spans="1:20" x14ac:dyDescent="0.25">
      <c r="A982" s="8">
        <v>177</v>
      </c>
      <c r="B982" s="8" t="s">
        <v>2312</v>
      </c>
      <c r="C982" s="8">
        <v>9</v>
      </c>
      <c r="D982" s="8" t="s">
        <v>2367</v>
      </c>
      <c r="E982" s="8" t="s">
        <v>2373</v>
      </c>
      <c r="F982" s="18" t="s">
        <v>2374</v>
      </c>
      <c r="G982" s="18" t="s">
        <v>314</v>
      </c>
      <c r="H982" s="18">
        <v>530</v>
      </c>
      <c r="I982" s="18">
        <v>2913</v>
      </c>
      <c r="J982" s="20" t="s">
        <v>2375</v>
      </c>
      <c r="K982" s="20" t="s">
        <v>25</v>
      </c>
      <c r="L982" s="27" t="s">
        <v>26</v>
      </c>
      <c r="M982" s="27" t="s">
        <v>26</v>
      </c>
      <c r="N982" s="21">
        <v>40.578690660924103</v>
      </c>
      <c r="O982" s="10">
        <v>-78.524169063257204</v>
      </c>
      <c r="P982" s="22">
        <v>32</v>
      </c>
      <c r="Q982" s="23">
        <v>44252</v>
      </c>
      <c r="R982" s="22" t="s">
        <v>33</v>
      </c>
      <c r="S982" s="22" t="s">
        <v>38</v>
      </c>
      <c r="T982" s="24">
        <f t="shared" si="30"/>
        <v>34.304000000000002</v>
      </c>
    </row>
    <row r="983" spans="1:20" x14ac:dyDescent="0.25">
      <c r="A983" s="8">
        <v>178</v>
      </c>
      <c r="B983" s="8" t="s">
        <v>2312</v>
      </c>
      <c r="C983" s="8">
        <v>9</v>
      </c>
      <c r="D983" s="8" t="s">
        <v>2367</v>
      </c>
      <c r="E983" s="8" t="s">
        <v>2376</v>
      </c>
      <c r="F983" s="18" t="s">
        <v>742</v>
      </c>
      <c r="G983" s="18" t="s">
        <v>2377</v>
      </c>
      <c r="H983" s="19">
        <v>90</v>
      </c>
      <c r="I983" s="19">
        <v>362</v>
      </c>
      <c r="J983" s="20" t="s">
        <v>462</v>
      </c>
      <c r="K983" s="20" t="s">
        <v>25</v>
      </c>
      <c r="L983" s="20" t="s">
        <v>26</v>
      </c>
      <c r="M983" s="20" t="s">
        <v>26</v>
      </c>
      <c r="N983" s="21">
        <v>40.344225238250203</v>
      </c>
      <c r="O983" s="10">
        <v>-78.937354210275998</v>
      </c>
      <c r="P983" s="22">
        <v>1286</v>
      </c>
      <c r="Q983" s="23">
        <v>44210</v>
      </c>
      <c r="R983" s="22" t="s">
        <v>1530</v>
      </c>
      <c r="S983" s="22" t="s">
        <v>28</v>
      </c>
      <c r="T983" s="24">
        <f t="shared" si="30"/>
        <v>1378.5920000000001</v>
      </c>
    </row>
    <row r="984" spans="1:20" x14ac:dyDescent="0.25">
      <c r="A984" s="8">
        <v>179</v>
      </c>
      <c r="B984" s="8" t="s">
        <v>2312</v>
      </c>
      <c r="C984" s="8">
        <v>9</v>
      </c>
      <c r="D984" s="8" t="s">
        <v>2367</v>
      </c>
      <c r="E984" s="8" t="s">
        <v>1573</v>
      </c>
      <c r="F984" s="18" t="s">
        <v>2378</v>
      </c>
      <c r="G984" s="18" t="s">
        <v>2377</v>
      </c>
      <c r="H984" s="19">
        <v>300</v>
      </c>
      <c r="I984" s="19">
        <v>977</v>
      </c>
      <c r="J984" s="20" t="s">
        <v>2379</v>
      </c>
      <c r="K984" s="51" t="s">
        <v>25</v>
      </c>
      <c r="L984" s="20" t="s">
        <v>26</v>
      </c>
      <c r="M984" s="20" t="s">
        <v>26</v>
      </c>
      <c r="N984" s="21">
        <v>40.270889996283302</v>
      </c>
      <c r="O984" s="10">
        <v>-78.857844419027202</v>
      </c>
      <c r="P984" s="22">
        <v>7222</v>
      </c>
      <c r="Q984" s="23">
        <v>44210</v>
      </c>
      <c r="R984" s="22" t="s">
        <v>1530</v>
      </c>
      <c r="S984" s="22" t="s">
        <v>38</v>
      </c>
      <c r="T984" s="24">
        <f t="shared" si="30"/>
        <v>7741.9840000000004</v>
      </c>
    </row>
    <row r="985" spans="1:20" x14ac:dyDescent="0.25">
      <c r="A985" s="8">
        <v>180</v>
      </c>
      <c r="B985" s="8" t="s">
        <v>2312</v>
      </c>
      <c r="C985" s="8">
        <v>9</v>
      </c>
      <c r="D985" s="8" t="s">
        <v>2367</v>
      </c>
      <c r="E985" s="8" t="s">
        <v>1221</v>
      </c>
      <c r="F985" s="18" t="s">
        <v>2380</v>
      </c>
      <c r="G985" s="18" t="s">
        <v>2381</v>
      </c>
      <c r="H985" s="18">
        <v>90</v>
      </c>
      <c r="I985" s="18">
        <v>2233</v>
      </c>
      <c r="J985" s="20" t="s">
        <v>2382</v>
      </c>
      <c r="K985" s="20" t="s">
        <v>25</v>
      </c>
      <c r="L985" s="27" t="s">
        <v>26</v>
      </c>
      <c r="M985" s="27" t="s">
        <v>26</v>
      </c>
      <c r="N985" s="21">
        <v>40.291402037026501</v>
      </c>
      <c r="O985" s="10">
        <v>-78.774697859774506</v>
      </c>
      <c r="P985" s="22">
        <v>1087</v>
      </c>
      <c r="Q985" s="23">
        <v>44210</v>
      </c>
      <c r="R985" s="22" t="s">
        <v>1530</v>
      </c>
      <c r="S985" s="22" t="s">
        <v>28</v>
      </c>
      <c r="T985" s="24">
        <f t="shared" si="30"/>
        <v>1165.2640000000001</v>
      </c>
    </row>
    <row r="986" spans="1:20" x14ac:dyDescent="0.25">
      <c r="A986" s="8">
        <v>181</v>
      </c>
      <c r="B986" s="8" t="s">
        <v>2312</v>
      </c>
      <c r="C986" s="8">
        <v>9</v>
      </c>
      <c r="D986" s="8" t="s">
        <v>2367</v>
      </c>
      <c r="E986" s="8" t="s">
        <v>2383</v>
      </c>
      <c r="F986" s="18" t="s">
        <v>143</v>
      </c>
      <c r="G986" s="18" t="s">
        <v>2384</v>
      </c>
      <c r="H986" s="18">
        <v>500</v>
      </c>
      <c r="I986" s="18">
        <v>0</v>
      </c>
      <c r="J986" s="20" t="s">
        <v>2385</v>
      </c>
      <c r="K986" s="20" t="s">
        <v>25</v>
      </c>
      <c r="L986" s="27" t="s">
        <v>26</v>
      </c>
      <c r="M986" s="27" t="s">
        <v>26</v>
      </c>
      <c r="N986" s="21">
        <v>40.470744952503203</v>
      </c>
      <c r="O986" s="10">
        <v>-78.835743824030203</v>
      </c>
      <c r="P986" s="22">
        <v>1938</v>
      </c>
      <c r="Q986" s="23">
        <v>44259</v>
      </c>
      <c r="R986" s="22" t="s">
        <v>33</v>
      </c>
      <c r="S986" s="22" t="s">
        <v>517</v>
      </c>
      <c r="T986" s="24">
        <f t="shared" si="30"/>
        <v>2077.5360000000001</v>
      </c>
    </row>
    <row r="987" spans="1:20" x14ac:dyDescent="0.25">
      <c r="A987" s="8">
        <v>182</v>
      </c>
      <c r="B987" s="8" t="s">
        <v>2312</v>
      </c>
      <c r="C987" s="8">
        <v>9</v>
      </c>
      <c r="D987" s="8" t="s">
        <v>2367</v>
      </c>
      <c r="E987" s="8" t="s">
        <v>2386</v>
      </c>
      <c r="F987" s="18" t="s">
        <v>1191</v>
      </c>
      <c r="G987" s="18" t="s">
        <v>1192</v>
      </c>
      <c r="H987" s="18">
        <v>20</v>
      </c>
      <c r="I987" s="18">
        <v>0</v>
      </c>
      <c r="J987" s="20" t="s">
        <v>2387</v>
      </c>
      <c r="K987" s="20" t="s">
        <v>25</v>
      </c>
      <c r="L987" s="27" t="s">
        <v>26</v>
      </c>
      <c r="M987" s="27" t="s">
        <v>26</v>
      </c>
      <c r="N987" s="21">
        <v>40.527646938332197</v>
      </c>
      <c r="O987" s="10">
        <v>-78.889174443929804</v>
      </c>
      <c r="P987" s="22">
        <v>164</v>
      </c>
      <c r="Q987" s="23">
        <v>44252</v>
      </c>
      <c r="R987" s="22" t="s">
        <v>1530</v>
      </c>
      <c r="S987" s="22" t="s">
        <v>38</v>
      </c>
      <c r="T987" s="24">
        <f t="shared" si="30"/>
        <v>175.80800000000002</v>
      </c>
    </row>
    <row r="988" spans="1:20" x14ac:dyDescent="0.25">
      <c r="A988" s="8">
        <v>183</v>
      </c>
      <c r="B988" s="8" t="s">
        <v>2312</v>
      </c>
      <c r="C988" s="8">
        <v>9</v>
      </c>
      <c r="D988" s="8" t="s">
        <v>2367</v>
      </c>
      <c r="E988" s="8" t="s">
        <v>2368</v>
      </c>
      <c r="F988" s="18" t="s">
        <v>1191</v>
      </c>
      <c r="G988" s="18" t="s">
        <v>1192</v>
      </c>
      <c r="H988" s="18">
        <v>110</v>
      </c>
      <c r="I988" s="18">
        <v>2845</v>
      </c>
      <c r="J988" s="20" t="s">
        <v>2388</v>
      </c>
      <c r="K988" s="20" t="s">
        <v>25</v>
      </c>
      <c r="L988" s="27" t="s">
        <v>26</v>
      </c>
      <c r="M988" s="27" t="s">
        <v>26</v>
      </c>
      <c r="N988" s="21">
        <v>40.502819302477597</v>
      </c>
      <c r="O988" s="10">
        <v>-78.789386858100499</v>
      </c>
      <c r="P988" s="22">
        <v>207</v>
      </c>
      <c r="Q988" s="23">
        <v>44252</v>
      </c>
      <c r="R988" s="22" t="s">
        <v>1530</v>
      </c>
      <c r="S988" s="22" t="s">
        <v>28</v>
      </c>
      <c r="T988" s="24">
        <f t="shared" si="30"/>
        <v>221.90400000000002</v>
      </c>
    </row>
    <row r="989" spans="1:20" x14ac:dyDescent="0.25">
      <c r="A989" s="8">
        <v>184</v>
      </c>
      <c r="B989" s="8" t="s">
        <v>2312</v>
      </c>
      <c r="C989" s="8">
        <v>9</v>
      </c>
      <c r="D989" s="8" t="s">
        <v>2367</v>
      </c>
      <c r="E989" s="8" t="s">
        <v>2389</v>
      </c>
      <c r="F989" s="18" t="s">
        <v>132</v>
      </c>
      <c r="G989" s="18" t="s">
        <v>2390</v>
      </c>
      <c r="H989" s="18">
        <v>130</v>
      </c>
      <c r="I989" s="18">
        <v>0</v>
      </c>
      <c r="J989" s="20" t="s">
        <v>2391</v>
      </c>
      <c r="K989" s="20" t="s">
        <v>25</v>
      </c>
      <c r="L989" s="27" t="s">
        <v>26</v>
      </c>
      <c r="M989" s="27" t="s">
        <v>26</v>
      </c>
      <c r="N989" s="21">
        <v>40.5856655744428</v>
      </c>
      <c r="O989" s="10">
        <v>-78.747581576520204</v>
      </c>
      <c r="P989" s="22">
        <v>120</v>
      </c>
      <c r="Q989" s="23">
        <v>44252</v>
      </c>
      <c r="R989" s="22" t="s">
        <v>1530</v>
      </c>
      <c r="S989" s="22" t="s">
        <v>28</v>
      </c>
      <c r="T989" s="24">
        <f t="shared" si="30"/>
        <v>128.64000000000001</v>
      </c>
    </row>
    <row r="990" spans="1:20" x14ac:dyDescent="0.25">
      <c r="A990" s="8">
        <v>185</v>
      </c>
      <c r="B990" s="8" t="s">
        <v>2312</v>
      </c>
      <c r="C990" s="8">
        <v>9</v>
      </c>
      <c r="D990" s="8" t="s">
        <v>2367</v>
      </c>
      <c r="E990" s="8" t="s">
        <v>2376</v>
      </c>
      <c r="F990" s="18" t="s">
        <v>2392</v>
      </c>
      <c r="G990" s="18" t="s">
        <v>2393</v>
      </c>
      <c r="H990" s="19">
        <v>10</v>
      </c>
      <c r="I990" s="19">
        <v>163</v>
      </c>
      <c r="J990" s="20" t="s">
        <v>2394</v>
      </c>
      <c r="K990" s="20" t="s">
        <v>25</v>
      </c>
      <c r="L990" s="20" t="s">
        <v>26</v>
      </c>
      <c r="M990" s="20" t="s">
        <v>26</v>
      </c>
      <c r="N990" s="21">
        <v>40.299304784036202</v>
      </c>
      <c r="O990" s="10">
        <v>-78.911262330311104</v>
      </c>
      <c r="P990" s="22">
        <v>1423</v>
      </c>
      <c r="Q990" s="23">
        <v>44210</v>
      </c>
      <c r="R990" s="22" t="s">
        <v>1530</v>
      </c>
      <c r="S990" s="22" t="s">
        <v>34</v>
      </c>
      <c r="T990" s="24">
        <f t="shared" si="30"/>
        <v>1525.4560000000001</v>
      </c>
    </row>
    <row r="991" spans="1:20" x14ac:dyDescent="0.25">
      <c r="A991" s="8">
        <v>186</v>
      </c>
      <c r="B991" s="8" t="s">
        <v>2312</v>
      </c>
      <c r="C991" s="8">
        <v>9</v>
      </c>
      <c r="D991" s="8" t="s">
        <v>2367</v>
      </c>
      <c r="E991" s="8" t="s">
        <v>2395</v>
      </c>
      <c r="F991" s="18" t="s">
        <v>2396</v>
      </c>
      <c r="G991" s="18" t="s">
        <v>2277</v>
      </c>
      <c r="H991" s="18">
        <v>160</v>
      </c>
      <c r="I991" s="18">
        <v>0</v>
      </c>
      <c r="J991" s="20" t="s">
        <v>2397</v>
      </c>
      <c r="K991" s="20" t="s">
        <v>25</v>
      </c>
      <c r="L991" s="27" t="s">
        <v>26</v>
      </c>
      <c r="M991" s="27" t="s">
        <v>26</v>
      </c>
      <c r="N991" s="21">
        <v>40.675955820900903</v>
      </c>
      <c r="O991" s="10">
        <v>-78.505228970451398</v>
      </c>
      <c r="P991" s="22">
        <v>64</v>
      </c>
      <c r="Q991" s="23">
        <v>44252</v>
      </c>
      <c r="R991" s="22" t="s">
        <v>33</v>
      </c>
      <c r="S991" s="22" t="s">
        <v>28</v>
      </c>
      <c r="T991" s="24">
        <f t="shared" si="30"/>
        <v>68.608000000000004</v>
      </c>
    </row>
    <row r="992" spans="1:20" x14ac:dyDescent="0.25">
      <c r="A992" s="8">
        <v>187</v>
      </c>
      <c r="B992" s="8" t="s">
        <v>2312</v>
      </c>
      <c r="C992" s="8">
        <v>9</v>
      </c>
      <c r="D992" s="8" t="s">
        <v>2367</v>
      </c>
      <c r="E992" s="8" t="s">
        <v>2398</v>
      </c>
      <c r="F992" s="18" t="s">
        <v>2399</v>
      </c>
      <c r="G992" s="18" t="s">
        <v>2326</v>
      </c>
      <c r="H992" s="18">
        <v>30</v>
      </c>
      <c r="I992" s="18">
        <v>1379</v>
      </c>
      <c r="J992" s="20" t="s">
        <v>2400</v>
      </c>
      <c r="K992" s="20" t="s">
        <v>25</v>
      </c>
      <c r="L992" s="27" t="s">
        <v>26</v>
      </c>
      <c r="M992" s="27" t="s">
        <v>26</v>
      </c>
      <c r="N992" s="21">
        <v>40.484963022508197</v>
      </c>
      <c r="O992" s="10">
        <v>-78.733330812550093</v>
      </c>
      <c r="P992" s="22">
        <v>51</v>
      </c>
      <c r="Q992" s="23">
        <v>44259</v>
      </c>
      <c r="R992" s="22" t="s">
        <v>1530</v>
      </c>
      <c r="S992" s="22" t="s">
        <v>28</v>
      </c>
      <c r="T992" s="24">
        <f t="shared" si="30"/>
        <v>54.672000000000004</v>
      </c>
    </row>
    <row r="993" spans="1:20" x14ac:dyDescent="0.25">
      <c r="A993" s="8">
        <v>188</v>
      </c>
      <c r="B993" s="8" t="s">
        <v>2312</v>
      </c>
      <c r="C993" s="8">
        <v>9</v>
      </c>
      <c r="D993" s="8" t="s">
        <v>2367</v>
      </c>
      <c r="E993" s="8" t="s">
        <v>2398</v>
      </c>
      <c r="F993" s="18" t="s">
        <v>2401</v>
      </c>
      <c r="G993" s="18" t="s">
        <v>2326</v>
      </c>
      <c r="H993" s="18">
        <v>50</v>
      </c>
      <c r="I993" s="18">
        <v>0</v>
      </c>
      <c r="J993" s="20" t="s">
        <v>1067</v>
      </c>
      <c r="K993" s="20" t="s">
        <v>25</v>
      </c>
      <c r="L993" s="27" t="s">
        <v>26</v>
      </c>
      <c r="M993" s="27" t="s">
        <v>26</v>
      </c>
      <c r="N993" s="21">
        <v>40.485140107861099</v>
      </c>
      <c r="O993" s="10">
        <v>-78.7227920227742</v>
      </c>
      <c r="P993" s="22">
        <v>492</v>
      </c>
      <c r="Q993" s="23">
        <v>44259</v>
      </c>
      <c r="R993" s="22" t="s">
        <v>1530</v>
      </c>
      <c r="S993" s="22" t="s">
        <v>34</v>
      </c>
      <c r="T993" s="24">
        <f t="shared" si="30"/>
        <v>527.42399999999998</v>
      </c>
    </row>
    <row r="994" spans="1:20" x14ac:dyDescent="0.25">
      <c r="A994" s="8">
        <v>189</v>
      </c>
      <c r="B994" s="8" t="s">
        <v>2312</v>
      </c>
      <c r="C994" s="8">
        <v>9</v>
      </c>
      <c r="D994" s="8" t="s">
        <v>2367</v>
      </c>
      <c r="E994" s="8" t="s">
        <v>2398</v>
      </c>
      <c r="F994" s="18" t="s">
        <v>2401</v>
      </c>
      <c r="G994" s="18" t="s">
        <v>2326</v>
      </c>
      <c r="H994" s="18">
        <v>50</v>
      </c>
      <c r="I994" s="18">
        <v>596</v>
      </c>
      <c r="J994" s="20" t="s">
        <v>2402</v>
      </c>
      <c r="K994" s="20" t="s">
        <v>25</v>
      </c>
      <c r="L994" s="27" t="s">
        <v>26</v>
      </c>
      <c r="M994" s="27" t="s">
        <v>26</v>
      </c>
      <c r="N994" s="21">
        <v>40.485117331320801</v>
      </c>
      <c r="O994" s="10">
        <v>-78.720751088689397</v>
      </c>
      <c r="P994" s="22">
        <v>243</v>
      </c>
      <c r="Q994" s="23">
        <v>44259</v>
      </c>
      <c r="R994" s="22" t="s">
        <v>1530</v>
      </c>
      <c r="S994" s="22" t="s">
        <v>28</v>
      </c>
      <c r="T994" s="24">
        <f t="shared" si="30"/>
        <v>260.49600000000004</v>
      </c>
    </row>
    <row r="995" spans="1:20" x14ac:dyDescent="0.25">
      <c r="A995" s="8">
        <v>190</v>
      </c>
      <c r="B995" s="8" t="s">
        <v>2312</v>
      </c>
      <c r="C995" s="8">
        <v>9</v>
      </c>
      <c r="D995" s="8" t="s">
        <v>2367</v>
      </c>
      <c r="E995" s="8" t="s">
        <v>2398</v>
      </c>
      <c r="F995" s="18" t="s">
        <v>2401</v>
      </c>
      <c r="G995" s="18" t="s">
        <v>2326</v>
      </c>
      <c r="H995" s="18">
        <v>50</v>
      </c>
      <c r="I995" s="18">
        <v>896</v>
      </c>
      <c r="J995" s="20" t="s">
        <v>2403</v>
      </c>
      <c r="K995" s="20" t="s">
        <v>25</v>
      </c>
      <c r="L995" s="27" t="s">
        <v>26</v>
      </c>
      <c r="M995" s="27" t="s">
        <v>26</v>
      </c>
      <c r="N995" s="21">
        <v>40.485111272500397</v>
      </c>
      <c r="O995" s="10">
        <v>-78.719723728335595</v>
      </c>
      <c r="P995" s="22">
        <v>146</v>
      </c>
      <c r="Q995" s="23">
        <v>44259</v>
      </c>
      <c r="R995" s="22" t="s">
        <v>1530</v>
      </c>
      <c r="S995" s="22" t="s">
        <v>34</v>
      </c>
      <c r="T995" s="24">
        <f t="shared" si="30"/>
        <v>156.512</v>
      </c>
    </row>
    <row r="996" spans="1:20" x14ac:dyDescent="0.25">
      <c r="A996" s="8">
        <v>191</v>
      </c>
      <c r="B996" s="8" t="s">
        <v>2312</v>
      </c>
      <c r="C996" s="8">
        <v>9</v>
      </c>
      <c r="D996" s="8" t="s">
        <v>2367</v>
      </c>
      <c r="E996" s="8" t="s">
        <v>2398</v>
      </c>
      <c r="F996" s="18" t="s">
        <v>2401</v>
      </c>
      <c r="G996" s="18" t="s">
        <v>2326</v>
      </c>
      <c r="H996" s="18">
        <v>50</v>
      </c>
      <c r="I996" s="18">
        <v>945</v>
      </c>
      <c r="J996" s="20" t="s">
        <v>124</v>
      </c>
      <c r="K996" s="20" t="s">
        <v>25</v>
      </c>
      <c r="L996" s="27" t="s">
        <v>26</v>
      </c>
      <c r="M996" s="27" t="s">
        <v>26</v>
      </c>
      <c r="N996" s="21">
        <v>40.485105997691797</v>
      </c>
      <c r="O996" s="10">
        <v>-78.719556211301494</v>
      </c>
      <c r="P996" s="22">
        <v>440</v>
      </c>
      <c r="Q996" s="23">
        <v>44259</v>
      </c>
      <c r="R996" s="22" t="s">
        <v>1530</v>
      </c>
      <c r="S996" s="22" t="s">
        <v>38</v>
      </c>
      <c r="T996" s="24">
        <f t="shared" si="30"/>
        <v>471.68</v>
      </c>
    </row>
    <row r="997" spans="1:20" x14ac:dyDescent="0.25">
      <c r="A997" s="8">
        <v>192</v>
      </c>
      <c r="B997" s="8" t="s">
        <v>2312</v>
      </c>
      <c r="C997" s="8">
        <v>9</v>
      </c>
      <c r="D997" s="8" t="s">
        <v>2367</v>
      </c>
      <c r="E997" s="8" t="s">
        <v>2398</v>
      </c>
      <c r="F997" s="18" t="s">
        <v>2401</v>
      </c>
      <c r="G997" s="18" t="s">
        <v>2326</v>
      </c>
      <c r="H997" s="18">
        <v>50</v>
      </c>
      <c r="I997" s="18">
        <v>1775</v>
      </c>
      <c r="J997" s="20" t="s">
        <v>2404</v>
      </c>
      <c r="K997" s="20" t="s">
        <v>25</v>
      </c>
      <c r="L997" s="27" t="s">
        <v>26</v>
      </c>
      <c r="M997" s="27" t="s">
        <v>26</v>
      </c>
      <c r="N997" s="21">
        <v>40.484214487150503</v>
      </c>
      <c r="O997" s="10">
        <v>-78.716907168915697</v>
      </c>
      <c r="P997" s="22">
        <v>332</v>
      </c>
      <c r="Q997" s="23">
        <v>44259</v>
      </c>
      <c r="R997" s="22" t="s">
        <v>1530</v>
      </c>
      <c r="S997" s="22" t="s">
        <v>34</v>
      </c>
      <c r="T997" s="24">
        <f t="shared" si="30"/>
        <v>355.904</v>
      </c>
    </row>
    <row r="998" spans="1:20" x14ac:dyDescent="0.25">
      <c r="A998" s="8">
        <v>193</v>
      </c>
      <c r="B998" s="8" t="s">
        <v>2312</v>
      </c>
      <c r="C998" s="8">
        <v>9</v>
      </c>
      <c r="D998" s="8" t="s">
        <v>2367</v>
      </c>
      <c r="E998" s="8" t="s">
        <v>2398</v>
      </c>
      <c r="F998" s="18" t="s">
        <v>2401</v>
      </c>
      <c r="G998" s="18" t="s">
        <v>2326</v>
      </c>
      <c r="H998" s="18">
        <v>50</v>
      </c>
      <c r="I998" s="18">
        <v>2032</v>
      </c>
      <c r="J998" s="20" t="s">
        <v>2405</v>
      </c>
      <c r="K998" s="20" t="s">
        <v>25</v>
      </c>
      <c r="L998" s="27" t="s">
        <v>26</v>
      </c>
      <c r="M998" s="27" t="s">
        <v>26</v>
      </c>
      <c r="N998" s="21">
        <v>40.483625312858798</v>
      </c>
      <c r="O998" s="10">
        <v>-78.7162538375362</v>
      </c>
      <c r="P998" s="22">
        <v>1102</v>
      </c>
      <c r="Q998" s="23">
        <v>44259</v>
      </c>
      <c r="R998" s="22" t="s">
        <v>1530</v>
      </c>
      <c r="S998" s="22" t="s">
        <v>517</v>
      </c>
      <c r="T998" s="24">
        <f t="shared" si="30"/>
        <v>1181.3440000000001</v>
      </c>
    </row>
    <row r="999" spans="1:20" x14ac:dyDescent="0.25">
      <c r="A999" s="8">
        <v>194</v>
      </c>
      <c r="B999" s="8" t="s">
        <v>2312</v>
      </c>
      <c r="C999" s="8">
        <v>9</v>
      </c>
      <c r="D999" s="8" t="s">
        <v>2367</v>
      </c>
      <c r="E999" s="8" t="s">
        <v>2406</v>
      </c>
      <c r="F999" s="18" t="s">
        <v>2407</v>
      </c>
      <c r="G999" s="18" t="s">
        <v>241</v>
      </c>
      <c r="H999" s="19">
        <v>90</v>
      </c>
      <c r="I999" s="19">
        <v>369</v>
      </c>
      <c r="J999" s="20" t="s">
        <v>2408</v>
      </c>
      <c r="K999" s="20" t="s">
        <v>25</v>
      </c>
      <c r="L999" s="20" t="s">
        <v>26</v>
      </c>
      <c r="M999" s="20" t="s">
        <v>26</v>
      </c>
      <c r="N999" s="21">
        <v>40.316601404271502</v>
      </c>
      <c r="O999" s="10">
        <v>-78.956691197139307</v>
      </c>
      <c r="P999" s="22">
        <v>518</v>
      </c>
      <c r="Q999" s="23">
        <v>44210</v>
      </c>
      <c r="R999" s="22" t="s">
        <v>1530</v>
      </c>
      <c r="S999" s="22" t="s">
        <v>38</v>
      </c>
      <c r="T999" s="24">
        <f t="shared" si="30"/>
        <v>555.29600000000005</v>
      </c>
    </row>
    <row r="1000" spans="1:20" x14ac:dyDescent="0.25">
      <c r="A1000" s="8">
        <v>195</v>
      </c>
      <c r="B1000" s="8" t="s">
        <v>2312</v>
      </c>
      <c r="C1000" s="8">
        <v>9</v>
      </c>
      <c r="D1000" s="8" t="s">
        <v>2367</v>
      </c>
      <c r="E1000" s="8" t="s">
        <v>2409</v>
      </c>
      <c r="F1000" s="18" t="s">
        <v>2410</v>
      </c>
      <c r="G1000" s="18" t="s">
        <v>1383</v>
      </c>
      <c r="H1000" s="19">
        <v>70</v>
      </c>
      <c r="I1000" s="19">
        <v>1652</v>
      </c>
      <c r="J1000" s="20" t="s">
        <v>2411</v>
      </c>
      <c r="K1000" s="20" t="s">
        <v>25</v>
      </c>
      <c r="L1000" s="20" t="s">
        <v>26</v>
      </c>
      <c r="M1000" s="20" t="s">
        <v>26</v>
      </c>
      <c r="N1000" s="21">
        <v>40.310979429076802</v>
      </c>
      <c r="O1000" s="10">
        <v>-78.901174519365199</v>
      </c>
      <c r="P1000" s="22">
        <v>1527</v>
      </c>
      <c r="Q1000" s="23">
        <v>44210</v>
      </c>
      <c r="R1000" s="22" t="s">
        <v>1530</v>
      </c>
      <c r="S1000" s="22" t="s">
        <v>34</v>
      </c>
      <c r="T1000" s="24">
        <f t="shared" si="30"/>
        <v>1636.9440000000002</v>
      </c>
    </row>
    <row r="1001" spans="1:20" x14ac:dyDescent="0.25">
      <c r="A1001" s="8">
        <v>196</v>
      </c>
      <c r="B1001" s="8" t="s">
        <v>2312</v>
      </c>
      <c r="C1001" s="8">
        <v>9</v>
      </c>
      <c r="D1001" s="8" t="s">
        <v>2367</v>
      </c>
      <c r="E1001" s="8" t="s">
        <v>1573</v>
      </c>
      <c r="F1001" s="18" t="s">
        <v>2378</v>
      </c>
      <c r="G1001" s="18" t="s">
        <v>1383</v>
      </c>
      <c r="H1001" s="19">
        <v>120</v>
      </c>
      <c r="I1001" s="19">
        <v>1330</v>
      </c>
      <c r="J1001" s="20" t="s">
        <v>2379</v>
      </c>
      <c r="K1001" s="20" t="s">
        <v>25</v>
      </c>
      <c r="L1001" s="20" t="s">
        <v>26</v>
      </c>
      <c r="M1001" s="20" t="s">
        <v>26</v>
      </c>
      <c r="N1001" s="21">
        <v>40.288222661217297</v>
      </c>
      <c r="O1001" s="10">
        <v>-78.866667145960093</v>
      </c>
      <c r="P1001" s="22">
        <v>1858</v>
      </c>
      <c r="Q1001" s="23">
        <v>44210</v>
      </c>
      <c r="R1001" s="22" t="s">
        <v>1530</v>
      </c>
      <c r="S1001" s="22" t="s">
        <v>517</v>
      </c>
      <c r="T1001" s="24">
        <f t="shared" si="30"/>
        <v>1991.7760000000001</v>
      </c>
    </row>
    <row r="1002" spans="1:20" x14ac:dyDescent="0.25">
      <c r="A1002" s="8">
        <v>197</v>
      </c>
      <c r="B1002" s="8" t="s">
        <v>2312</v>
      </c>
      <c r="C1002" s="8">
        <v>9</v>
      </c>
      <c r="D1002" s="8" t="s">
        <v>2367</v>
      </c>
      <c r="E1002" s="8" t="s">
        <v>1573</v>
      </c>
      <c r="F1002" s="18" t="s">
        <v>2412</v>
      </c>
      <c r="G1002" s="18" t="s">
        <v>2413</v>
      </c>
      <c r="H1002" s="19">
        <v>10</v>
      </c>
      <c r="I1002" s="19">
        <v>91</v>
      </c>
      <c r="J1002" s="20" t="s">
        <v>2414</v>
      </c>
      <c r="K1002" s="20" t="s">
        <v>25</v>
      </c>
      <c r="L1002" s="20" t="s">
        <v>26</v>
      </c>
      <c r="M1002" s="20" t="s">
        <v>26</v>
      </c>
      <c r="N1002" s="21">
        <v>40.304680902894503</v>
      </c>
      <c r="O1002" s="10">
        <v>-78.851950303042102</v>
      </c>
      <c r="P1002" s="22">
        <v>18</v>
      </c>
      <c r="Q1002" s="23">
        <v>44210</v>
      </c>
      <c r="R1002" s="22" t="s">
        <v>1530</v>
      </c>
      <c r="S1002" s="22" t="s">
        <v>34</v>
      </c>
      <c r="T1002" s="24">
        <f t="shared" si="30"/>
        <v>19.295999999999999</v>
      </c>
    </row>
    <row r="1003" spans="1:20" x14ac:dyDescent="0.25">
      <c r="A1003" s="8">
        <v>198</v>
      </c>
      <c r="B1003" s="8" t="s">
        <v>2312</v>
      </c>
      <c r="C1003" s="8">
        <v>9</v>
      </c>
      <c r="D1003" s="8" t="s">
        <v>2367</v>
      </c>
      <c r="E1003" s="8" t="s">
        <v>2398</v>
      </c>
      <c r="F1003" s="18" t="s">
        <v>124</v>
      </c>
      <c r="G1003" s="18" t="s">
        <v>1154</v>
      </c>
      <c r="H1003" s="18">
        <v>30</v>
      </c>
      <c r="I1003" s="18">
        <v>772</v>
      </c>
      <c r="J1003" s="20" t="s">
        <v>2415</v>
      </c>
      <c r="K1003" s="20" t="s">
        <v>25</v>
      </c>
      <c r="L1003" s="27" t="s">
        <v>26</v>
      </c>
      <c r="M1003" s="27" t="s">
        <v>26</v>
      </c>
      <c r="N1003" s="21">
        <v>40.483304345773099</v>
      </c>
      <c r="O1003" s="10">
        <v>-78.733643415607006</v>
      </c>
      <c r="P1003" s="22">
        <v>321</v>
      </c>
      <c r="Q1003" s="23">
        <v>44259</v>
      </c>
      <c r="R1003" s="22" t="s">
        <v>1530</v>
      </c>
      <c r="S1003" s="22" t="s">
        <v>28</v>
      </c>
      <c r="T1003" s="24">
        <f t="shared" si="30"/>
        <v>344.11200000000002</v>
      </c>
    </row>
    <row r="1004" spans="1:20" x14ac:dyDescent="0.25">
      <c r="A1004" s="8">
        <v>490</v>
      </c>
      <c r="B1004" s="8" t="s">
        <v>2312</v>
      </c>
      <c r="C1004" s="8">
        <v>12</v>
      </c>
      <c r="D1004" s="8" t="s">
        <v>2416</v>
      </c>
      <c r="E1004" s="8" t="s">
        <v>2417</v>
      </c>
      <c r="F1004" s="18" t="s">
        <v>2418</v>
      </c>
      <c r="G1004" s="18" t="s">
        <v>2419</v>
      </c>
      <c r="H1004" s="19">
        <v>290</v>
      </c>
      <c r="I1004" s="19">
        <v>690</v>
      </c>
      <c r="J1004" s="20" t="s">
        <v>2420</v>
      </c>
      <c r="K1004" s="20" t="s">
        <v>25</v>
      </c>
      <c r="L1004" s="27" t="s">
        <v>26</v>
      </c>
      <c r="M1004" s="27" t="s">
        <v>26</v>
      </c>
      <c r="N1004" s="21">
        <v>39.902359064763999</v>
      </c>
      <c r="O1004" s="10">
        <v>-79.752038421381798</v>
      </c>
      <c r="P1004" s="22">
        <v>5582</v>
      </c>
      <c r="Q1004" s="23">
        <v>44230</v>
      </c>
      <c r="R1004" s="22" t="s">
        <v>1530</v>
      </c>
      <c r="S1004" s="22" t="s">
        <v>34</v>
      </c>
      <c r="T1004" s="24">
        <f t="shared" ref="T1004:T1017" si="31">P1004*$X$13</f>
        <v>5983.9040000000005</v>
      </c>
    </row>
    <row r="1005" spans="1:20" x14ac:dyDescent="0.25">
      <c r="A1005" s="8">
        <v>491</v>
      </c>
      <c r="B1005" s="8" t="s">
        <v>2312</v>
      </c>
      <c r="C1005" s="8">
        <v>12</v>
      </c>
      <c r="D1005" s="8" t="s">
        <v>2416</v>
      </c>
      <c r="E1005" s="8" t="s">
        <v>942</v>
      </c>
      <c r="F1005" s="18" t="s">
        <v>2421</v>
      </c>
      <c r="G1005" s="18" t="s">
        <v>2422</v>
      </c>
      <c r="H1005" s="18">
        <v>180</v>
      </c>
      <c r="I1005" s="18">
        <v>0</v>
      </c>
      <c r="J1005" s="20" t="s">
        <v>2423</v>
      </c>
      <c r="K1005" s="20" t="s">
        <v>25</v>
      </c>
      <c r="L1005" s="27" t="s">
        <v>26</v>
      </c>
      <c r="M1005" s="27" t="s">
        <v>26</v>
      </c>
      <c r="N1005" s="21">
        <v>39.959370027985301</v>
      </c>
      <c r="O1005" s="10">
        <v>-79.811377738864493</v>
      </c>
      <c r="P1005" s="22">
        <v>226</v>
      </c>
      <c r="Q1005" s="23">
        <v>44230</v>
      </c>
      <c r="R1005" s="22" t="s">
        <v>1530</v>
      </c>
      <c r="S1005" s="22" t="s">
        <v>517</v>
      </c>
      <c r="T1005" s="24">
        <f t="shared" si="31"/>
        <v>242.27200000000002</v>
      </c>
    </row>
    <row r="1006" spans="1:20" x14ac:dyDescent="0.25">
      <c r="A1006" s="8">
        <v>493</v>
      </c>
      <c r="B1006" s="8" t="s">
        <v>2312</v>
      </c>
      <c r="C1006" s="8">
        <v>12</v>
      </c>
      <c r="D1006" s="8" t="s">
        <v>2416</v>
      </c>
      <c r="E1006" s="8" t="s">
        <v>2424</v>
      </c>
      <c r="F1006" s="18" t="s">
        <v>2425</v>
      </c>
      <c r="G1006" s="18" t="s">
        <v>1360</v>
      </c>
      <c r="H1006" s="19">
        <v>10</v>
      </c>
      <c r="I1006" s="19">
        <v>520</v>
      </c>
      <c r="J1006" s="20" t="s">
        <v>2426</v>
      </c>
      <c r="K1006" s="20" t="s">
        <v>25</v>
      </c>
      <c r="L1006" s="27" t="s">
        <v>26</v>
      </c>
      <c r="M1006" s="27" t="s">
        <v>26</v>
      </c>
      <c r="N1006" s="21">
        <v>39.900414064240799</v>
      </c>
      <c r="O1006" s="10">
        <v>-79.727376241977893</v>
      </c>
      <c r="P1006" s="22">
        <v>5509</v>
      </c>
      <c r="Q1006" s="23">
        <v>44230</v>
      </c>
      <c r="R1006" s="22" t="s">
        <v>1530</v>
      </c>
      <c r="S1006" s="22" t="s">
        <v>38</v>
      </c>
      <c r="T1006" s="24">
        <f t="shared" si="31"/>
        <v>5905.6480000000001</v>
      </c>
    </row>
    <row r="1007" spans="1:20" x14ac:dyDescent="0.25">
      <c r="A1007" s="8">
        <v>494</v>
      </c>
      <c r="B1007" s="8" t="s">
        <v>2312</v>
      </c>
      <c r="C1007" s="8">
        <v>12</v>
      </c>
      <c r="D1007" s="8" t="s">
        <v>2416</v>
      </c>
      <c r="E1007" s="8" t="s">
        <v>1270</v>
      </c>
      <c r="F1007" s="18" t="s">
        <v>1198</v>
      </c>
      <c r="G1007" s="18" t="s">
        <v>1360</v>
      </c>
      <c r="H1007" s="18">
        <v>360</v>
      </c>
      <c r="I1007" s="18">
        <v>1105</v>
      </c>
      <c r="J1007" s="20" t="s">
        <v>2427</v>
      </c>
      <c r="K1007" s="20" t="s">
        <v>25</v>
      </c>
      <c r="L1007" s="27" t="s">
        <v>26</v>
      </c>
      <c r="M1007" s="27" t="s">
        <v>26</v>
      </c>
      <c r="N1007" s="21">
        <v>40.112366429612401</v>
      </c>
      <c r="O1007" s="10">
        <v>-79.772416602231203</v>
      </c>
      <c r="P1007" s="22">
        <v>158</v>
      </c>
      <c r="Q1007" s="23">
        <v>44238</v>
      </c>
      <c r="R1007" s="22" t="s">
        <v>1530</v>
      </c>
      <c r="S1007" s="22" t="s">
        <v>517</v>
      </c>
      <c r="T1007" s="24">
        <f t="shared" si="31"/>
        <v>169.376</v>
      </c>
    </row>
    <row r="1008" spans="1:20" x14ac:dyDescent="0.25">
      <c r="A1008" s="8">
        <v>495</v>
      </c>
      <c r="B1008" s="8" t="s">
        <v>2312</v>
      </c>
      <c r="C1008" s="8">
        <v>12</v>
      </c>
      <c r="D1008" s="8" t="s">
        <v>2416</v>
      </c>
      <c r="E1008" s="8" t="s">
        <v>2428</v>
      </c>
      <c r="F1008" s="18" t="s">
        <v>1527</v>
      </c>
      <c r="G1008" s="18" t="s">
        <v>327</v>
      </c>
      <c r="H1008" s="18">
        <v>20</v>
      </c>
      <c r="I1008" s="18">
        <v>0</v>
      </c>
      <c r="J1008" s="20" t="s">
        <v>188</v>
      </c>
      <c r="K1008" s="20" t="s">
        <v>25</v>
      </c>
      <c r="L1008" s="27" t="s">
        <v>26</v>
      </c>
      <c r="M1008" s="27" t="s">
        <v>26</v>
      </c>
      <c r="N1008" s="21">
        <v>39.724845980515902</v>
      </c>
      <c r="O1008" s="10">
        <v>-79.903778983486603</v>
      </c>
      <c r="P1008" s="22">
        <v>3</v>
      </c>
      <c r="Q1008" s="23">
        <v>44230</v>
      </c>
      <c r="R1008" s="22" t="s">
        <v>33</v>
      </c>
      <c r="S1008" s="22" t="s">
        <v>38</v>
      </c>
      <c r="T1008" s="24">
        <f t="shared" si="31"/>
        <v>3.2160000000000002</v>
      </c>
    </row>
    <row r="1009" spans="1:20" x14ac:dyDescent="0.25">
      <c r="A1009" s="8">
        <v>496</v>
      </c>
      <c r="B1009" s="8" t="s">
        <v>2312</v>
      </c>
      <c r="C1009" s="8">
        <v>12</v>
      </c>
      <c r="D1009" s="8" t="s">
        <v>2416</v>
      </c>
      <c r="E1009" s="8" t="s">
        <v>2429</v>
      </c>
      <c r="F1009" s="18" t="s">
        <v>1527</v>
      </c>
      <c r="G1009" s="18" t="s">
        <v>327</v>
      </c>
      <c r="H1009" s="18">
        <v>230</v>
      </c>
      <c r="I1009" s="18">
        <v>100</v>
      </c>
      <c r="J1009" s="20" t="s">
        <v>2430</v>
      </c>
      <c r="K1009" s="20" t="s">
        <v>25</v>
      </c>
      <c r="L1009" s="27" t="s">
        <v>26</v>
      </c>
      <c r="M1009" s="27" t="s">
        <v>26</v>
      </c>
      <c r="N1009" s="21">
        <v>39.808876692127797</v>
      </c>
      <c r="O1009" s="10">
        <v>-79.796967585061395</v>
      </c>
      <c r="P1009" s="22">
        <v>88</v>
      </c>
      <c r="Q1009" s="23">
        <v>44230</v>
      </c>
      <c r="R1009" s="22" t="s">
        <v>1530</v>
      </c>
      <c r="S1009" s="22" t="s">
        <v>38</v>
      </c>
      <c r="T1009" s="24">
        <f t="shared" si="31"/>
        <v>94.336000000000013</v>
      </c>
    </row>
    <row r="1010" spans="1:20" x14ac:dyDescent="0.25">
      <c r="A1010" s="8">
        <v>497</v>
      </c>
      <c r="B1010" s="8" t="s">
        <v>2312</v>
      </c>
      <c r="C1010" s="8">
        <v>12</v>
      </c>
      <c r="D1010" s="8" t="s">
        <v>2416</v>
      </c>
      <c r="E1010" s="8" t="s">
        <v>2429</v>
      </c>
      <c r="F1010" s="18" t="s">
        <v>1527</v>
      </c>
      <c r="G1010" s="18" t="s">
        <v>327</v>
      </c>
      <c r="H1010" s="18">
        <v>240</v>
      </c>
      <c r="I1010" s="18">
        <v>2715</v>
      </c>
      <c r="J1010" s="20" t="s">
        <v>2431</v>
      </c>
      <c r="K1010" s="20" t="s">
        <v>25</v>
      </c>
      <c r="L1010" s="27" t="s">
        <v>26</v>
      </c>
      <c r="M1010" s="27" t="s">
        <v>26</v>
      </c>
      <c r="N1010" s="21">
        <v>39.818810202960599</v>
      </c>
      <c r="O1010" s="10">
        <v>-79.782143801753605</v>
      </c>
      <c r="P1010" s="22">
        <v>224</v>
      </c>
      <c r="Q1010" s="23">
        <v>44230</v>
      </c>
      <c r="R1010" s="22" t="s">
        <v>1530</v>
      </c>
      <c r="S1010" s="22" t="s">
        <v>517</v>
      </c>
      <c r="T1010" s="24">
        <f t="shared" si="31"/>
        <v>240.12800000000001</v>
      </c>
    </row>
    <row r="1011" spans="1:20" x14ac:dyDescent="0.25">
      <c r="A1011" s="8">
        <v>498</v>
      </c>
      <c r="B1011" s="8" t="s">
        <v>2312</v>
      </c>
      <c r="C1011" s="8">
        <v>12</v>
      </c>
      <c r="D1011" s="8" t="s">
        <v>2416</v>
      </c>
      <c r="E1011" s="8" t="s">
        <v>2432</v>
      </c>
      <c r="F1011" s="18" t="s">
        <v>307</v>
      </c>
      <c r="G1011" s="18" t="s">
        <v>327</v>
      </c>
      <c r="H1011" s="19">
        <v>530</v>
      </c>
      <c r="I1011" s="19">
        <v>1140</v>
      </c>
      <c r="J1011" s="20" t="s">
        <v>2433</v>
      </c>
      <c r="K1011" s="20" t="s">
        <v>25</v>
      </c>
      <c r="L1011" s="20" t="s">
        <v>26</v>
      </c>
      <c r="M1011" s="20" t="s">
        <v>26</v>
      </c>
      <c r="N1011" s="21">
        <v>39.9580729637118</v>
      </c>
      <c r="O1011" s="10">
        <v>-79.650385797993493</v>
      </c>
      <c r="P1011" s="22">
        <v>2755</v>
      </c>
      <c r="Q1011" s="23">
        <v>44230</v>
      </c>
      <c r="R1011" s="22" t="s">
        <v>1530</v>
      </c>
      <c r="S1011" s="22" t="s">
        <v>38</v>
      </c>
      <c r="T1011" s="24">
        <f t="shared" si="31"/>
        <v>2953.36</v>
      </c>
    </row>
    <row r="1012" spans="1:20" x14ac:dyDescent="0.25">
      <c r="A1012" s="8">
        <v>499</v>
      </c>
      <c r="B1012" s="8" t="s">
        <v>2312</v>
      </c>
      <c r="C1012" s="8">
        <v>12</v>
      </c>
      <c r="D1012" s="8" t="s">
        <v>2416</v>
      </c>
      <c r="E1012" s="8" t="s">
        <v>2432</v>
      </c>
      <c r="F1012" s="18" t="s">
        <v>307</v>
      </c>
      <c r="G1012" s="18" t="s">
        <v>327</v>
      </c>
      <c r="H1012" s="19">
        <v>580</v>
      </c>
      <c r="I1012" s="19">
        <v>435</v>
      </c>
      <c r="J1012" s="20" t="s">
        <v>2434</v>
      </c>
      <c r="K1012" s="20" t="s">
        <v>25</v>
      </c>
      <c r="L1012" s="20" t="s">
        <v>26</v>
      </c>
      <c r="M1012" s="20" t="s">
        <v>26</v>
      </c>
      <c r="N1012" s="21">
        <v>39.991214079995302</v>
      </c>
      <c r="O1012" s="10">
        <v>-79.625283279955795</v>
      </c>
      <c r="P1012" s="22">
        <v>950</v>
      </c>
      <c r="Q1012" s="23">
        <v>44238</v>
      </c>
      <c r="R1012" s="22" t="s">
        <v>1530</v>
      </c>
      <c r="S1012" s="22" t="s">
        <v>34</v>
      </c>
      <c r="T1012" s="24">
        <f t="shared" si="31"/>
        <v>1018.4000000000001</v>
      </c>
    </row>
    <row r="1013" spans="1:20" x14ac:dyDescent="0.25">
      <c r="A1013" s="8">
        <v>500</v>
      </c>
      <c r="B1013" s="8" t="s">
        <v>2312</v>
      </c>
      <c r="C1013" s="8">
        <v>12</v>
      </c>
      <c r="D1013" s="8" t="s">
        <v>2416</v>
      </c>
      <c r="E1013" s="8" t="s">
        <v>2435</v>
      </c>
      <c r="F1013" s="18" t="s">
        <v>2436</v>
      </c>
      <c r="G1013" s="18" t="s">
        <v>327</v>
      </c>
      <c r="H1013" s="19">
        <v>650</v>
      </c>
      <c r="I1013" s="19">
        <v>1900</v>
      </c>
      <c r="J1013" s="20" t="s">
        <v>2437</v>
      </c>
      <c r="K1013" s="20" t="s">
        <v>25</v>
      </c>
      <c r="L1013" s="20" t="s">
        <v>26</v>
      </c>
      <c r="M1013" s="20" t="s">
        <v>26</v>
      </c>
      <c r="N1013" s="21">
        <v>40.0260580280234</v>
      </c>
      <c r="O1013" s="10">
        <v>-79.589615218632105</v>
      </c>
      <c r="P1013" s="22">
        <v>711</v>
      </c>
      <c r="Q1013" s="23">
        <v>44238</v>
      </c>
      <c r="R1013" s="22" t="s">
        <v>1530</v>
      </c>
      <c r="S1013" s="22" t="s">
        <v>28</v>
      </c>
      <c r="T1013" s="24">
        <f t="shared" si="31"/>
        <v>762.19200000000001</v>
      </c>
    </row>
    <row r="1014" spans="1:20" x14ac:dyDescent="0.25">
      <c r="A1014" s="8">
        <v>501</v>
      </c>
      <c r="B1014" s="8" t="s">
        <v>2312</v>
      </c>
      <c r="C1014" s="8">
        <v>12</v>
      </c>
      <c r="D1014" s="8" t="s">
        <v>2416</v>
      </c>
      <c r="E1014" s="8" t="s">
        <v>2438</v>
      </c>
      <c r="F1014" s="18" t="s">
        <v>77</v>
      </c>
      <c r="G1014" s="18" t="s">
        <v>2439</v>
      </c>
      <c r="H1014" s="18">
        <v>190</v>
      </c>
      <c r="I1014" s="18">
        <v>2550</v>
      </c>
      <c r="J1014" s="20" t="s">
        <v>2440</v>
      </c>
      <c r="K1014" s="20" t="s">
        <v>25</v>
      </c>
      <c r="L1014" s="27" t="s">
        <v>26</v>
      </c>
      <c r="M1014" s="27" t="s">
        <v>26</v>
      </c>
      <c r="N1014" s="21">
        <v>39.8450327534146</v>
      </c>
      <c r="O1014" s="10">
        <v>-79.8993572749431</v>
      </c>
      <c r="P1014" s="22">
        <v>775</v>
      </c>
      <c r="Q1014" s="23">
        <v>44230</v>
      </c>
      <c r="R1014" s="22" t="s">
        <v>1530</v>
      </c>
      <c r="S1014" s="22" t="s">
        <v>517</v>
      </c>
      <c r="T1014" s="24">
        <f t="shared" si="31"/>
        <v>830.80000000000007</v>
      </c>
    </row>
    <row r="1015" spans="1:20" x14ac:dyDescent="0.25">
      <c r="A1015" s="8">
        <v>502</v>
      </c>
      <c r="B1015" s="8" t="s">
        <v>2312</v>
      </c>
      <c r="C1015" s="8">
        <v>12</v>
      </c>
      <c r="D1015" s="8" t="s">
        <v>2416</v>
      </c>
      <c r="E1015" s="8" t="s">
        <v>2441</v>
      </c>
      <c r="F1015" s="18" t="s">
        <v>2442</v>
      </c>
      <c r="G1015" s="18" t="s">
        <v>2443</v>
      </c>
      <c r="H1015" s="18">
        <v>80</v>
      </c>
      <c r="I1015" s="18">
        <v>940</v>
      </c>
      <c r="J1015" s="20" t="s">
        <v>2444</v>
      </c>
      <c r="K1015" s="20" t="s">
        <v>25</v>
      </c>
      <c r="L1015" s="27" t="s">
        <v>26</v>
      </c>
      <c r="M1015" s="27" t="s">
        <v>26</v>
      </c>
      <c r="N1015" s="21">
        <v>40.0882659137636</v>
      </c>
      <c r="O1015" s="10">
        <v>-79.526975516001002</v>
      </c>
      <c r="P1015" s="22">
        <v>330</v>
      </c>
      <c r="Q1015" s="23">
        <v>44238</v>
      </c>
      <c r="R1015" s="22" t="s">
        <v>1530</v>
      </c>
      <c r="S1015" s="22" t="s">
        <v>517</v>
      </c>
      <c r="T1015" s="24">
        <f t="shared" si="31"/>
        <v>353.76000000000005</v>
      </c>
    </row>
    <row r="1016" spans="1:20" x14ac:dyDescent="0.25">
      <c r="A1016" s="8">
        <v>503</v>
      </c>
      <c r="B1016" s="8" t="s">
        <v>2312</v>
      </c>
      <c r="C1016" s="8">
        <v>12</v>
      </c>
      <c r="D1016" s="8" t="s">
        <v>2416</v>
      </c>
      <c r="E1016" s="8" t="s">
        <v>942</v>
      </c>
      <c r="F1016" s="18" t="s">
        <v>2445</v>
      </c>
      <c r="G1016" s="18" t="s">
        <v>2446</v>
      </c>
      <c r="H1016" s="18">
        <v>130</v>
      </c>
      <c r="I1016" s="18">
        <v>535</v>
      </c>
      <c r="J1016" s="20" t="s">
        <v>2447</v>
      </c>
      <c r="K1016" s="20" t="s">
        <v>25</v>
      </c>
      <c r="L1016" s="27" t="s">
        <v>26</v>
      </c>
      <c r="M1016" s="27" t="s">
        <v>26</v>
      </c>
      <c r="N1016" s="21">
        <v>39.912974473482102</v>
      </c>
      <c r="O1016" s="10">
        <v>-79.799222226756001</v>
      </c>
      <c r="P1016" s="22">
        <v>638</v>
      </c>
      <c r="Q1016" s="23">
        <v>44230</v>
      </c>
      <c r="R1016" s="22" t="s">
        <v>1530</v>
      </c>
      <c r="S1016" s="22" t="s">
        <v>28</v>
      </c>
      <c r="T1016" s="24">
        <f t="shared" si="31"/>
        <v>683.93600000000004</v>
      </c>
    </row>
    <row r="1017" spans="1:20" x14ac:dyDescent="0.25">
      <c r="A1017" s="8">
        <v>504</v>
      </c>
      <c r="B1017" s="8" t="s">
        <v>2312</v>
      </c>
      <c r="C1017" s="8">
        <v>12</v>
      </c>
      <c r="D1017" s="8" t="s">
        <v>2416</v>
      </c>
      <c r="E1017" s="8" t="s">
        <v>2417</v>
      </c>
      <c r="F1017" s="18" t="s">
        <v>2445</v>
      </c>
      <c r="G1017" s="18" t="s">
        <v>2446</v>
      </c>
      <c r="H1017" s="19">
        <v>180</v>
      </c>
      <c r="I1017" s="19">
        <v>510</v>
      </c>
      <c r="J1017" s="20" t="s">
        <v>2448</v>
      </c>
      <c r="K1017" s="20" t="s">
        <v>25</v>
      </c>
      <c r="L1017" s="20" t="s">
        <v>26</v>
      </c>
      <c r="M1017" s="20" t="s">
        <v>26</v>
      </c>
      <c r="N1017" s="21">
        <v>39.910082709485501</v>
      </c>
      <c r="O1017" s="10">
        <v>-79.751665197256003</v>
      </c>
      <c r="P1017" s="22">
        <v>2124</v>
      </c>
      <c r="Q1017" s="23">
        <v>44230</v>
      </c>
      <c r="R1017" s="22" t="s">
        <v>1530</v>
      </c>
      <c r="S1017" s="22" t="s">
        <v>28</v>
      </c>
      <c r="T1017" s="24">
        <f t="shared" si="31"/>
        <v>2276.9280000000003</v>
      </c>
    </row>
    <row r="1018" spans="1:20" x14ac:dyDescent="0.25">
      <c r="A1018" s="8">
        <v>520</v>
      </c>
      <c r="B1018" s="8" t="s">
        <v>2312</v>
      </c>
      <c r="C1018" s="8">
        <v>9</v>
      </c>
      <c r="D1018" s="8" t="s">
        <v>2449</v>
      </c>
      <c r="E1018" s="8" t="s">
        <v>2450</v>
      </c>
      <c r="F1018" s="18" t="s">
        <v>2451</v>
      </c>
      <c r="G1018" s="18" t="s">
        <v>469</v>
      </c>
      <c r="H1018" s="18">
        <v>410</v>
      </c>
      <c r="I1018" s="18">
        <v>0</v>
      </c>
      <c r="J1018" s="20" t="s">
        <v>2275</v>
      </c>
      <c r="K1018" s="20" t="s">
        <v>25</v>
      </c>
      <c r="L1018" s="27" t="s">
        <v>26</v>
      </c>
      <c r="M1018" s="27" t="s">
        <v>26</v>
      </c>
      <c r="N1018" s="21">
        <v>39.931311608030697</v>
      </c>
      <c r="O1018" s="10">
        <v>-77.999783929344602</v>
      </c>
      <c r="P1018" s="22">
        <v>1064</v>
      </c>
      <c r="Q1018" s="23">
        <v>44202</v>
      </c>
      <c r="R1018" s="22" t="s">
        <v>1530</v>
      </c>
      <c r="S1018" s="22" t="s">
        <v>38</v>
      </c>
      <c r="T1018" s="24">
        <f>P1018*$X$10</f>
        <v>1140.6080000000002</v>
      </c>
    </row>
    <row r="1019" spans="1:20" x14ac:dyDescent="0.25">
      <c r="A1019" s="8">
        <v>521</v>
      </c>
      <c r="B1019" s="8" t="s">
        <v>2312</v>
      </c>
      <c r="C1019" s="8">
        <v>12</v>
      </c>
      <c r="D1019" s="8" t="s">
        <v>2452</v>
      </c>
      <c r="E1019" s="8" t="s">
        <v>1098</v>
      </c>
      <c r="F1019" s="18" t="s">
        <v>2453</v>
      </c>
      <c r="G1019" s="18" t="s">
        <v>125</v>
      </c>
      <c r="H1019" s="19">
        <v>300</v>
      </c>
      <c r="I1019" s="19">
        <v>490</v>
      </c>
      <c r="J1019" s="20" t="s">
        <v>2454</v>
      </c>
      <c r="K1019" s="20" t="s">
        <v>25</v>
      </c>
      <c r="L1019" s="20" t="s">
        <v>26</v>
      </c>
      <c r="M1019" s="20" t="s">
        <v>26</v>
      </c>
      <c r="N1019" s="21">
        <v>39.896272605568299</v>
      </c>
      <c r="O1019" s="10">
        <v>-80.166496860185703</v>
      </c>
      <c r="P1019" s="22">
        <v>320</v>
      </c>
      <c r="Q1019" s="23">
        <v>44235</v>
      </c>
      <c r="R1019" s="22" t="s">
        <v>1530</v>
      </c>
      <c r="S1019" s="22" t="s">
        <v>28</v>
      </c>
      <c r="T1019" s="24">
        <f t="shared" ref="T1019:T1028" si="32">P1019*$X$13</f>
        <v>343.04</v>
      </c>
    </row>
    <row r="1020" spans="1:20" x14ac:dyDescent="0.25">
      <c r="A1020" s="8">
        <v>522</v>
      </c>
      <c r="B1020" s="8" t="s">
        <v>2312</v>
      </c>
      <c r="C1020" s="8">
        <v>12</v>
      </c>
      <c r="D1020" s="8" t="s">
        <v>2452</v>
      </c>
      <c r="E1020" s="8" t="s">
        <v>1098</v>
      </c>
      <c r="F1020" s="18" t="s">
        <v>2453</v>
      </c>
      <c r="G1020" s="18" t="s">
        <v>125</v>
      </c>
      <c r="H1020" s="19">
        <v>300</v>
      </c>
      <c r="I1020" s="19">
        <v>600</v>
      </c>
      <c r="J1020" s="20" t="s">
        <v>509</v>
      </c>
      <c r="K1020" s="20" t="s">
        <v>25</v>
      </c>
      <c r="L1020" s="20" t="s">
        <v>26</v>
      </c>
      <c r="M1020" s="20" t="s">
        <v>26</v>
      </c>
      <c r="N1020" s="21">
        <v>39.896245103168503</v>
      </c>
      <c r="O1020" s="10">
        <v>-80.166871866957607</v>
      </c>
      <c r="P1020" s="22">
        <v>73</v>
      </c>
      <c r="Q1020" s="23">
        <v>44235</v>
      </c>
      <c r="R1020" s="22" t="s">
        <v>33</v>
      </c>
      <c r="S1020" s="22" t="s">
        <v>34</v>
      </c>
      <c r="T1020" s="24">
        <f t="shared" si="32"/>
        <v>78.256</v>
      </c>
    </row>
    <row r="1021" spans="1:20" x14ac:dyDescent="0.25">
      <c r="A1021" s="8">
        <v>523</v>
      </c>
      <c r="B1021" s="8" t="s">
        <v>2312</v>
      </c>
      <c r="C1021" s="8">
        <v>12</v>
      </c>
      <c r="D1021" s="8" t="s">
        <v>2452</v>
      </c>
      <c r="E1021" s="8" t="s">
        <v>2455</v>
      </c>
      <c r="F1021" s="18" t="s">
        <v>124</v>
      </c>
      <c r="G1021" s="18" t="s">
        <v>125</v>
      </c>
      <c r="H1021" s="19">
        <v>310</v>
      </c>
      <c r="I1021" s="19">
        <v>1865</v>
      </c>
      <c r="J1021" s="20" t="s">
        <v>2456</v>
      </c>
      <c r="K1021" s="20" t="s">
        <v>25</v>
      </c>
      <c r="L1021" s="20" t="s">
        <v>26</v>
      </c>
      <c r="M1021" s="20" t="s">
        <v>26</v>
      </c>
      <c r="N1021" s="21">
        <v>39.896448617666799</v>
      </c>
      <c r="O1021" s="10">
        <v>-80.177678846002394</v>
      </c>
      <c r="P1021" s="22">
        <v>441</v>
      </c>
      <c r="Q1021" s="23">
        <v>44235</v>
      </c>
      <c r="R1021" s="22" t="s">
        <v>1530</v>
      </c>
      <c r="S1021" s="22" t="s">
        <v>34</v>
      </c>
      <c r="T1021" s="24">
        <f t="shared" si="32"/>
        <v>472.75200000000001</v>
      </c>
    </row>
    <row r="1022" spans="1:20" x14ac:dyDescent="0.25">
      <c r="A1022" s="8">
        <v>524</v>
      </c>
      <c r="B1022" s="8" t="s">
        <v>2312</v>
      </c>
      <c r="C1022" s="8">
        <v>12</v>
      </c>
      <c r="D1022" s="8" t="s">
        <v>2452</v>
      </c>
      <c r="E1022" s="8" t="s">
        <v>2455</v>
      </c>
      <c r="F1022" s="18" t="s">
        <v>124</v>
      </c>
      <c r="G1022" s="18" t="s">
        <v>125</v>
      </c>
      <c r="H1022" s="19">
        <v>310</v>
      </c>
      <c r="I1022" s="19">
        <v>2085</v>
      </c>
      <c r="J1022" s="20" t="s">
        <v>2457</v>
      </c>
      <c r="K1022" s="20" t="s">
        <v>25</v>
      </c>
      <c r="L1022" s="20" t="s">
        <v>26</v>
      </c>
      <c r="M1022" s="20" t="s">
        <v>26</v>
      </c>
      <c r="N1022" s="21">
        <v>39.896410210801697</v>
      </c>
      <c r="O1022" s="10">
        <v>-80.178456397829194</v>
      </c>
      <c r="P1022" s="22">
        <v>124</v>
      </c>
      <c r="Q1022" s="23">
        <v>44235</v>
      </c>
      <c r="R1022" s="22" t="s">
        <v>1530</v>
      </c>
      <c r="S1022" s="22" t="s">
        <v>34</v>
      </c>
      <c r="T1022" s="24">
        <f t="shared" si="32"/>
        <v>132.928</v>
      </c>
    </row>
    <row r="1023" spans="1:20" x14ac:dyDescent="0.25">
      <c r="A1023" s="8">
        <v>525</v>
      </c>
      <c r="B1023" s="8" t="s">
        <v>2312</v>
      </c>
      <c r="C1023" s="8">
        <v>12</v>
      </c>
      <c r="D1023" s="8" t="s">
        <v>2452</v>
      </c>
      <c r="E1023" s="8" t="s">
        <v>2455</v>
      </c>
      <c r="F1023" s="18" t="s">
        <v>124</v>
      </c>
      <c r="G1023" s="18" t="s">
        <v>2419</v>
      </c>
      <c r="H1023" s="19">
        <v>360</v>
      </c>
      <c r="I1023" s="19">
        <v>1595</v>
      </c>
      <c r="J1023" s="20" t="s">
        <v>45</v>
      </c>
      <c r="K1023" s="20" t="s">
        <v>25</v>
      </c>
      <c r="L1023" s="20" t="s">
        <v>26</v>
      </c>
      <c r="M1023" s="20" t="s">
        <v>26</v>
      </c>
      <c r="N1023" s="21">
        <v>39.896540828206597</v>
      </c>
      <c r="O1023" s="10">
        <v>-80.190725036427693</v>
      </c>
      <c r="P1023" s="22">
        <v>95</v>
      </c>
      <c r="Q1023" s="23">
        <v>44235</v>
      </c>
      <c r="R1023" s="22" t="s">
        <v>1530</v>
      </c>
      <c r="S1023" s="22" t="s">
        <v>28</v>
      </c>
      <c r="T1023" s="24">
        <f t="shared" si="32"/>
        <v>101.84</v>
      </c>
    </row>
    <row r="1024" spans="1:20" x14ac:dyDescent="0.25">
      <c r="A1024" s="8">
        <v>526</v>
      </c>
      <c r="B1024" s="8" t="s">
        <v>2312</v>
      </c>
      <c r="C1024" s="8">
        <v>12</v>
      </c>
      <c r="D1024" s="8" t="s">
        <v>2452</v>
      </c>
      <c r="E1024" s="8" t="s">
        <v>1098</v>
      </c>
      <c r="F1024" s="18" t="s">
        <v>2458</v>
      </c>
      <c r="G1024" s="18" t="s">
        <v>2419</v>
      </c>
      <c r="H1024" s="19">
        <v>380</v>
      </c>
      <c r="I1024" s="19">
        <v>555</v>
      </c>
      <c r="J1024" s="20" t="s">
        <v>2459</v>
      </c>
      <c r="K1024" s="20" t="s">
        <v>25</v>
      </c>
      <c r="L1024" s="20" t="s">
        <v>26</v>
      </c>
      <c r="M1024" s="20" t="s">
        <v>26</v>
      </c>
      <c r="N1024" s="21">
        <v>39.896680210551999</v>
      </c>
      <c r="O1024" s="10">
        <v>-80.161019019235994</v>
      </c>
      <c r="P1024" s="22">
        <v>1317</v>
      </c>
      <c r="Q1024" s="23">
        <v>44236</v>
      </c>
      <c r="R1024" s="22" t="s">
        <v>1530</v>
      </c>
      <c r="S1024" s="22" t="s">
        <v>28</v>
      </c>
      <c r="T1024" s="24">
        <f t="shared" si="32"/>
        <v>1411.8240000000001</v>
      </c>
    </row>
    <row r="1025" spans="1:20" x14ac:dyDescent="0.25">
      <c r="A1025" s="8">
        <v>527</v>
      </c>
      <c r="B1025" s="8" t="s">
        <v>2312</v>
      </c>
      <c r="C1025" s="8">
        <v>12</v>
      </c>
      <c r="D1025" s="8" t="s">
        <v>2452</v>
      </c>
      <c r="E1025" s="8" t="s">
        <v>1098</v>
      </c>
      <c r="F1025" s="18" t="s">
        <v>2458</v>
      </c>
      <c r="G1025" s="18" t="s">
        <v>2419</v>
      </c>
      <c r="H1025" s="19">
        <v>390</v>
      </c>
      <c r="I1025" s="19">
        <v>1075</v>
      </c>
      <c r="J1025" s="20" t="s">
        <v>2460</v>
      </c>
      <c r="K1025" s="20" t="s">
        <v>25</v>
      </c>
      <c r="L1025" s="20" t="s">
        <v>26</v>
      </c>
      <c r="M1025" s="20" t="s">
        <v>26</v>
      </c>
      <c r="N1025" s="21">
        <v>39.899254150622603</v>
      </c>
      <c r="O1025" s="10">
        <v>-80.148071131120602</v>
      </c>
      <c r="P1025" s="22">
        <v>4529</v>
      </c>
      <c r="Q1025" s="23">
        <v>44235</v>
      </c>
      <c r="R1025" s="22" t="s">
        <v>1530</v>
      </c>
      <c r="S1025" s="22" t="s">
        <v>28</v>
      </c>
      <c r="T1025" s="24">
        <f t="shared" si="32"/>
        <v>4855.0880000000006</v>
      </c>
    </row>
    <row r="1026" spans="1:20" x14ac:dyDescent="0.25">
      <c r="A1026" s="8">
        <v>528</v>
      </c>
      <c r="B1026" s="8" t="s">
        <v>2312</v>
      </c>
      <c r="C1026" s="8">
        <v>12</v>
      </c>
      <c r="D1026" s="8" t="s">
        <v>2452</v>
      </c>
      <c r="E1026" s="8" t="s">
        <v>1098</v>
      </c>
      <c r="F1026" s="18" t="s">
        <v>2458</v>
      </c>
      <c r="G1026" s="18" t="s">
        <v>2419</v>
      </c>
      <c r="H1026" s="19">
        <v>400</v>
      </c>
      <c r="I1026" s="19">
        <v>720</v>
      </c>
      <c r="J1026" s="20" t="s">
        <v>2461</v>
      </c>
      <c r="K1026" s="20" t="s">
        <v>25</v>
      </c>
      <c r="L1026" s="20" t="s">
        <v>26</v>
      </c>
      <c r="M1026" s="20" t="s">
        <v>26</v>
      </c>
      <c r="N1026" s="21">
        <v>39.898573956722402</v>
      </c>
      <c r="O1026" s="10">
        <v>-80.141492306010903</v>
      </c>
      <c r="P1026" s="22">
        <v>512</v>
      </c>
      <c r="Q1026" s="23">
        <v>44235</v>
      </c>
      <c r="R1026" s="22" t="s">
        <v>1530</v>
      </c>
      <c r="S1026" s="22" t="s">
        <v>28</v>
      </c>
      <c r="T1026" s="24">
        <f t="shared" si="32"/>
        <v>548.86400000000003</v>
      </c>
    </row>
    <row r="1027" spans="1:20" x14ac:dyDescent="0.25">
      <c r="A1027" s="8">
        <v>529</v>
      </c>
      <c r="B1027" s="8" t="s">
        <v>2312</v>
      </c>
      <c r="C1027" s="8">
        <v>12</v>
      </c>
      <c r="D1027" s="8" t="s">
        <v>2452</v>
      </c>
      <c r="E1027" s="8" t="s">
        <v>1098</v>
      </c>
      <c r="F1027" s="18" t="s">
        <v>2458</v>
      </c>
      <c r="G1027" s="18" t="s">
        <v>2419</v>
      </c>
      <c r="H1027" s="19">
        <v>400</v>
      </c>
      <c r="I1027" s="19">
        <v>1605</v>
      </c>
      <c r="J1027" s="20" t="s">
        <v>2462</v>
      </c>
      <c r="K1027" s="20" t="s">
        <v>25</v>
      </c>
      <c r="L1027" s="20" t="s">
        <v>26</v>
      </c>
      <c r="M1027" s="20" t="s">
        <v>26</v>
      </c>
      <c r="N1027" s="21">
        <v>39.898278490014</v>
      </c>
      <c r="O1027" s="10">
        <v>-80.138362656674303</v>
      </c>
      <c r="P1027" s="22">
        <v>3284</v>
      </c>
      <c r="Q1027" s="23">
        <v>44235</v>
      </c>
      <c r="R1027" s="22" t="s">
        <v>1530</v>
      </c>
      <c r="S1027" s="22" t="s">
        <v>34</v>
      </c>
      <c r="T1027" s="24">
        <f t="shared" si="32"/>
        <v>3520.4480000000003</v>
      </c>
    </row>
    <row r="1028" spans="1:20" x14ac:dyDescent="0.25">
      <c r="A1028" s="8">
        <v>530</v>
      </c>
      <c r="B1028" s="8" t="s">
        <v>2312</v>
      </c>
      <c r="C1028" s="8">
        <v>12</v>
      </c>
      <c r="D1028" s="8" t="s">
        <v>2452</v>
      </c>
      <c r="E1028" s="8" t="s">
        <v>2463</v>
      </c>
      <c r="F1028" s="18" t="s">
        <v>2464</v>
      </c>
      <c r="G1028" s="18" t="s">
        <v>2465</v>
      </c>
      <c r="H1028" s="18">
        <v>100</v>
      </c>
      <c r="I1028" s="18">
        <v>1745</v>
      </c>
      <c r="J1028" s="20" t="s">
        <v>2466</v>
      </c>
      <c r="K1028" s="20" t="s">
        <v>25</v>
      </c>
      <c r="L1028" s="27" t="s">
        <v>26</v>
      </c>
      <c r="M1028" s="27" t="s">
        <v>26</v>
      </c>
      <c r="N1028" s="21">
        <v>39.927465867140597</v>
      </c>
      <c r="O1028" s="10">
        <v>-80.094836952060604</v>
      </c>
      <c r="P1028" s="22">
        <v>345</v>
      </c>
      <c r="Q1028" s="23">
        <v>44235</v>
      </c>
      <c r="R1028" s="22" t="s">
        <v>1530</v>
      </c>
      <c r="S1028" s="22" t="s">
        <v>34</v>
      </c>
      <c r="T1028" s="24">
        <f t="shared" si="32"/>
        <v>369.84000000000003</v>
      </c>
    </row>
    <row r="1029" spans="1:20" x14ac:dyDescent="0.25">
      <c r="A1029" s="8">
        <v>541</v>
      </c>
      <c r="B1029" s="8" t="s">
        <v>2312</v>
      </c>
      <c r="C1029" s="8">
        <v>10</v>
      </c>
      <c r="D1029" s="8" t="s">
        <v>2467</v>
      </c>
      <c r="E1029" s="8" t="s">
        <v>2468</v>
      </c>
      <c r="F1029" s="18" t="s">
        <v>1161</v>
      </c>
      <c r="G1029" s="18" t="s">
        <v>1162</v>
      </c>
      <c r="H1029" s="19">
        <v>20</v>
      </c>
      <c r="I1029" s="19">
        <v>1408</v>
      </c>
      <c r="J1029" s="20" t="s">
        <v>2469</v>
      </c>
      <c r="K1029" s="20" t="s">
        <v>25</v>
      </c>
      <c r="L1029" s="20" t="s">
        <v>26</v>
      </c>
      <c r="M1029" s="20" t="s">
        <v>26</v>
      </c>
      <c r="N1029" s="21">
        <v>40.440077560138199</v>
      </c>
      <c r="O1029" s="10">
        <v>-79.2585201678651</v>
      </c>
      <c r="P1029" s="22">
        <v>773</v>
      </c>
      <c r="Q1029" s="23">
        <v>44270</v>
      </c>
      <c r="R1029" s="22" t="s">
        <v>1530</v>
      </c>
      <c r="S1029" s="22" t="s">
        <v>28</v>
      </c>
      <c r="T1029" s="24">
        <f t="shared" ref="T1029:T1059" si="33">P1029*$X$11</f>
        <v>805.46600000000001</v>
      </c>
    </row>
    <row r="1030" spans="1:20" x14ac:dyDescent="0.25">
      <c r="A1030" s="8">
        <v>542</v>
      </c>
      <c r="B1030" s="8" t="s">
        <v>2312</v>
      </c>
      <c r="C1030" s="8">
        <v>10</v>
      </c>
      <c r="D1030" s="8" t="s">
        <v>2467</v>
      </c>
      <c r="E1030" s="8" t="s">
        <v>2470</v>
      </c>
      <c r="F1030" s="18" t="s">
        <v>1161</v>
      </c>
      <c r="G1030" s="18" t="s">
        <v>1162</v>
      </c>
      <c r="H1030" s="19">
        <v>51</v>
      </c>
      <c r="I1030" s="19">
        <v>2400</v>
      </c>
      <c r="J1030" s="20" t="s">
        <v>2471</v>
      </c>
      <c r="K1030" s="20" t="s">
        <v>25</v>
      </c>
      <c r="L1030" s="20" t="s">
        <v>26</v>
      </c>
      <c r="M1030" s="20" t="s">
        <v>26</v>
      </c>
      <c r="N1030" s="21">
        <v>40.4438347417722</v>
      </c>
      <c r="O1030" s="10">
        <v>-79.229244243925905</v>
      </c>
      <c r="P1030" s="22">
        <v>4964</v>
      </c>
      <c r="Q1030" s="23">
        <v>44270</v>
      </c>
      <c r="R1030" s="22" t="s">
        <v>1530</v>
      </c>
      <c r="S1030" s="22" t="s">
        <v>28</v>
      </c>
      <c r="T1030" s="24">
        <f t="shared" si="33"/>
        <v>5172.4880000000003</v>
      </c>
    </row>
    <row r="1031" spans="1:20" x14ac:dyDescent="0.25">
      <c r="A1031" s="8">
        <v>543</v>
      </c>
      <c r="B1031" s="8" t="s">
        <v>2312</v>
      </c>
      <c r="C1031" s="8">
        <v>10</v>
      </c>
      <c r="D1031" s="8" t="s">
        <v>2467</v>
      </c>
      <c r="E1031" s="8" t="s">
        <v>2470</v>
      </c>
      <c r="F1031" s="18" t="s">
        <v>1161</v>
      </c>
      <c r="G1031" s="18" t="s">
        <v>1162</v>
      </c>
      <c r="H1031" s="18">
        <v>142</v>
      </c>
      <c r="I1031" s="18">
        <v>0</v>
      </c>
      <c r="J1031" s="20" t="s">
        <v>2472</v>
      </c>
      <c r="K1031" s="20" t="s">
        <v>25</v>
      </c>
      <c r="L1031" s="27" t="s">
        <v>26</v>
      </c>
      <c r="M1031" s="27" t="s">
        <v>26</v>
      </c>
      <c r="N1031" s="21">
        <v>40.451541021835901</v>
      </c>
      <c r="O1031" s="10">
        <v>-79.160290642763798</v>
      </c>
      <c r="P1031" s="22">
        <v>513</v>
      </c>
      <c r="Q1031" s="23">
        <v>44256</v>
      </c>
      <c r="R1031" s="22" t="s">
        <v>1530</v>
      </c>
      <c r="S1031" s="22" t="s">
        <v>28</v>
      </c>
      <c r="T1031" s="24">
        <f t="shared" si="33"/>
        <v>534.54600000000005</v>
      </c>
    </row>
    <row r="1032" spans="1:20" x14ac:dyDescent="0.25">
      <c r="A1032" s="8">
        <v>544</v>
      </c>
      <c r="B1032" s="8" t="s">
        <v>2312</v>
      </c>
      <c r="C1032" s="8">
        <v>10</v>
      </c>
      <c r="D1032" s="8" t="s">
        <v>2467</v>
      </c>
      <c r="E1032" s="8" t="s">
        <v>2473</v>
      </c>
      <c r="F1032" s="18" t="s">
        <v>2474</v>
      </c>
      <c r="G1032" s="18" t="s">
        <v>2377</v>
      </c>
      <c r="H1032" s="18">
        <v>380</v>
      </c>
      <c r="I1032" s="18">
        <v>374</v>
      </c>
      <c r="J1032" s="20" t="s">
        <v>2475</v>
      </c>
      <c r="K1032" s="20" t="s">
        <v>25</v>
      </c>
      <c r="L1032" s="27" t="s">
        <v>26</v>
      </c>
      <c r="M1032" s="27" t="s">
        <v>26</v>
      </c>
      <c r="N1032" s="21">
        <v>40.538107637732701</v>
      </c>
      <c r="O1032" s="10">
        <v>-79.097433858959306</v>
      </c>
      <c r="P1032" s="22">
        <v>355</v>
      </c>
      <c r="Q1032" s="23">
        <v>44256</v>
      </c>
      <c r="R1032" s="22" t="s">
        <v>1530</v>
      </c>
      <c r="S1032" s="22" t="s">
        <v>28</v>
      </c>
      <c r="T1032" s="24">
        <f t="shared" si="33"/>
        <v>369.91</v>
      </c>
    </row>
    <row r="1033" spans="1:20" x14ac:dyDescent="0.25">
      <c r="A1033" s="8">
        <v>545</v>
      </c>
      <c r="B1033" s="8" t="s">
        <v>2312</v>
      </c>
      <c r="C1033" s="8">
        <v>10</v>
      </c>
      <c r="D1033" s="8" t="s">
        <v>2467</v>
      </c>
      <c r="E1033" s="8" t="s">
        <v>2473</v>
      </c>
      <c r="F1033" s="18" t="s">
        <v>2474</v>
      </c>
      <c r="G1033" s="18" t="s">
        <v>2377</v>
      </c>
      <c r="H1033" s="18">
        <v>440</v>
      </c>
      <c r="I1033" s="18">
        <v>390</v>
      </c>
      <c r="J1033" s="20" t="s">
        <v>2476</v>
      </c>
      <c r="K1033" s="20" t="s">
        <v>25</v>
      </c>
      <c r="L1033" s="27" t="s">
        <v>26</v>
      </c>
      <c r="M1033" s="27" t="s">
        <v>26</v>
      </c>
      <c r="N1033" s="21">
        <v>40.526109303176803</v>
      </c>
      <c r="O1033" s="10">
        <v>-79.058652338851303</v>
      </c>
      <c r="P1033" s="22">
        <v>198</v>
      </c>
      <c r="Q1033" s="23">
        <v>44256</v>
      </c>
      <c r="R1033" s="22" t="s">
        <v>1530</v>
      </c>
      <c r="S1033" s="22" t="s">
        <v>38</v>
      </c>
      <c r="T1033" s="24">
        <f t="shared" si="33"/>
        <v>206.316</v>
      </c>
    </row>
    <row r="1034" spans="1:20" x14ac:dyDescent="0.25">
      <c r="A1034" s="8">
        <v>546</v>
      </c>
      <c r="B1034" s="8" t="s">
        <v>2312</v>
      </c>
      <c r="C1034" s="8">
        <v>10</v>
      </c>
      <c r="D1034" s="8" t="s">
        <v>2467</v>
      </c>
      <c r="E1034" s="8" t="s">
        <v>2468</v>
      </c>
      <c r="F1034" s="18" t="s">
        <v>93</v>
      </c>
      <c r="G1034" s="18" t="s">
        <v>2477</v>
      </c>
      <c r="H1034" s="19">
        <v>30</v>
      </c>
      <c r="I1034" s="19">
        <v>0</v>
      </c>
      <c r="J1034" s="20" t="s">
        <v>2478</v>
      </c>
      <c r="K1034" s="20" t="s">
        <v>25</v>
      </c>
      <c r="L1034" s="20" t="s">
        <v>26</v>
      </c>
      <c r="M1034" s="20" t="s">
        <v>26</v>
      </c>
      <c r="N1034" s="21">
        <v>40.426946210501498</v>
      </c>
      <c r="O1034" s="10">
        <v>-79.264158665493696</v>
      </c>
      <c r="P1034" s="22">
        <v>247</v>
      </c>
      <c r="Q1034" s="23">
        <v>44270</v>
      </c>
      <c r="R1034" s="22" t="s">
        <v>1530</v>
      </c>
      <c r="S1034" s="22" t="s">
        <v>517</v>
      </c>
      <c r="T1034" s="24">
        <f t="shared" si="33"/>
        <v>257.37400000000002</v>
      </c>
    </row>
    <row r="1035" spans="1:20" x14ac:dyDescent="0.25">
      <c r="A1035" s="8">
        <v>547</v>
      </c>
      <c r="B1035" s="8" t="s">
        <v>2312</v>
      </c>
      <c r="C1035" s="8">
        <v>10</v>
      </c>
      <c r="D1035" s="8" t="s">
        <v>2467</v>
      </c>
      <c r="E1035" s="8" t="s">
        <v>2479</v>
      </c>
      <c r="F1035" s="18" t="s">
        <v>2480</v>
      </c>
      <c r="G1035" s="18" t="s">
        <v>2481</v>
      </c>
      <c r="H1035" s="18">
        <v>20</v>
      </c>
      <c r="I1035" s="18">
        <v>1556</v>
      </c>
      <c r="J1035" s="20" t="s">
        <v>124</v>
      </c>
      <c r="K1035" s="20" t="s">
        <v>25</v>
      </c>
      <c r="L1035" s="27" t="s">
        <v>26</v>
      </c>
      <c r="M1035" s="27" t="s">
        <v>26</v>
      </c>
      <c r="N1035" s="21">
        <v>40.491317488018197</v>
      </c>
      <c r="O1035" s="10">
        <v>-79.450748929551096</v>
      </c>
      <c r="P1035" s="22">
        <v>137</v>
      </c>
      <c r="Q1035" s="23">
        <v>44266</v>
      </c>
      <c r="R1035" s="22" t="s">
        <v>1530</v>
      </c>
      <c r="S1035" s="22" t="s">
        <v>38</v>
      </c>
      <c r="T1035" s="24">
        <f t="shared" si="33"/>
        <v>142.75400000000002</v>
      </c>
    </row>
    <row r="1036" spans="1:20" x14ac:dyDescent="0.25">
      <c r="A1036" s="8">
        <v>548</v>
      </c>
      <c r="B1036" s="8" t="s">
        <v>2312</v>
      </c>
      <c r="C1036" s="8">
        <v>10</v>
      </c>
      <c r="D1036" s="8" t="s">
        <v>2467</v>
      </c>
      <c r="E1036" s="8" t="s">
        <v>2479</v>
      </c>
      <c r="F1036" s="18" t="s">
        <v>2482</v>
      </c>
      <c r="G1036" s="18" t="s">
        <v>2481</v>
      </c>
      <c r="H1036" s="18">
        <v>30</v>
      </c>
      <c r="I1036" s="18">
        <v>2115</v>
      </c>
      <c r="J1036" s="20" t="s">
        <v>2483</v>
      </c>
      <c r="K1036" s="20" t="s">
        <v>25</v>
      </c>
      <c r="L1036" s="27" t="s">
        <v>26</v>
      </c>
      <c r="M1036" s="27" t="s">
        <v>26</v>
      </c>
      <c r="N1036" s="21">
        <v>40.499498395658598</v>
      </c>
      <c r="O1036" s="10">
        <v>-79.447411496957002</v>
      </c>
      <c r="P1036" s="22">
        <v>32</v>
      </c>
      <c r="Q1036" s="23">
        <v>44266</v>
      </c>
      <c r="R1036" s="22" t="s">
        <v>1530</v>
      </c>
      <c r="S1036" s="22" t="s">
        <v>38</v>
      </c>
      <c r="T1036" s="24">
        <f t="shared" si="33"/>
        <v>33.344000000000001</v>
      </c>
    </row>
    <row r="1037" spans="1:20" x14ac:dyDescent="0.25">
      <c r="A1037" s="8">
        <v>549</v>
      </c>
      <c r="B1037" s="8" t="s">
        <v>2312</v>
      </c>
      <c r="C1037" s="8">
        <v>10</v>
      </c>
      <c r="D1037" s="8" t="s">
        <v>2467</v>
      </c>
      <c r="E1037" s="8" t="s">
        <v>1201</v>
      </c>
      <c r="F1037" s="18" t="s">
        <v>2482</v>
      </c>
      <c r="G1037" s="18" t="s">
        <v>2481</v>
      </c>
      <c r="H1037" s="18">
        <v>310</v>
      </c>
      <c r="I1037" s="18">
        <v>0</v>
      </c>
      <c r="J1037" s="20" t="s">
        <v>2484</v>
      </c>
      <c r="K1037" s="20" t="s">
        <v>25</v>
      </c>
      <c r="L1037" s="27" t="s">
        <v>26</v>
      </c>
      <c r="M1037" s="27" t="s">
        <v>26</v>
      </c>
      <c r="N1037" s="21">
        <v>40.553649734928896</v>
      </c>
      <c r="O1037" s="10">
        <v>-79.263856529724293</v>
      </c>
      <c r="P1037" s="22">
        <v>80</v>
      </c>
      <c r="Q1037" s="23">
        <v>44266</v>
      </c>
      <c r="R1037" s="22" t="s">
        <v>1530</v>
      </c>
      <c r="S1037" s="22" t="s">
        <v>517</v>
      </c>
      <c r="T1037" s="24">
        <f t="shared" si="33"/>
        <v>83.36</v>
      </c>
    </row>
    <row r="1038" spans="1:20" x14ac:dyDescent="0.25">
      <c r="A1038" s="8">
        <v>550</v>
      </c>
      <c r="B1038" s="8" t="s">
        <v>2312</v>
      </c>
      <c r="C1038" s="8">
        <v>10</v>
      </c>
      <c r="D1038" s="8" t="s">
        <v>2467</v>
      </c>
      <c r="E1038" s="8" t="s">
        <v>2395</v>
      </c>
      <c r="F1038" s="18" t="s">
        <v>2485</v>
      </c>
      <c r="G1038" s="18" t="s">
        <v>2481</v>
      </c>
      <c r="H1038" s="19">
        <v>434</v>
      </c>
      <c r="I1038" s="19">
        <v>1984</v>
      </c>
      <c r="J1038" s="20" t="s">
        <v>2486</v>
      </c>
      <c r="K1038" s="20" t="s">
        <v>25</v>
      </c>
      <c r="L1038" s="20" t="s">
        <v>26</v>
      </c>
      <c r="M1038" s="20" t="s">
        <v>26</v>
      </c>
      <c r="N1038" s="21">
        <v>40.600876925187698</v>
      </c>
      <c r="O1038" s="10">
        <v>-79.193356816884801</v>
      </c>
      <c r="P1038" s="22">
        <v>12945</v>
      </c>
      <c r="Q1038" s="23">
        <v>44266</v>
      </c>
      <c r="R1038" s="22" t="s">
        <v>1530</v>
      </c>
      <c r="S1038" s="22" t="s">
        <v>34</v>
      </c>
      <c r="T1038" s="24">
        <f t="shared" si="33"/>
        <v>13488.69</v>
      </c>
    </row>
    <row r="1039" spans="1:20" x14ac:dyDescent="0.25">
      <c r="A1039" s="8">
        <v>551</v>
      </c>
      <c r="B1039" s="8" t="s">
        <v>2312</v>
      </c>
      <c r="C1039" s="8">
        <v>10</v>
      </c>
      <c r="D1039" s="8" t="s">
        <v>2467</v>
      </c>
      <c r="E1039" s="8" t="s">
        <v>2395</v>
      </c>
      <c r="F1039" s="18" t="s">
        <v>2485</v>
      </c>
      <c r="G1039" s="18" t="s">
        <v>2481</v>
      </c>
      <c r="H1039" s="19">
        <v>470</v>
      </c>
      <c r="I1039" s="19">
        <v>1217</v>
      </c>
      <c r="J1039" s="20" t="s">
        <v>2487</v>
      </c>
      <c r="K1039" s="20" t="s">
        <v>25</v>
      </c>
      <c r="L1039" s="20" t="s">
        <v>26</v>
      </c>
      <c r="M1039" s="20" t="s">
        <v>26</v>
      </c>
      <c r="N1039" s="21">
        <v>40.614940038172399</v>
      </c>
      <c r="O1039" s="10">
        <v>-79.171642173530799</v>
      </c>
      <c r="P1039" s="22">
        <v>6427</v>
      </c>
      <c r="Q1039" s="23">
        <v>44266</v>
      </c>
      <c r="R1039" s="22" t="s">
        <v>1530</v>
      </c>
      <c r="S1039" s="22" t="s">
        <v>34</v>
      </c>
      <c r="T1039" s="24">
        <f t="shared" si="33"/>
        <v>6696.9340000000002</v>
      </c>
    </row>
    <row r="1040" spans="1:20" x14ac:dyDescent="0.25">
      <c r="A1040" s="8">
        <v>552</v>
      </c>
      <c r="B1040" s="8" t="s">
        <v>2312</v>
      </c>
      <c r="C1040" s="8">
        <v>10</v>
      </c>
      <c r="D1040" s="8" t="s">
        <v>2467</v>
      </c>
      <c r="E1040" s="8" t="s">
        <v>2488</v>
      </c>
      <c r="F1040" s="18" t="s">
        <v>2485</v>
      </c>
      <c r="G1040" s="18" t="s">
        <v>2481</v>
      </c>
      <c r="H1040" s="19">
        <v>490</v>
      </c>
      <c r="I1040" s="19">
        <v>2158</v>
      </c>
      <c r="J1040" s="20" t="s">
        <v>2489</v>
      </c>
      <c r="K1040" s="20" t="s">
        <v>25</v>
      </c>
      <c r="L1040" s="20" t="s">
        <v>26</v>
      </c>
      <c r="M1040" s="20" t="s">
        <v>26</v>
      </c>
      <c r="N1040" s="21">
        <v>40.618925586419202</v>
      </c>
      <c r="O1040" s="10">
        <v>-79.159635743650796</v>
      </c>
      <c r="P1040" s="22">
        <v>56</v>
      </c>
      <c r="Q1040" s="23">
        <v>44263</v>
      </c>
      <c r="R1040" s="22" t="s">
        <v>1530</v>
      </c>
      <c r="S1040" s="22" t="s">
        <v>28</v>
      </c>
      <c r="T1040" s="24">
        <f t="shared" si="33"/>
        <v>58.352000000000004</v>
      </c>
    </row>
    <row r="1041" spans="1:20" x14ac:dyDescent="0.25">
      <c r="A1041" s="8">
        <v>553</v>
      </c>
      <c r="B1041" s="8" t="s">
        <v>2312</v>
      </c>
      <c r="C1041" s="8">
        <v>10</v>
      </c>
      <c r="D1041" s="8" t="s">
        <v>2467</v>
      </c>
      <c r="E1041" s="8" t="s">
        <v>2488</v>
      </c>
      <c r="F1041" s="18" t="s">
        <v>2490</v>
      </c>
      <c r="G1041" s="18" t="s">
        <v>2481</v>
      </c>
      <c r="H1041" s="19">
        <v>520</v>
      </c>
      <c r="I1041" s="19">
        <v>0</v>
      </c>
      <c r="J1041" s="20" t="s">
        <v>2491</v>
      </c>
      <c r="K1041" s="20" t="s">
        <v>25</v>
      </c>
      <c r="L1041" s="20" t="s">
        <v>26</v>
      </c>
      <c r="M1041" s="20" t="s">
        <v>26</v>
      </c>
      <c r="N1041" s="21">
        <v>40.622971091380201</v>
      </c>
      <c r="O1041" s="10">
        <v>-79.154687198159806</v>
      </c>
      <c r="P1041" s="22">
        <v>810</v>
      </c>
      <c r="Q1041" s="23">
        <v>44263</v>
      </c>
      <c r="R1041" s="22" t="s">
        <v>1530</v>
      </c>
      <c r="S1041" s="22" t="s">
        <v>34</v>
      </c>
      <c r="T1041" s="24">
        <f t="shared" si="33"/>
        <v>844.02</v>
      </c>
    </row>
    <row r="1042" spans="1:20" x14ac:dyDescent="0.25">
      <c r="A1042" s="8">
        <v>554</v>
      </c>
      <c r="B1042" s="8" t="s">
        <v>2312</v>
      </c>
      <c r="C1042" s="8">
        <v>10</v>
      </c>
      <c r="D1042" s="8" t="s">
        <v>2467</v>
      </c>
      <c r="E1042" s="8" t="s">
        <v>2492</v>
      </c>
      <c r="F1042" s="18" t="s">
        <v>315</v>
      </c>
      <c r="G1042" s="18" t="s">
        <v>2481</v>
      </c>
      <c r="H1042" s="18">
        <v>760</v>
      </c>
      <c r="I1042" s="18">
        <v>1075</v>
      </c>
      <c r="J1042" s="20" t="s">
        <v>2493</v>
      </c>
      <c r="K1042" s="20" t="s">
        <v>25</v>
      </c>
      <c r="L1042" s="27" t="s">
        <v>26</v>
      </c>
      <c r="M1042" s="27" t="s">
        <v>26</v>
      </c>
      <c r="N1042" s="21">
        <v>40.666799553528499</v>
      </c>
      <c r="O1042" s="10">
        <v>-79.013310158461096</v>
      </c>
      <c r="P1042" s="22">
        <v>286</v>
      </c>
      <c r="Q1042" s="23">
        <v>44256</v>
      </c>
      <c r="R1042" s="22" t="s">
        <v>1530</v>
      </c>
      <c r="S1042" s="22" t="s">
        <v>38</v>
      </c>
      <c r="T1042" s="24">
        <f t="shared" si="33"/>
        <v>298.012</v>
      </c>
    </row>
    <row r="1043" spans="1:20" x14ac:dyDescent="0.25">
      <c r="A1043" s="8">
        <v>555</v>
      </c>
      <c r="B1043" s="8" t="s">
        <v>2312</v>
      </c>
      <c r="C1043" s="8">
        <v>10</v>
      </c>
      <c r="D1043" s="8" t="s">
        <v>2467</v>
      </c>
      <c r="E1043" s="8" t="s">
        <v>2492</v>
      </c>
      <c r="F1043" s="18" t="s">
        <v>315</v>
      </c>
      <c r="G1043" s="18" t="s">
        <v>2481</v>
      </c>
      <c r="H1043" s="18">
        <v>770</v>
      </c>
      <c r="I1043" s="18">
        <v>974</v>
      </c>
      <c r="J1043" s="20" t="s">
        <v>117</v>
      </c>
      <c r="K1043" s="20" t="s">
        <v>25</v>
      </c>
      <c r="L1043" s="27" t="s">
        <v>26</v>
      </c>
      <c r="M1043" s="27" t="s">
        <v>26</v>
      </c>
      <c r="N1043" s="21">
        <v>40.6702555917091</v>
      </c>
      <c r="O1043" s="10">
        <v>-79.009515709772202</v>
      </c>
      <c r="P1043" s="22">
        <v>767</v>
      </c>
      <c r="Q1043" s="23">
        <v>44256</v>
      </c>
      <c r="R1043" s="22" t="s">
        <v>1530</v>
      </c>
      <c r="S1043" s="22" t="s">
        <v>517</v>
      </c>
      <c r="T1043" s="24">
        <f t="shared" si="33"/>
        <v>799.21400000000006</v>
      </c>
    </row>
    <row r="1044" spans="1:20" x14ac:dyDescent="0.25">
      <c r="A1044" s="8">
        <v>556</v>
      </c>
      <c r="B1044" s="8" t="s">
        <v>2312</v>
      </c>
      <c r="C1044" s="8">
        <v>10</v>
      </c>
      <c r="D1044" s="8" t="s">
        <v>2467</v>
      </c>
      <c r="E1044" s="8" t="s">
        <v>1320</v>
      </c>
      <c r="F1044" s="18" t="s">
        <v>2494</v>
      </c>
      <c r="G1044" s="18" t="s">
        <v>2495</v>
      </c>
      <c r="H1044" s="18">
        <v>370</v>
      </c>
      <c r="I1044" s="18">
        <v>130</v>
      </c>
      <c r="J1044" s="20" t="s">
        <v>2496</v>
      </c>
      <c r="K1044" s="20" t="s">
        <v>25</v>
      </c>
      <c r="L1044" s="27" t="s">
        <v>26</v>
      </c>
      <c r="M1044" s="27" t="s">
        <v>26</v>
      </c>
      <c r="N1044" s="21">
        <v>40.604273104892002</v>
      </c>
      <c r="O1044" s="10">
        <v>-78.920840489388496</v>
      </c>
      <c r="P1044" s="22">
        <v>34</v>
      </c>
      <c r="Q1044" s="23">
        <v>44256</v>
      </c>
      <c r="R1044" s="22" t="s">
        <v>1530</v>
      </c>
      <c r="S1044" s="22" t="s">
        <v>28</v>
      </c>
      <c r="T1044" s="24">
        <f t="shared" si="33"/>
        <v>35.428000000000004</v>
      </c>
    </row>
    <row r="1045" spans="1:20" x14ac:dyDescent="0.25">
      <c r="A1045" s="8">
        <v>557</v>
      </c>
      <c r="B1045" s="8" t="s">
        <v>2312</v>
      </c>
      <c r="C1045" s="8">
        <v>10</v>
      </c>
      <c r="D1045" s="8" t="s">
        <v>2467</v>
      </c>
      <c r="E1045" s="8" t="s">
        <v>2497</v>
      </c>
      <c r="F1045" s="18" t="s">
        <v>1191</v>
      </c>
      <c r="G1045" s="18" t="s">
        <v>1192</v>
      </c>
      <c r="H1045" s="18">
        <v>100</v>
      </c>
      <c r="I1045" s="18">
        <v>2088</v>
      </c>
      <c r="J1045" s="20" t="s">
        <v>2498</v>
      </c>
      <c r="K1045" s="20" t="s">
        <v>25</v>
      </c>
      <c r="L1045" s="27" t="s">
        <v>26</v>
      </c>
      <c r="M1045" s="27" t="s">
        <v>26</v>
      </c>
      <c r="N1045" s="21">
        <v>40.637268330562797</v>
      </c>
      <c r="O1045" s="10">
        <v>-79.252861143873304</v>
      </c>
      <c r="P1045" s="52">
        <v>117</v>
      </c>
      <c r="Q1045" s="23">
        <v>44266</v>
      </c>
      <c r="R1045" s="22" t="s">
        <v>1530</v>
      </c>
      <c r="S1045" s="22" t="s">
        <v>38</v>
      </c>
      <c r="T1045" s="24">
        <f t="shared" si="33"/>
        <v>121.914</v>
      </c>
    </row>
    <row r="1046" spans="1:20" x14ac:dyDescent="0.25">
      <c r="A1046" s="8">
        <v>558</v>
      </c>
      <c r="B1046" s="8" t="s">
        <v>2312</v>
      </c>
      <c r="C1046" s="8">
        <v>10</v>
      </c>
      <c r="D1046" s="8" t="s">
        <v>2467</v>
      </c>
      <c r="E1046" s="8" t="s">
        <v>1320</v>
      </c>
      <c r="F1046" s="18" t="s">
        <v>1191</v>
      </c>
      <c r="G1046" s="18" t="s">
        <v>1192</v>
      </c>
      <c r="H1046" s="18">
        <v>660</v>
      </c>
      <c r="I1046" s="18">
        <v>0</v>
      </c>
      <c r="J1046" s="20" t="s">
        <v>2499</v>
      </c>
      <c r="K1046" s="20" t="s">
        <v>25</v>
      </c>
      <c r="L1046" s="27" t="s">
        <v>26</v>
      </c>
      <c r="M1046" s="27" t="s">
        <v>26</v>
      </c>
      <c r="N1046" s="21">
        <v>40.540283785747498</v>
      </c>
      <c r="O1046" s="10">
        <v>-78.906953420332798</v>
      </c>
      <c r="P1046" s="22">
        <v>63</v>
      </c>
      <c r="Q1046" s="23">
        <v>44256</v>
      </c>
      <c r="R1046" s="22" t="s">
        <v>1530</v>
      </c>
      <c r="S1046" s="22" t="s">
        <v>517</v>
      </c>
      <c r="T1046" s="24">
        <f t="shared" si="33"/>
        <v>65.646000000000001</v>
      </c>
    </row>
    <row r="1047" spans="1:20" x14ac:dyDescent="0.25">
      <c r="A1047" s="8">
        <v>559</v>
      </c>
      <c r="B1047" s="8" t="s">
        <v>2312</v>
      </c>
      <c r="C1047" s="8">
        <v>10</v>
      </c>
      <c r="D1047" s="8" t="s">
        <v>2467</v>
      </c>
      <c r="E1047" s="8" t="s">
        <v>2488</v>
      </c>
      <c r="F1047" s="18" t="s">
        <v>916</v>
      </c>
      <c r="G1047" s="18" t="s">
        <v>2500</v>
      </c>
      <c r="H1047" s="19">
        <v>140</v>
      </c>
      <c r="I1047" s="19">
        <v>879</v>
      </c>
      <c r="J1047" s="20" t="s">
        <v>799</v>
      </c>
      <c r="K1047" s="20" t="s">
        <v>25</v>
      </c>
      <c r="L1047" s="20" t="s">
        <v>26</v>
      </c>
      <c r="M1047" s="20" t="s">
        <v>26</v>
      </c>
      <c r="N1047" s="21">
        <v>40.6148027812959</v>
      </c>
      <c r="O1047" s="10">
        <v>-79.150622485812804</v>
      </c>
      <c r="P1047" s="22">
        <v>1430</v>
      </c>
      <c r="Q1047" s="23">
        <v>44263</v>
      </c>
      <c r="R1047" s="22" t="s">
        <v>1530</v>
      </c>
      <c r="S1047" s="22" t="s">
        <v>38</v>
      </c>
      <c r="T1047" s="24">
        <f t="shared" si="33"/>
        <v>1490.06</v>
      </c>
    </row>
    <row r="1048" spans="1:20" x14ac:dyDescent="0.25">
      <c r="A1048" s="8">
        <v>560</v>
      </c>
      <c r="B1048" s="8" t="s">
        <v>2312</v>
      </c>
      <c r="C1048" s="8">
        <v>10</v>
      </c>
      <c r="D1048" s="8" t="s">
        <v>2467</v>
      </c>
      <c r="E1048" s="8" t="s">
        <v>2488</v>
      </c>
      <c r="F1048" s="18" t="s">
        <v>916</v>
      </c>
      <c r="G1048" s="18" t="s">
        <v>2500</v>
      </c>
      <c r="H1048" s="19">
        <v>140</v>
      </c>
      <c r="I1048" s="19">
        <v>978</v>
      </c>
      <c r="J1048" s="20" t="s">
        <v>796</v>
      </c>
      <c r="K1048" s="20" t="s">
        <v>25</v>
      </c>
      <c r="L1048" s="20" t="s">
        <v>26</v>
      </c>
      <c r="M1048" s="20" t="s">
        <v>26</v>
      </c>
      <c r="N1048" s="21">
        <v>40.615071328694803</v>
      </c>
      <c r="O1048" s="10">
        <v>-79.150669146151301</v>
      </c>
      <c r="P1048" s="22">
        <v>96</v>
      </c>
      <c r="Q1048" s="23">
        <v>44263</v>
      </c>
      <c r="R1048" s="22" t="s">
        <v>1530</v>
      </c>
      <c r="S1048" s="22" t="s">
        <v>517</v>
      </c>
      <c r="T1048" s="24">
        <f t="shared" si="33"/>
        <v>100.03200000000001</v>
      </c>
    </row>
    <row r="1049" spans="1:20" x14ac:dyDescent="0.25">
      <c r="A1049" s="8">
        <v>561</v>
      </c>
      <c r="B1049" s="8" t="s">
        <v>2312</v>
      </c>
      <c r="C1049" s="8">
        <v>10</v>
      </c>
      <c r="D1049" s="8" t="s">
        <v>2467</v>
      </c>
      <c r="E1049" s="8" t="s">
        <v>2468</v>
      </c>
      <c r="F1049" s="18" t="s">
        <v>233</v>
      </c>
      <c r="G1049" s="18" t="s">
        <v>675</v>
      </c>
      <c r="H1049" s="19">
        <v>20</v>
      </c>
      <c r="I1049" s="19">
        <v>1781</v>
      </c>
      <c r="J1049" s="20" t="s">
        <v>2501</v>
      </c>
      <c r="K1049" s="20" t="s">
        <v>25</v>
      </c>
      <c r="L1049" s="20" t="s">
        <v>26</v>
      </c>
      <c r="M1049" s="20" t="s">
        <v>26</v>
      </c>
      <c r="N1049" s="21">
        <v>40.4305180023904</v>
      </c>
      <c r="O1049" s="10">
        <v>-79.254458741032593</v>
      </c>
      <c r="P1049" s="22">
        <v>304</v>
      </c>
      <c r="Q1049" s="23">
        <v>44272</v>
      </c>
      <c r="R1049" s="22" t="s">
        <v>1530</v>
      </c>
      <c r="S1049" s="22" t="s">
        <v>28</v>
      </c>
      <c r="T1049" s="24">
        <f t="shared" si="33"/>
        <v>316.76800000000003</v>
      </c>
    </row>
    <row r="1050" spans="1:20" x14ac:dyDescent="0.25">
      <c r="A1050" s="8">
        <v>562</v>
      </c>
      <c r="B1050" s="8" t="s">
        <v>2312</v>
      </c>
      <c r="C1050" s="8">
        <v>10</v>
      </c>
      <c r="D1050" s="8" t="s">
        <v>2467</v>
      </c>
      <c r="E1050" s="8" t="s">
        <v>2470</v>
      </c>
      <c r="F1050" s="18" t="s">
        <v>2502</v>
      </c>
      <c r="G1050" s="18" t="s">
        <v>675</v>
      </c>
      <c r="H1050" s="19">
        <v>50</v>
      </c>
      <c r="I1050" s="19">
        <v>300</v>
      </c>
      <c r="J1050" s="20" t="s">
        <v>2503</v>
      </c>
      <c r="K1050" s="20" t="s">
        <v>25</v>
      </c>
      <c r="L1050" s="20" t="s">
        <v>26</v>
      </c>
      <c r="M1050" s="20" t="s">
        <v>26</v>
      </c>
      <c r="N1050" s="21">
        <v>40.439576485249198</v>
      </c>
      <c r="O1050" s="10">
        <v>-79.235079596010294</v>
      </c>
      <c r="P1050" s="22">
        <v>243</v>
      </c>
      <c r="Q1050" s="23">
        <v>44270</v>
      </c>
      <c r="R1050" s="22" t="s">
        <v>1530</v>
      </c>
      <c r="S1050" s="22" t="s">
        <v>28</v>
      </c>
      <c r="T1050" s="24">
        <f t="shared" si="33"/>
        <v>253.20600000000002</v>
      </c>
    </row>
    <row r="1051" spans="1:20" x14ac:dyDescent="0.25">
      <c r="A1051" s="8">
        <v>563</v>
      </c>
      <c r="B1051" s="8" t="s">
        <v>2312</v>
      </c>
      <c r="C1051" s="8">
        <v>10</v>
      </c>
      <c r="D1051" s="8" t="s">
        <v>2467</v>
      </c>
      <c r="E1051" s="8" t="s">
        <v>2470</v>
      </c>
      <c r="F1051" s="18" t="s">
        <v>2502</v>
      </c>
      <c r="G1051" s="18" t="s">
        <v>675</v>
      </c>
      <c r="H1051" s="19">
        <v>60</v>
      </c>
      <c r="I1051" s="19">
        <v>0</v>
      </c>
      <c r="J1051" s="20" t="s">
        <v>2504</v>
      </c>
      <c r="K1051" s="20" t="s">
        <v>25</v>
      </c>
      <c r="L1051" s="20" t="s">
        <v>26</v>
      </c>
      <c r="M1051" s="20" t="s">
        <v>26</v>
      </c>
      <c r="N1051" s="21">
        <v>40.442130534765901</v>
      </c>
      <c r="O1051" s="10">
        <v>-79.225431471636796</v>
      </c>
      <c r="P1051" s="22">
        <v>3880</v>
      </c>
      <c r="Q1051" s="23">
        <v>44266</v>
      </c>
      <c r="R1051" s="22" t="s">
        <v>1530</v>
      </c>
      <c r="S1051" s="22" t="s">
        <v>34</v>
      </c>
      <c r="T1051" s="24">
        <f t="shared" si="33"/>
        <v>4042.96</v>
      </c>
    </row>
    <row r="1052" spans="1:20" x14ac:dyDescent="0.25">
      <c r="A1052" s="8">
        <v>564</v>
      </c>
      <c r="B1052" s="8" t="s">
        <v>2312</v>
      </c>
      <c r="C1052" s="8">
        <v>10</v>
      </c>
      <c r="D1052" s="8" t="s">
        <v>2467</v>
      </c>
      <c r="E1052" s="8" t="s">
        <v>2395</v>
      </c>
      <c r="F1052" s="18" t="s">
        <v>202</v>
      </c>
      <c r="G1052" s="18" t="s">
        <v>2505</v>
      </c>
      <c r="H1052" s="19">
        <v>60</v>
      </c>
      <c r="I1052" s="19">
        <v>1495</v>
      </c>
      <c r="J1052" s="20" t="s">
        <v>2506</v>
      </c>
      <c r="K1052" s="20" t="s">
        <v>25</v>
      </c>
      <c r="L1052" s="20" t="s">
        <v>26</v>
      </c>
      <c r="M1052" s="20" t="s">
        <v>26</v>
      </c>
      <c r="N1052" s="21">
        <v>40.610688722151302</v>
      </c>
      <c r="O1052" s="10">
        <v>-79.185337975796003</v>
      </c>
      <c r="P1052" s="22">
        <v>1670</v>
      </c>
      <c r="Q1052" s="23">
        <v>44266</v>
      </c>
      <c r="R1052" s="22" t="s">
        <v>1530</v>
      </c>
      <c r="S1052" s="22" t="s">
        <v>28</v>
      </c>
      <c r="T1052" s="24">
        <f t="shared" si="33"/>
        <v>1740.14</v>
      </c>
    </row>
    <row r="1053" spans="1:20" x14ac:dyDescent="0.25">
      <c r="A1053" s="8">
        <v>565</v>
      </c>
      <c r="B1053" s="8" t="s">
        <v>2312</v>
      </c>
      <c r="C1053" s="8">
        <v>10</v>
      </c>
      <c r="D1053" s="8" t="s">
        <v>2467</v>
      </c>
      <c r="E1053" s="8" t="s">
        <v>2497</v>
      </c>
      <c r="F1053" s="18" t="s">
        <v>2507</v>
      </c>
      <c r="G1053" s="18" t="s">
        <v>1094</v>
      </c>
      <c r="H1053" s="18">
        <v>40</v>
      </c>
      <c r="I1053" s="18">
        <v>557</v>
      </c>
      <c r="J1053" s="20" t="s">
        <v>2508</v>
      </c>
      <c r="K1053" s="20" t="s">
        <v>25</v>
      </c>
      <c r="L1053" s="27" t="s">
        <v>26</v>
      </c>
      <c r="M1053" s="27" t="s">
        <v>26</v>
      </c>
      <c r="N1053" s="21">
        <v>40.680406720910199</v>
      </c>
      <c r="O1053" s="10">
        <v>-79.2640985652327</v>
      </c>
      <c r="P1053" s="22">
        <v>109</v>
      </c>
      <c r="Q1053" s="23">
        <v>44266</v>
      </c>
      <c r="R1053" s="22" t="s">
        <v>1530</v>
      </c>
      <c r="S1053" s="22" t="s">
        <v>34</v>
      </c>
      <c r="T1053" s="24">
        <f t="shared" si="33"/>
        <v>113.578</v>
      </c>
    </row>
    <row r="1054" spans="1:20" x14ac:dyDescent="0.25">
      <c r="A1054" s="8">
        <v>566</v>
      </c>
      <c r="B1054" s="8" t="s">
        <v>2312</v>
      </c>
      <c r="C1054" s="8">
        <v>10</v>
      </c>
      <c r="D1054" s="8" t="s">
        <v>2467</v>
      </c>
      <c r="E1054" s="8" t="s">
        <v>2488</v>
      </c>
      <c r="F1054" s="18" t="s">
        <v>391</v>
      </c>
      <c r="G1054" s="18" t="s">
        <v>458</v>
      </c>
      <c r="H1054" s="19">
        <v>130</v>
      </c>
      <c r="I1054" s="19">
        <v>1008</v>
      </c>
      <c r="J1054" s="20" t="s">
        <v>2509</v>
      </c>
      <c r="K1054" s="20" t="s">
        <v>25</v>
      </c>
      <c r="L1054" s="20" t="s">
        <v>26</v>
      </c>
      <c r="M1054" s="20" t="s">
        <v>26</v>
      </c>
      <c r="N1054" s="21">
        <v>40.625636621053097</v>
      </c>
      <c r="O1054" s="10">
        <v>-79.145627382802004</v>
      </c>
      <c r="P1054" s="22">
        <v>654</v>
      </c>
      <c r="Q1054" s="23">
        <v>44264</v>
      </c>
      <c r="R1054" s="22" t="s">
        <v>1530</v>
      </c>
      <c r="S1054" s="22" t="s">
        <v>517</v>
      </c>
      <c r="T1054" s="24">
        <f t="shared" si="33"/>
        <v>681.46800000000007</v>
      </c>
    </row>
    <row r="1055" spans="1:20" x14ac:dyDescent="0.25">
      <c r="A1055" s="8">
        <v>567</v>
      </c>
      <c r="B1055" s="8" t="s">
        <v>2312</v>
      </c>
      <c r="C1055" s="8">
        <v>10</v>
      </c>
      <c r="D1055" s="8" t="s">
        <v>2467</v>
      </c>
      <c r="E1055" s="8" t="s">
        <v>2488</v>
      </c>
      <c r="F1055" s="18" t="s">
        <v>391</v>
      </c>
      <c r="G1055" s="18" t="s">
        <v>458</v>
      </c>
      <c r="H1055" s="19">
        <v>130</v>
      </c>
      <c r="I1055" s="19">
        <v>2143</v>
      </c>
      <c r="J1055" s="20" t="s">
        <v>2510</v>
      </c>
      <c r="K1055" s="20" t="s">
        <v>25</v>
      </c>
      <c r="L1055" s="20" t="s">
        <v>26</v>
      </c>
      <c r="M1055" s="20" t="s">
        <v>26</v>
      </c>
      <c r="N1055" s="21">
        <v>40.628774653402402</v>
      </c>
      <c r="O1055" s="10">
        <v>-79.145569970370403</v>
      </c>
      <c r="P1055" s="22">
        <v>143</v>
      </c>
      <c r="Q1055" s="23">
        <v>44266</v>
      </c>
      <c r="R1055" s="22" t="s">
        <v>1530</v>
      </c>
      <c r="S1055" s="22" t="s">
        <v>38</v>
      </c>
      <c r="T1055" s="24">
        <f t="shared" si="33"/>
        <v>149.006</v>
      </c>
    </row>
    <row r="1056" spans="1:20" x14ac:dyDescent="0.25">
      <c r="A1056" s="8">
        <v>568</v>
      </c>
      <c r="B1056" s="8" t="s">
        <v>2312</v>
      </c>
      <c r="C1056" s="8">
        <v>10</v>
      </c>
      <c r="D1056" s="8" t="s">
        <v>2467</v>
      </c>
      <c r="E1056" s="8" t="s">
        <v>2395</v>
      </c>
      <c r="F1056" s="18" t="s">
        <v>391</v>
      </c>
      <c r="G1056" s="18" t="s">
        <v>458</v>
      </c>
      <c r="H1056" s="19">
        <v>130</v>
      </c>
      <c r="I1056" s="19">
        <v>2229</v>
      </c>
      <c r="J1056" s="20" t="s">
        <v>2511</v>
      </c>
      <c r="K1056" s="20" t="s">
        <v>25</v>
      </c>
      <c r="L1056" s="20" t="s">
        <v>26</v>
      </c>
      <c r="M1056" s="20" t="s">
        <v>26</v>
      </c>
      <c r="N1056" s="21">
        <v>40.6290124505447</v>
      </c>
      <c r="O1056" s="10">
        <v>-79.145568145166393</v>
      </c>
      <c r="P1056" s="22">
        <v>118</v>
      </c>
      <c r="Q1056" s="23">
        <v>44263</v>
      </c>
      <c r="R1056" s="22" t="s">
        <v>1530</v>
      </c>
      <c r="S1056" s="22" t="s">
        <v>517</v>
      </c>
      <c r="T1056" s="24">
        <f t="shared" si="33"/>
        <v>122.956</v>
      </c>
    </row>
    <row r="1057" spans="1:20" x14ac:dyDescent="0.25">
      <c r="A1057" s="8">
        <v>569</v>
      </c>
      <c r="B1057" s="8" t="s">
        <v>2312</v>
      </c>
      <c r="C1057" s="8">
        <v>10</v>
      </c>
      <c r="D1057" s="8" t="s">
        <v>2467</v>
      </c>
      <c r="E1057" s="8" t="s">
        <v>2395</v>
      </c>
      <c r="F1057" s="18" t="s">
        <v>2512</v>
      </c>
      <c r="G1057" s="18" t="s">
        <v>458</v>
      </c>
      <c r="H1057" s="18">
        <v>160</v>
      </c>
      <c r="I1057" s="18">
        <v>0</v>
      </c>
      <c r="J1057" s="20" t="s">
        <v>2513</v>
      </c>
      <c r="K1057" s="20" t="s">
        <v>25</v>
      </c>
      <c r="L1057" s="27" t="s">
        <v>26</v>
      </c>
      <c r="M1057" s="27" t="s">
        <v>26</v>
      </c>
      <c r="N1057" s="21">
        <v>40.641825725195901</v>
      </c>
      <c r="O1057" s="10">
        <v>-79.135570615027504</v>
      </c>
      <c r="P1057" s="22">
        <v>1589</v>
      </c>
      <c r="Q1057" s="23">
        <v>44263</v>
      </c>
      <c r="R1057" s="22" t="s">
        <v>1530</v>
      </c>
      <c r="S1057" s="22" t="s">
        <v>517</v>
      </c>
      <c r="T1057" s="24">
        <f t="shared" si="33"/>
        <v>1655.7380000000001</v>
      </c>
    </row>
    <row r="1058" spans="1:20" x14ac:dyDescent="0.25">
      <c r="A1058" s="8">
        <v>570</v>
      </c>
      <c r="B1058" s="8" t="s">
        <v>2312</v>
      </c>
      <c r="C1058" s="8">
        <v>10</v>
      </c>
      <c r="D1058" s="8" t="s">
        <v>2467</v>
      </c>
      <c r="E1058" s="8" t="s">
        <v>2395</v>
      </c>
      <c r="F1058" s="18" t="s">
        <v>2490</v>
      </c>
      <c r="G1058" s="18" t="s">
        <v>2514</v>
      </c>
      <c r="H1058" s="19">
        <v>20</v>
      </c>
      <c r="I1058" s="19">
        <v>2237</v>
      </c>
      <c r="J1058" s="20" t="s">
        <v>2515</v>
      </c>
      <c r="K1058" s="20" t="s">
        <v>25</v>
      </c>
      <c r="L1058" s="20" t="s">
        <v>26</v>
      </c>
      <c r="M1058" s="20" t="s">
        <v>26</v>
      </c>
      <c r="N1058" s="21">
        <v>40.623299996087503</v>
      </c>
      <c r="O1058" s="10">
        <v>-79.181022238759496</v>
      </c>
      <c r="P1058" s="22">
        <v>958</v>
      </c>
      <c r="Q1058" s="23">
        <v>44263</v>
      </c>
      <c r="R1058" s="22" t="s">
        <v>1530</v>
      </c>
      <c r="S1058" s="22" t="s">
        <v>28</v>
      </c>
      <c r="T1058" s="24">
        <f t="shared" si="33"/>
        <v>998.23599999999999</v>
      </c>
    </row>
    <row r="1059" spans="1:20" x14ac:dyDescent="0.25">
      <c r="A1059" s="8">
        <v>571</v>
      </c>
      <c r="B1059" s="8" t="s">
        <v>2312</v>
      </c>
      <c r="C1059" s="8">
        <v>10</v>
      </c>
      <c r="D1059" s="8" t="s">
        <v>2467</v>
      </c>
      <c r="E1059" s="8" t="s">
        <v>2488</v>
      </c>
      <c r="F1059" s="18" t="s">
        <v>2490</v>
      </c>
      <c r="G1059" s="18" t="s">
        <v>2514</v>
      </c>
      <c r="H1059" s="19">
        <v>40</v>
      </c>
      <c r="I1059" s="19">
        <v>1348</v>
      </c>
      <c r="J1059" s="20" t="s">
        <v>2516</v>
      </c>
      <c r="K1059" s="20" t="s">
        <v>25</v>
      </c>
      <c r="L1059" s="20" t="s">
        <v>26</v>
      </c>
      <c r="M1059" s="20" t="s">
        <v>26</v>
      </c>
      <c r="N1059" s="21">
        <v>40.623145069866403</v>
      </c>
      <c r="O1059" s="10">
        <v>-79.163390805926397</v>
      </c>
      <c r="P1059" s="22">
        <v>495</v>
      </c>
      <c r="Q1059" s="23">
        <v>44263</v>
      </c>
      <c r="R1059" s="22" t="s">
        <v>1530</v>
      </c>
      <c r="S1059" s="22" t="s">
        <v>34</v>
      </c>
      <c r="T1059" s="24">
        <f t="shared" si="33"/>
        <v>515.79</v>
      </c>
    </row>
    <row r="1060" spans="1:20" x14ac:dyDescent="0.25">
      <c r="A1060" s="8">
        <v>936</v>
      </c>
      <c r="B1060" s="8" t="s">
        <v>2312</v>
      </c>
      <c r="C1060" s="8">
        <v>9</v>
      </c>
      <c r="D1060" s="8" t="s">
        <v>2517</v>
      </c>
      <c r="E1060" s="8" t="s">
        <v>2518</v>
      </c>
      <c r="F1060" s="18" t="s">
        <v>2519</v>
      </c>
      <c r="G1060" s="18" t="s">
        <v>2520</v>
      </c>
      <c r="H1060" s="19">
        <v>200</v>
      </c>
      <c r="I1060" s="19">
        <v>0</v>
      </c>
      <c r="J1060" s="20" t="s">
        <v>688</v>
      </c>
      <c r="K1060" s="20" t="s">
        <v>25</v>
      </c>
      <c r="L1060" s="20" t="s">
        <v>26</v>
      </c>
      <c r="M1060" s="20" t="s">
        <v>26</v>
      </c>
      <c r="N1060" s="21">
        <v>40.006876313768302</v>
      </c>
      <c r="O1060" s="10">
        <v>-79.092076601845207</v>
      </c>
      <c r="P1060" s="22">
        <v>405</v>
      </c>
      <c r="Q1060" s="23">
        <v>44216</v>
      </c>
      <c r="R1060" s="22" t="s">
        <v>1530</v>
      </c>
      <c r="S1060" s="22" t="s">
        <v>28</v>
      </c>
      <c r="T1060" s="24">
        <f t="shared" ref="T1060:T1076" si="34">P1060*$X$10</f>
        <v>434.16</v>
      </c>
    </row>
    <row r="1061" spans="1:20" x14ac:dyDescent="0.25">
      <c r="A1061" s="8">
        <v>937</v>
      </c>
      <c r="B1061" s="8" t="s">
        <v>2312</v>
      </c>
      <c r="C1061" s="8">
        <v>9</v>
      </c>
      <c r="D1061" s="8" t="s">
        <v>2517</v>
      </c>
      <c r="E1061" s="8" t="s">
        <v>2518</v>
      </c>
      <c r="F1061" s="18" t="s">
        <v>2521</v>
      </c>
      <c r="G1061" s="18" t="s">
        <v>2520</v>
      </c>
      <c r="H1061" s="19">
        <v>230</v>
      </c>
      <c r="I1061" s="19">
        <v>602</v>
      </c>
      <c r="J1061" s="20" t="s">
        <v>2522</v>
      </c>
      <c r="K1061" s="20" t="s">
        <v>25</v>
      </c>
      <c r="L1061" s="20" t="s">
        <v>26</v>
      </c>
      <c r="M1061" s="20" t="s">
        <v>26</v>
      </c>
      <c r="N1061" s="21">
        <v>40.007505030375803</v>
      </c>
      <c r="O1061" s="10">
        <v>-79.076447844811696</v>
      </c>
      <c r="P1061" s="22">
        <v>711</v>
      </c>
      <c r="Q1061" s="23">
        <v>44216</v>
      </c>
      <c r="R1061" s="22" t="s">
        <v>33</v>
      </c>
      <c r="S1061" s="22" t="s">
        <v>34</v>
      </c>
      <c r="T1061" s="24">
        <f t="shared" si="34"/>
        <v>762.19200000000001</v>
      </c>
    </row>
    <row r="1062" spans="1:20" x14ac:dyDescent="0.25">
      <c r="A1062" s="8">
        <v>938</v>
      </c>
      <c r="B1062" s="8" t="s">
        <v>2312</v>
      </c>
      <c r="C1062" s="8">
        <v>9</v>
      </c>
      <c r="D1062" s="8" t="s">
        <v>2517</v>
      </c>
      <c r="E1062" s="8" t="s">
        <v>2518</v>
      </c>
      <c r="F1062" s="18" t="s">
        <v>77</v>
      </c>
      <c r="G1062" s="18" t="s">
        <v>2520</v>
      </c>
      <c r="H1062" s="19">
        <v>240</v>
      </c>
      <c r="I1062" s="19">
        <v>169</v>
      </c>
      <c r="J1062" s="20" t="s">
        <v>2523</v>
      </c>
      <c r="K1062" s="20" t="s">
        <v>25</v>
      </c>
      <c r="L1062" s="20" t="s">
        <v>26</v>
      </c>
      <c r="M1062" s="20" t="s">
        <v>26</v>
      </c>
      <c r="N1062" s="21">
        <v>40.008185346610901</v>
      </c>
      <c r="O1062" s="10">
        <v>-79.073716657444194</v>
      </c>
      <c r="P1062" s="22">
        <v>69</v>
      </c>
      <c r="Q1062" s="23">
        <v>44216</v>
      </c>
      <c r="R1062" s="22" t="s">
        <v>1530</v>
      </c>
      <c r="S1062" s="22" t="s">
        <v>28</v>
      </c>
      <c r="T1062" s="24">
        <f t="shared" si="34"/>
        <v>73.968000000000004</v>
      </c>
    </row>
    <row r="1063" spans="1:20" x14ac:dyDescent="0.25">
      <c r="A1063" s="8">
        <v>939</v>
      </c>
      <c r="B1063" s="8" t="s">
        <v>2312</v>
      </c>
      <c r="C1063" s="8">
        <v>9</v>
      </c>
      <c r="D1063" s="8" t="s">
        <v>2517</v>
      </c>
      <c r="E1063" s="8" t="s">
        <v>2524</v>
      </c>
      <c r="F1063" s="18" t="s">
        <v>2525</v>
      </c>
      <c r="G1063" s="18" t="s">
        <v>2520</v>
      </c>
      <c r="H1063" s="18">
        <v>360</v>
      </c>
      <c r="I1063" s="18">
        <v>1838</v>
      </c>
      <c r="J1063" s="20" t="s">
        <v>2526</v>
      </c>
      <c r="K1063" s="20" t="s">
        <v>1580</v>
      </c>
      <c r="L1063" s="27" t="s">
        <v>26</v>
      </c>
      <c r="M1063" s="27" t="s">
        <v>26</v>
      </c>
      <c r="N1063" s="21">
        <v>39.985835370274899</v>
      </c>
      <c r="O1063" s="10">
        <v>-78.986814105864099</v>
      </c>
      <c r="P1063" s="22">
        <v>307</v>
      </c>
      <c r="Q1063" s="23">
        <v>44252</v>
      </c>
      <c r="R1063" s="22" t="s">
        <v>1530</v>
      </c>
      <c r="S1063" s="22" t="s">
        <v>28</v>
      </c>
      <c r="T1063" s="24">
        <f t="shared" si="34"/>
        <v>329.10400000000004</v>
      </c>
    </row>
    <row r="1064" spans="1:20" x14ac:dyDescent="0.25">
      <c r="A1064" s="8">
        <v>940</v>
      </c>
      <c r="B1064" s="8" t="s">
        <v>2312</v>
      </c>
      <c r="C1064" s="8">
        <v>9</v>
      </c>
      <c r="D1064" s="8" t="s">
        <v>2517</v>
      </c>
      <c r="E1064" s="8" t="s">
        <v>2527</v>
      </c>
      <c r="F1064" s="18" t="s">
        <v>2474</v>
      </c>
      <c r="G1064" s="18" t="s">
        <v>2377</v>
      </c>
      <c r="H1064" s="19">
        <v>60</v>
      </c>
      <c r="I1064" s="19">
        <v>3179</v>
      </c>
      <c r="J1064" s="20" t="s">
        <v>2528</v>
      </c>
      <c r="K1064" s="20" t="s">
        <v>25</v>
      </c>
      <c r="L1064" s="20" t="s">
        <v>26</v>
      </c>
      <c r="M1064" s="20" t="s">
        <v>26</v>
      </c>
      <c r="N1064" s="21">
        <v>40.224736185077603</v>
      </c>
      <c r="O1064" s="10">
        <v>-78.818128943038403</v>
      </c>
      <c r="P1064" s="22">
        <v>432</v>
      </c>
      <c r="Q1064" s="23">
        <v>44210</v>
      </c>
      <c r="R1064" s="22" t="s">
        <v>1530</v>
      </c>
      <c r="S1064" s="22" t="s">
        <v>517</v>
      </c>
      <c r="T1064" s="24">
        <f t="shared" si="34"/>
        <v>463.10400000000004</v>
      </c>
    </row>
    <row r="1065" spans="1:20" x14ac:dyDescent="0.25">
      <c r="A1065" s="8">
        <v>941</v>
      </c>
      <c r="B1065" s="8" t="s">
        <v>2312</v>
      </c>
      <c r="C1065" s="8">
        <v>9</v>
      </c>
      <c r="D1065" s="8" t="s">
        <v>2517</v>
      </c>
      <c r="E1065" s="8" t="s">
        <v>2527</v>
      </c>
      <c r="F1065" s="18" t="s">
        <v>2529</v>
      </c>
      <c r="G1065" s="18" t="s">
        <v>2381</v>
      </c>
      <c r="H1065" s="19">
        <v>920</v>
      </c>
      <c r="I1065" s="19">
        <v>159</v>
      </c>
      <c r="J1065" s="20" t="s">
        <v>2530</v>
      </c>
      <c r="K1065" s="20" t="s">
        <v>25</v>
      </c>
      <c r="L1065" s="20" t="s">
        <v>26</v>
      </c>
      <c r="M1065" s="20" t="s">
        <v>26</v>
      </c>
      <c r="N1065" s="21">
        <v>40.235347255642203</v>
      </c>
      <c r="O1065" s="10">
        <v>-78.8309360524255</v>
      </c>
      <c r="P1065" s="22">
        <v>1649</v>
      </c>
      <c r="Q1065" s="23">
        <v>44210</v>
      </c>
      <c r="R1065" s="22" t="s">
        <v>1530</v>
      </c>
      <c r="S1065" s="22" t="s">
        <v>38</v>
      </c>
      <c r="T1065" s="24">
        <f t="shared" si="34"/>
        <v>1767.7280000000001</v>
      </c>
    </row>
    <row r="1066" spans="1:20" x14ac:dyDescent="0.25">
      <c r="A1066" s="8">
        <v>942</v>
      </c>
      <c r="B1066" s="8" t="s">
        <v>2312</v>
      </c>
      <c r="C1066" s="8">
        <v>9</v>
      </c>
      <c r="D1066" s="8" t="s">
        <v>2517</v>
      </c>
      <c r="E1066" s="8" t="s">
        <v>2524</v>
      </c>
      <c r="F1066" s="18" t="s">
        <v>2531</v>
      </c>
      <c r="G1066" s="18" t="s">
        <v>2532</v>
      </c>
      <c r="H1066" s="18">
        <v>430</v>
      </c>
      <c r="I1066" s="18">
        <v>0</v>
      </c>
      <c r="J1066" s="20" t="s">
        <v>2533</v>
      </c>
      <c r="K1066" s="20" t="s">
        <v>25</v>
      </c>
      <c r="L1066" s="27" t="s">
        <v>26</v>
      </c>
      <c r="M1066" s="27" t="s">
        <v>26</v>
      </c>
      <c r="N1066" s="21">
        <v>39.9924406371929</v>
      </c>
      <c r="O1066" s="10">
        <v>-79.140369909348607</v>
      </c>
      <c r="P1066" s="22">
        <v>274</v>
      </c>
      <c r="Q1066" s="23">
        <v>44252</v>
      </c>
      <c r="R1066" s="22" t="s">
        <v>1530</v>
      </c>
      <c r="S1066" s="22" t="s">
        <v>34</v>
      </c>
      <c r="T1066" s="24">
        <f t="shared" si="34"/>
        <v>293.72800000000001</v>
      </c>
    </row>
    <row r="1067" spans="1:20" x14ac:dyDescent="0.25">
      <c r="A1067" s="8">
        <v>943</v>
      </c>
      <c r="B1067" s="8" t="s">
        <v>2312</v>
      </c>
      <c r="C1067" s="8">
        <v>9</v>
      </c>
      <c r="D1067" s="8" t="s">
        <v>2517</v>
      </c>
      <c r="E1067" s="8" t="s">
        <v>2524</v>
      </c>
      <c r="F1067" s="18" t="s">
        <v>2534</v>
      </c>
      <c r="G1067" s="18" t="s">
        <v>2532</v>
      </c>
      <c r="H1067" s="19">
        <v>500</v>
      </c>
      <c r="I1067" s="19">
        <v>87</v>
      </c>
      <c r="J1067" s="20" t="s">
        <v>2379</v>
      </c>
      <c r="K1067" s="20" t="s">
        <v>25</v>
      </c>
      <c r="L1067" s="20" t="s">
        <v>26</v>
      </c>
      <c r="M1067" s="20" t="s">
        <v>26</v>
      </c>
      <c r="N1067" s="21">
        <v>40.012222395221599</v>
      </c>
      <c r="O1067" s="10">
        <v>-79.074214404992802</v>
      </c>
      <c r="P1067" s="22">
        <v>9</v>
      </c>
      <c r="Q1067" s="23">
        <v>44216</v>
      </c>
      <c r="R1067" s="22" t="s">
        <v>1530</v>
      </c>
      <c r="S1067" s="22" t="s">
        <v>34</v>
      </c>
      <c r="T1067" s="24">
        <f t="shared" si="34"/>
        <v>9.6479999999999997</v>
      </c>
    </row>
    <row r="1068" spans="1:20" x14ac:dyDescent="0.25">
      <c r="A1068" s="8">
        <v>944</v>
      </c>
      <c r="B1068" s="8" t="s">
        <v>2312</v>
      </c>
      <c r="C1068" s="8">
        <v>9</v>
      </c>
      <c r="D1068" s="8" t="s">
        <v>2517</v>
      </c>
      <c r="E1068" s="8" t="s">
        <v>2518</v>
      </c>
      <c r="F1068" s="18" t="s">
        <v>2535</v>
      </c>
      <c r="G1068" s="18" t="s">
        <v>2536</v>
      </c>
      <c r="H1068" s="19">
        <v>20</v>
      </c>
      <c r="I1068" s="19">
        <v>800</v>
      </c>
      <c r="J1068" s="20" t="s">
        <v>2537</v>
      </c>
      <c r="K1068" s="20" t="s">
        <v>25</v>
      </c>
      <c r="L1068" s="20" t="s">
        <v>26</v>
      </c>
      <c r="M1068" s="20" t="s">
        <v>26</v>
      </c>
      <c r="N1068" s="21">
        <v>40.015532324828001</v>
      </c>
      <c r="O1068" s="10">
        <v>-79.078267085604097</v>
      </c>
      <c r="P1068" s="22">
        <v>480</v>
      </c>
      <c r="Q1068" s="23">
        <v>44216</v>
      </c>
      <c r="R1068" s="22" t="s">
        <v>33</v>
      </c>
      <c r="S1068" s="22" t="s">
        <v>517</v>
      </c>
      <c r="T1068" s="24">
        <f t="shared" si="34"/>
        <v>514.56000000000006</v>
      </c>
    </row>
    <row r="1069" spans="1:20" x14ac:dyDescent="0.25">
      <c r="A1069" s="8">
        <v>945</v>
      </c>
      <c r="B1069" s="8" t="s">
        <v>2312</v>
      </c>
      <c r="C1069" s="8">
        <v>9</v>
      </c>
      <c r="D1069" s="8" t="s">
        <v>2517</v>
      </c>
      <c r="E1069" s="8" t="s">
        <v>2524</v>
      </c>
      <c r="F1069" s="18" t="s">
        <v>2535</v>
      </c>
      <c r="G1069" s="18" t="s">
        <v>2536</v>
      </c>
      <c r="H1069" s="19">
        <v>40</v>
      </c>
      <c r="I1069" s="19">
        <v>1049</v>
      </c>
      <c r="J1069" s="20" t="s">
        <v>2538</v>
      </c>
      <c r="K1069" s="20" t="s">
        <v>25</v>
      </c>
      <c r="L1069" s="20" t="s">
        <v>26</v>
      </c>
      <c r="M1069" s="20" t="s">
        <v>26</v>
      </c>
      <c r="N1069" s="21">
        <v>40.0224003232277</v>
      </c>
      <c r="O1069" s="10">
        <v>-79.077214711816495</v>
      </c>
      <c r="P1069" s="22">
        <v>610</v>
      </c>
      <c r="Q1069" s="23">
        <v>44216</v>
      </c>
      <c r="R1069" s="22" t="s">
        <v>1530</v>
      </c>
      <c r="S1069" s="22" t="s">
        <v>517</v>
      </c>
      <c r="T1069" s="24">
        <f t="shared" si="34"/>
        <v>653.92000000000007</v>
      </c>
    </row>
    <row r="1070" spans="1:20" x14ac:dyDescent="0.25">
      <c r="A1070" s="8">
        <v>946</v>
      </c>
      <c r="B1070" s="8" t="s">
        <v>2312</v>
      </c>
      <c r="C1070" s="8">
        <v>9</v>
      </c>
      <c r="D1070" s="8" t="s">
        <v>2517</v>
      </c>
      <c r="E1070" s="8" t="s">
        <v>2524</v>
      </c>
      <c r="F1070" s="18" t="s">
        <v>2535</v>
      </c>
      <c r="G1070" s="18" t="s">
        <v>2536</v>
      </c>
      <c r="H1070" s="19">
        <v>54</v>
      </c>
      <c r="I1070" s="19">
        <v>490</v>
      </c>
      <c r="J1070" s="20" t="s">
        <v>2539</v>
      </c>
      <c r="K1070" s="20" t="s">
        <v>25</v>
      </c>
      <c r="L1070" s="20" t="s">
        <v>26</v>
      </c>
      <c r="M1070" s="20" t="s">
        <v>26</v>
      </c>
      <c r="N1070" s="21">
        <v>40.034178240184701</v>
      </c>
      <c r="O1070" s="10">
        <v>-79.075134017782105</v>
      </c>
      <c r="P1070" s="22">
        <v>1907</v>
      </c>
      <c r="Q1070" s="23">
        <v>44216</v>
      </c>
      <c r="R1070" s="22" t="s">
        <v>1530</v>
      </c>
      <c r="S1070" s="22" t="s">
        <v>38</v>
      </c>
      <c r="T1070" s="24">
        <f t="shared" si="34"/>
        <v>2044.3040000000001</v>
      </c>
    </row>
    <row r="1071" spans="1:20" x14ac:dyDescent="0.25">
      <c r="A1071" s="8">
        <v>947</v>
      </c>
      <c r="B1071" s="8" t="s">
        <v>2312</v>
      </c>
      <c r="C1071" s="8">
        <v>9</v>
      </c>
      <c r="D1071" s="8" t="s">
        <v>2517</v>
      </c>
      <c r="E1071" s="8" t="s">
        <v>2524</v>
      </c>
      <c r="F1071" s="18" t="s">
        <v>2535</v>
      </c>
      <c r="G1071" s="18" t="s">
        <v>2536</v>
      </c>
      <c r="H1071" s="19">
        <v>55</v>
      </c>
      <c r="I1071" s="19">
        <v>1388</v>
      </c>
      <c r="J1071" s="20" t="s">
        <v>2540</v>
      </c>
      <c r="K1071" s="20" t="s">
        <v>25</v>
      </c>
      <c r="L1071" s="20" t="s">
        <v>26</v>
      </c>
      <c r="M1071" s="20" t="s">
        <v>26</v>
      </c>
      <c r="N1071" s="21">
        <v>40.036646475631599</v>
      </c>
      <c r="O1071" s="10">
        <v>-79.075283618579405</v>
      </c>
      <c r="P1071" s="22">
        <v>3390</v>
      </c>
      <c r="Q1071" s="23">
        <v>44216</v>
      </c>
      <c r="R1071" s="22" t="s">
        <v>1530</v>
      </c>
      <c r="S1071" s="22" t="s">
        <v>38</v>
      </c>
      <c r="T1071" s="24">
        <f t="shared" si="34"/>
        <v>3634.0800000000004</v>
      </c>
    </row>
    <row r="1072" spans="1:20" x14ac:dyDescent="0.25">
      <c r="A1072" s="8">
        <v>948</v>
      </c>
      <c r="B1072" s="8" t="s">
        <v>2312</v>
      </c>
      <c r="C1072" s="8">
        <v>9</v>
      </c>
      <c r="D1072" s="8" t="s">
        <v>2517</v>
      </c>
      <c r="E1072" s="8" t="s">
        <v>2524</v>
      </c>
      <c r="F1072" s="18" t="s">
        <v>2535</v>
      </c>
      <c r="G1072" s="18" t="s">
        <v>2536</v>
      </c>
      <c r="H1072" s="18">
        <v>80</v>
      </c>
      <c r="I1072" s="18">
        <v>200</v>
      </c>
      <c r="J1072" s="20" t="s">
        <v>2541</v>
      </c>
      <c r="K1072" s="20" t="s">
        <v>25</v>
      </c>
      <c r="L1072" s="27" t="s">
        <v>26</v>
      </c>
      <c r="M1072" s="27" t="s">
        <v>26</v>
      </c>
      <c r="N1072" s="21">
        <v>40.051627963760801</v>
      </c>
      <c r="O1072" s="10">
        <v>-79.0748307267678</v>
      </c>
      <c r="P1072" s="22">
        <v>5761</v>
      </c>
      <c r="Q1072" s="23">
        <v>44216</v>
      </c>
      <c r="R1072" s="22" t="s">
        <v>1530</v>
      </c>
      <c r="S1072" s="22" t="s">
        <v>38</v>
      </c>
      <c r="T1072" s="24">
        <f t="shared" si="34"/>
        <v>6175.7920000000004</v>
      </c>
    </row>
    <row r="1073" spans="1:20" x14ac:dyDescent="0.25">
      <c r="A1073" s="8">
        <v>949</v>
      </c>
      <c r="B1073" s="8" t="s">
        <v>2312</v>
      </c>
      <c r="C1073" s="8">
        <v>9</v>
      </c>
      <c r="D1073" s="8" t="s">
        <v>2517</v>
      </c>
      <c r="E1073" s="8" t="s">
        <v>2542</v>
      </c>
      <c r="F1073" s="18" t="s">
        <v>2543</v>
      </c>
      <c r="G1073" s="18" t="s">
        <v>2218</v>
      </c>
      <c r="H1073" s="18">
        <v>170</v>
      </c>
      <c r="I1073" s="18">
        <v>452</v>
      </c>
      <c r="J1073" s="20" t="s">
        <v>2544</v>
      </c>
      <c r="K1073" s="20" t="s">
        <v>25</v>
      </c>
      <c r="L1073" s="27" t="s">
        <v>26</v>
      </c>
      <c r="M1073" s="27" t="s">
        <v>26</v>
      </c>
      <c r="N1073" s="21">
        <v>40.117670494829603</v>
      </c>
      <c r="O1073" s="10">
        <v>-78.818074259816896</v>
      </c>
      <c r="P1073" s="22">
        <v>11</v>
      </c>
      <c r="Q1073" s="23">
        <v>44252</v>
      </c>
      <c r="R1073" s="22" t="s">
        <v>1530</v>
      </c>
      <c r="S1073" s="22" t="s">
        <v>517</v>
      </c>
      <c r="T1073" s="24">
        <f t="shared" si="34"/>
        <v>11.792000000000002</v>
      </c>
    </row>
    <row r="1074" spans="1:20" x14ac:dyDescent="0.25">
      <c r="A1074" s="8">
        <v>950</v>
      </c>
      <c r="B1074" s="8" t="s">
        <v>2312</v>
      </c>
      <c r="C1074" s="8">
        <v>9</v>
      </c>
      <c r="D1074" s="8" t="s">
        <v>2517</v>
      </c>
      <c r="E1074" s="8" t="s">
        <v>2545</v>
      </c>
      <c r="F1074" s="18" t="s">
        <v>2546</v>
      </c>
      <c r="G1074" s="18" t="s">
        <v>2547</v>
      </c>
      <c r="H1074" s="18">
        <v>80</v>
      </c>
      <c r="I1074" s="18">
        <v>0</v>
      </c>
      <c r="J1074" s="20" t="s">
        <v>2548</v>
      </c>
      <c r="K1074" s="20" t="s">
        <v>25</v>
      </c>
      <c r="L1074" s="27" t="s">
        <v>26</v>
      </c>
      <c r="M1074" s="27" t="s">
        <v>26</v>
      </c>
      <c r="N1074" s="21">
        <v>39.760780657817698</v>
      </c>
      <c r="O1074" s="10">
        <v>-78.921640716226307</v>
      </c>
      <c r="P1074" s="22">
        <v>94</v>
      </c>
      <c r="Q1074" s="23">
        <v>44208</v>
      </c>
      <c r="R1074" s="22" t="s">
        <v>1530</v>
      </c>
      <c r="S1074" s="22" t="s">
        <v>517</v>
      </c>
      <c r="T1074" s="24">
        <f t="shared" si="34"/>
        <v>100.768</v>
      </c>
    </row>
    <row r="1075" spans="1:20" x14ac:dyDescent="0.25">
      <c r="A1075" s="8">
        <v>951</v>
      </c>
      <c r="B1075" s="8" t="s">
        <v>2312</v>
      </c>
      <c r="C1075" s="8">
        <v>9</v>
      </c>
      <c r="D1075" s="8" t="s">
        <v>2517</v>
      </c>
      <c r="E1075" s="8" t="s">
        <v>2524</v>
      </c>
      <c r="F1075" s="18" t="s">
        <v>2549</v>
      </c>
      <c r="G1075" s="18" t="s">
        <v>2550</v>
      </c>
      <c r="H1075" s="19">
        <v>30</v>
      </c>
      <c r="I1075" s="19">
        <v>0</v>
      </c>
      <c r="J1075" s="20" t="s">
        <v>640</v>
      </c>
      <c r="K1075" s="20" t="s">
        <v>25</v>
      </c>
      <c r="L1075" s="20" t="s">
        <v>26</v>
      </c>
      <c r="M1075" s="20" t="s">
        <v>26</v>
      </c>
      <c r="N1075" s="21">
        <v>39.9911695346063</v>
      </c>
      <c r="O1075" s="10">
        <v>-79.050551462203899</v>
      </c>
      <c r="P1075" s="22">
        <v>1424</v>
      </c>
      <c r="Q1075" s="23">
        <v>44216</v>
      </c>
      <c r="R1075" s="22" t="s">
        <v>1530</v>
      </c>
      <c r="S1075" s="22" t="s">
        <v>38</v>
      </c>
      <c r="T1075" s="24">
        <f t="shared" si="34"/>
        <v>1526.528</v>
      </c>
    </row>
    <row r="1076" spans="1:20" x14ac:dyDescent="0.25">
      <c r="A1076" s="8">
        <v>952</v>
      </c>
      <c r="B1076" s="8" t="s">
        <v>2312</v>
      </c>
      <c r="C1076" s="8">
        <v>9</v>
      </c>
      <c r="D1076" s="8" t="s">
        <v>2517</v>
      </c>
      <c r="E1076" s="8" t="s">
        <v>2551</v>
      </c>
      <c r="F1076" s="18" t="s">
        <v>77</v>
      </c>
      <c r="G1076" s="18" t="s">
        <v>1009</v>
      </c>
      <c r="H1076" s="18">
        <v>100</v>
      </c>
      <c r="I1076" s="18">
        <v>1842</v>
      </c>
      <c r="J1076" s="20" t="s">
        <v>2552</v>
      </c>
      <c r="K1076" s="20" t="s">
        <v>25</v>
      </c>
      <c r="L1076" s="27" t="s">
        <v>26</v>
      </c>
      <c r="M1076" s="27" t="s">
        <v>26</v>
      </c>
      <c r="N1076" s="21">
        <v>40.158765423423503</v>
      </c>
      <c r="O1076" s="10">
        <v>-79.026495579824996</v>
      </c>
      <c r="P1076" s="22">
        <v>433</v>
      </c>
      <c r="Q1076" s="23">
        <v>44252</v>
      </c>
      <c r="R1076" s="22" t="s">
        <v>1530</v>
      </c>
      <c r="S1076" s="22" t="s">
        <v>38</v>
      </c>
      <c r="T1076" s="24">
        <f t="shared" si="34"/>
        <v>464.17600000000004</v>
      </c>
    </row>
    <row r="1077" spans="1:20" x14ac:dyDescent="0.25">
      <c r="A1077" s="8">
        <v>1017</v>
      </c>
      <c r="B1077" s="8" t="s">
        <v>2312</v>
      </c>
      <c r="C1077" s="8">
        <v>12</v>
      </c>
      <c r="D1077" s="8" t="s">
        <v>2553</v>
      </c>
      <c r="E1077" s="8" t="s">
        <v>917</v>
      </c>
      <c r="F1077" s="18" t="s">
        <v>2554</v>
      </c>
      <c r="G1077" s="18" t="s">
        <v>121</v>
      </c>
      <c r="H1077" s="18">
        <v>570</v>
      </c>
      <c r="I1077" s="18">
        <v>0</v>
      </c>
      <c r="J1077" s="20" t="s">
        <v>2555</v>
      </c>
      <c r="K1077" s="20" t="s">
        <v>25</v>
      </c>
      <c r="L1077" s="27" t="s">
        <v>26</v>
      </c>
      <c r="M1077" s="27" t="s">
        <v>26</v>
      </c>
      <c r="N1077" s="21">
        <v>40.286803787466901</v>
      </c>
      <c r="O1077" s="10">
        <v>-80.331749702365201</v>
      </c>
      <c r="P1077" s="22">
        <v>70</v>
      </c>
      <c r="Q1077" s="23">
        <v>44243</v>
      </c>
      <c r="R1077" s="22" t="s">
        <v>1530</v>
      </c>
      <c r="S1077" s="22" t="s">
        <v>517</v>
      </c>
      <c r="T1077" s="24">
        <f t="shared" ref="T1077:T1101" si="35">P1077*$X$13</f>
        <v>75.040000000000006</v>
      </c>
    </row>
    <row r="1078" spans="1:20" x14ac:dyDescent="0.25">
      <c r="A1078" s="8">
        <v>1018</v>
      </c>
      <c r="B1078" s="8" t="s">
        <v>2312</v>
      </c>
      <c r="C1078" s="8">
        <v>12</v>
      </c>
      <c r="D1078" s="8" t="s">
        <v>2553</v>
      </c>
      <c r="E1078" s="8" t="s">
        <v>2556</v>
      </c>
      <c r="F1078" s="18" t="s">
        <v>2456</v>
      </c>
      <c r="G1078" s="18" t="s">
        <v>125</v>
      </c>
      <c r="H1078" s="19">
        <v>300</v>
      </c>
      <c r="I1078" s="19">
        <v>1235</v>
      </c>
      <c r="J1078" s="20" t="s">
        <v>2557</v>
      </c>
      <c r="K1078" s="20" t="s">
        <v>25</v>
      </c>
      <c r="L1078" s="20" t="s">
        <v>26</v>
      </c>
      <c r="M1078" s="20" t="s">
        <v>26</v>
      </c>
      <c r="N1078" s="21">
        <v>40.1658559810677</v>
      </c>
      <c r="O1078" s="10">
        <v>-80.233825312481002</v>
      </c>
      <c r="P1078" s="22">
        <v>741</v>
      </c>
      <c r="Q1078" s="23">
        <v>44243</v>
      </c>
      <c r="R1078" s="22" t="s">
        <v>1530</v>
      </c>
      <c r="S1078" s="22" t="s">
        <v>34</v>
      </c>
      <c r="T1078" s="24">
        <f t="shared" si="35"/>
        <v>794.35200000000009</v>
      </c>
    </row>
    <row r="1079" spans="1:20" x14ac:dyDescent="0.25">
      <c r="A1079" s="8">
        <v>1019</v>
      </c>
      <c r="B1079" s="8" t="s">
        <v>2312</v>
      </c>
      <c r="C1079" s="8">
        <v>12</v>
      </c>
      <c r="D1079" s="8" t="s">
        <v>2553</v>
      </c>
      <c r="E1079" s="8" t="s">
        <v>2558</v>
      </c>
      <c r="F1079" s="18" t="s">
        <v>1318</v>
      </c>
      <c r="G1079" s="18" t="s">
        <v>125</v>
      </c>
      <c r="H1079" s="19">
        <v>360</v>
      </c>
      <c r="I1079" s="19">
        <v>270</v>
      </c>
      <c r="J1079" s="20" t="s">
        <v>2559</v>
      </c>
      <c r="K1079" s="20" t="s">
        <v>25</v>
      </c>
      <c r="L1079" s="20" t="s">
        <v>26</v>
      </c>
      <c r="M1079" s="20" t="s">
        <v>26</v>
      </c>
      <c r="N1079" s="21">
        <v>40.186364203270301</v>
      </c>
      <c r="O1079" s="10">
        <v>-80.223016807974801</v>
      </c>
      <c r="P1079" s="22">
        <v>13000</v>
      </c>
      <c r="Q1079" s="22">
        <v>2020</v>
      </c>
      <c r="R1079" s="22" t="s">
        <v>33</v>
      </c>
      <c r="S1079" s="22" t="s">
        <v>34</v>
      </c>
      <c r="T1079" s="24">
        <f>P1079</f>
        <v>13000</v>
      </c>
    </row>
    <row r="1080" spans="1:20" x14ac:dyDescent="0.25">
      <c r="A1080" s="8">
        <v>1020</v>
      </c>
      <c r="B1080" s="8" t="s">
        <v>2312</v>
      </c>
      <c r="C1080" s="8">
        <v>12</v>
      </c>
      <c r="D1080" s="8" t="s">
        <v>2553</v>
      </c>
      <c r="E1080" s="8" t="s">
        <v>534</v>
      </c>
      <c r="F1080" s="18" t="s">
        <v>2560</v>
      </c>
      <c r="G1080" s="18" t="s">
        <v>2422</v>
      </c>
      <c r="H1080" s="19">
        <v>310</v>
      </c>
      <c r="I1080" s="19">
        <v>0</v>
      </c>
      <c r="J1080" s="20" t="s">
        <v>2561</v>
      </c>
      <c r="K1080" s="20" t="s">
        <v>25</v>
      </c>
      <c r="L1080" s="20" t="s">
        <v>26</v>
      </c>
      <c r="M1080" s="20" t="s">
        <v>26</v>
      </c>
      <c r="N1080" s="21">
        <v>40.163145783096901</v>
      </c>
      <c r="O1080" s="10">
        <v>-80.284723905151296</v>
      </c>
      <c r="P1080" s="22">
        <v>1332</v>
      </c>
      <c r="Q1080" s="23">
        <v>44243</v>
      </c>
      <c r="R1080" s="22" t="s">
        <v>1530</v>
      </c>
      <c r="S1080" s="22" t="s">
        <v>34</v>
      </c>
      <c r="T1080" s="24">
        <f t="shared" si="35"/>
        <v>1427.904</v>
      </c>
    </row>
    <row r="1081" spans="1:20" x14ac:dyDescent="0.25">
      <c r="A1081" s="8">
        <v>1021</v>
      </c>
      <c r="B1081" s="8" t="s">
        <v>2312</v>
      </c>
      <c r="C1081" s="8">
        <v>12</v>
      </c>
      <c r="D1081" s="8" t="s">
        <v>2553</v>
      </c>
      <c r="E1081" s="8" t="s">
        <v>2556</v>
      </c>
      <c r="F1081" s="18" t="s">
        <v>2562</v>
      </c>
      <c r="G1081" s="18" t="s">
        <v>2422</v>
      </c>
      <c r="H1081" s="19">
        <v>360</v>
      </c>
      <c r="I1081" s="19">
        <v>1113</v>
      </c>
      <c r="J1081" s="20" t="s">
        <v>2456</v>
      </c>
      <c r="K1081" s="20" t="s">
        <v>25</v>
      </c>
      <c r="L1081" s="20" t="s">
        <v>26</v>
      </c>
      <c r="M1081" s="20" t="s">
        <v>26</v>
      </c>
      <c r="N1081" s="21">
        <v>40.167413967869301</v>
      </c>
      <c r="O1081" s="10">
        <v>-80.248805885127396</v>
      </c>
      <c r="P1081" s="22">
        <v>2868</v>
      </c>
      <c r="Q1081" s="23">
        <v>44243</v>
      </c>
      <c r="R1081" s="22" t="s">
        <v>1530</v>
      </c>
      <c r="S1081" s="22" t="s">
        <v>28</v>
      </c>
      <c r="T1081" s="24">
        <f t="shared" si="35"/>
        <v>3074.4960000000001</v>
      </c>
    </row>
    <row r="1082" spans="1:20" x14ac:dyDescent="0.25">
      <c r="A1082" s="8">
        <v>1022</v>
      </c>
      <c r="B1082" s="8" t="s">
        <v>2312</v>
      </c>
      <c r="C1082" s="8">
        <v>12</v>
      </c>
      <c r="D1082" s="8" t="s">
        <v>2553</v>
      </c>
      <c r="E1082" s="8" t="s">
        <v>472</v>
      </c>
      <c r="F1082" s="18" t="s">
        <v>2563</v>
      </c>
      <c r="G1082" s="18" t="s">
        <v>2564</v>
      </c>
      <c r="H1082" s="19">
        <v>740</v>
      </c>
      <c r="I1082" s="19">
        <v>0</v>
      </c>
      <c r="J1082" s="20" t="s">
        <v>1889</v>
      </c>
      <c r="K1082" s="20" t="s">
        <v>25</v>
      </c>
      <c r="L1082" s="20" t="s">
        <v>26</v>
      </c>
      <c r="M1082" s="20" t="s">
        <v>26</v>
      </c>
      <c r="N1082" s="21">
        <v>40.235607811304398</v>
      </c>
      <c r="O1082" s="10">
        <v>-80.000485233427995</v>
      </c>
      <c r="P1082" s="22">
        <v>305</v>
      </c>
      <c r="Q1082" s="23">
        <v>44244</v>
      </c>
      <c r="R1082" s="22" t="s">
        <v>1530</v>
      </c>
      <c r="S1082" s="22" t="s">
        <v>517</v>
      </c>
      <c r="T1082" s="24">
        <f t="shared" si="35"/>
        <v>326.96000000000004</v>
      </c>
    </row>
    <row r="1083" spans="1:20" x14ac:dyDescent="0.25">
      <c r="A1083" s="8">
        <v>1024</v>
      </c>
      <c r="B1083" s="8" t="s">
        <v>2312</v>
      </c>
      <c r="C1083" s="8">
        <v>12</v>
      </c>
      <c r="D1083" s="8" t="s">
        <v>2553</v>
      </c>
      <c r="E1083" s="8" t="s">
        <v>2565</v>
      </c>
      <c r="F1083" s="18" t="s">
        <v>2566</v>
      </c>
      <c r="G1083" s="18" t="s">
        <v>2567</v>
      </c>
      <c r="H1083" s="18">
        <v>140</v>
      </c>
      <c r="I1083" s="18">
        <v>1498</v>
      </c>
      <c r="J1083" s="20" t="s">
        <v>188</v>
      </c>
      <c r="K1083" s="20" t="s">
        <v>25</v>
      </c>
      <c r="L1083" s="27" t="s">
        <v>26</v>
      </c>
      <c r="M1083" s="27" t="s">
        <v>26</v>
      </c>
      <c r="N1083" s="21">
        <v>40.214124506939498</v>
      </c>
      <c r="O1083" s="10">
        <v>-80.133877732169594</v>
      </c>
      <c r="P1083" s="22">
        <v>124</v>
      </c>
      <c r="Q1083" s="23">
        <v>44244</v>
      </c>
      <c r="R1083" s="22" t="s">
        <v>1530</v>
      </c>
      <c r="S1083" s="22" t="s">
        <v>38</v>
      </c>
      <c r="T1083" s="24">
        <f t="shared" si="35"/>
        <v>132.928</v>
      </c>
    </row>
    <row r="1084" spans="1:20" x14ac:dyDescent="0.25">
      <c r="A1084" s="8">
        <v>1025</v>
      </c>
      <c r="B1084" s="8" t="s">
        <v>2312</v>
      </c>
      <c r="C1084" s="8">
        <v>12</v>
      </c>
      <c r="D1084" s="8" t="s">
        <v>2553</v>
      </c>
      <c r="E1084" s="8" t="s">
        <v>2568</v>
      </c>
      <c r="F1084" s="18" t="s">
        <v>2569</v>
      </c>
      <c r="G1084" s="18" t="s">
        <v>2570</v>
      </c>
      <c r="H1084" s="18">
        <v>20</v>
      </c>
      <c r="I1084" s="18">
        <v>0</v>
      </c>
      <c r="J1084" s="20" t="s">
        <v>2571</v>
      </c>
      <c r="K1084" s="20" t="s">
        <v>25</v>
      </c>
      <c r="L1084" s="27" t="s">
        <v>26</v>
      </c>
      <c r="M1084" s="27" t="s">
        <v>26</v>
      </c>
      <c r="N1084" s="21">
        <v>40.097260459208002</v>
      </c>
      <c r="O1084" s="10">
        <v>-80.078051299697805</v>
      </c>
      <c r="P1084" s="22">
        <v>278</v>
      </c>
      <c r="Q1084" s="23">
        <v>44243</v>
      </c>
      <c r="R1084" s="22" t="s">
        <v>1530</v>
      </c>
      <c r="S1084" s="22" t="s">
        <v>34</v>
      </c>
      <c r="T1084" s="24">
        <f t="shared" si="35"/>
        <v>298.01600000000002</v>
      </c>
    </row>
    <row r="1085" spans="1:20" x14ac:dyDescent="0.25">
      <c r="A1085" s="8">
        <v>1026</v>
      </c>
      <c r="B1085" s="8" t="s">
        <v>2312</v>
      </c>
      <c r="C1085" s="8">
        <v>12</v>
      </c>
      <c r="D1085" s="8" t="s">
        <v>2553</v>
      </c>
      <c r="E1085" s="8" t="s">
        <v>917</v>
      </c>
      <c r="F1085" s="18" t="s">
        <v>2572</v>
      </c>
      <c r="G1085" s="18" t="s">
        <v>2573</v>
      </c>
      <c r="H1085" s="18">
        <v>70</v>
      </c>
      <c r="I1085" s="18">
        <v>0</v>
      </c>
      <c r="J1085" s="20" t="s">
        <v>2574</v>
      </c>
      <c r="K1085" s="20" t="s">
        <v>25</v>
      </c>
      <c r="L1085" s="27" t="s">
        <v>26</v>
      </c>
      <c r="M1085" s="27" t="s">
        <v>26</v>
      </c>
      <c r="N1085" s="21">
        <v>40.3378912678698</v>
      </c>
      <c r="O1085" s="10">
        <v>-80.2857943502203</v>
      </c>
      <c r="P1085" s="22">
        <v>275</v>
      </c>
      <c r="Q1085" s="23">
        <v>44243</v>
      </c>
      <c r="R1085" s="22" t="s">
        <v>1530</v>
      </c>
      <c r="S1085" s="22" t="s">
        <v>38</v>
      </c>
      <c r="T1085" s="24">
        <f t="shared" si="35"/>
        <v>294.8</v>
      </c>
    </row>
    <row r="1086" spans="1:20" x14ac:dyDescent="0.25">
      <c r="A1086" s="8">
        <v>1054</v>
      </c>
      <c r="B1086" s="8" t="s">
        <v>2312</v>
      </c>
      <c r="C1086" s="8">
        <v>12</v>
      </c>
      <c r="D1086" s="8" t="s">
        <v>1481</v>
      </c>
      <c r="E1086" s="8" t="s">
        <v>2575</v>
      </c>
      <c r="F1086" s="18" t="s">
        <v>1161</v>
      </c>
      <c r="G1086" s="18" t="s">
        <v>1162</v>
      </c>
      <c r="H1086" s="19">
        <v>60</v>
      </c>
      <c r="I1086" s="19">
        <v>0</v>
      </c>
      <c r="J1086" s="20" t="s">
        <v>2576</v>
      </c>
      <c r="K1086" s="20" t="s">
        <v>25</v>
      </c>
      <c r="L1086" s="20" t="s">
        <v>26</v>
      </c>
      <c r="M1086" s="20" t="s">
        <v>26</v>
      </c>
      <c r="N1086" s="21">
        <v>40.422449244009698</v>
      </c>
      <c r="O1086" s="10">
        <v>-79.661628078843506</v>
      </c>
      <c r="P1086" s="22">
        <v>6779</v>
      </c>
      <c r="Q1086" s="23">
        <v>44272</v>
      </c>
      <c r="R1086" s="22" t="s">
        <v>1530</v>
      </c>
      <c r="S1086" s="22" t="s">
        <v>34</v>
      </c>
      <c r="T1086" s="24">
        <f t="shared" si="35"/>
        <v>7267.0880000000006</v>
      </c>
    </row>
    <row r="1087" spans="1:20" x14ac:dyDescent="0.25">
      <c r="A1087" s="8">
        <v>1055</v>
      </c>
      <c r="B1087" s="8" t="s">
        <v>2312</v>
      </c>
      <c r="C1087" s="8">
        <v>12</v>
      </c>
      <c r="D1087" s="8" t="s">
        <v>1481</v>
      </c>
      <c r="E1087" s="8" t="s">
        <v>2577</v>
      </c>
      <c r="F1087" s="18" t="s">
        <v>1355</v>
      </c>
      <c r="G1087" s="18" t="s">
        <v>890</v>
      </c>
      <c r="H1087" s="19">
        <v>60</v>
      </c>
      <c r="I1087" s="19">
        <v>200</v>
      </c>
      <c r="J1087" s="20" t="s">
        <v>2578</v>
      </c>
      <c r="K1087" s="20" t="s">
        <v>25</v>
      </c>
      <c r="L1087" s="20" t="s">
        <v>26</v>
      </c>
      <c r="M1087" s="20" t="s">
        <v>26</v>
      </c>
      <c r="N1087" s="21">
        <v>40.3388060472303</v>
      </c>
      <c r="O1087" s="10">
        <v>-79.749462590487497</v>
      </c>
      <c r="P1087" s="22">
        <v>307</v>
      </c>
      <c r="Q1087" s="23">
        <v>44272</v>
      </c>
      <c r="R1087" s="22" t="s">
        <v>1530</v>
      </c>
      <c r="S1087" s="22" t="s">
        <v>28</v>
      </c>
      <c r="T1087" s="24">
        <f t="shared" si="35"/>
        <v>329.10400000000004</v>
      </c>
    </row>
    <row r="1088" spans="1:20" x14ac:dyDescent="0.25">
      <c r="A1088" s="8">
        <v>1056</v>
      </c>
      <c r="B1088" s="8" t="s">
        <v>2312</v>
      </c>
      <c r="C1088" s="8">
        <v>12</v>
      </c>
      <c r="D1088" s="8" t="s">
        <v>1481</v>
      </c>
      <c r="E1088" s="8" t="s">
        <v>2577</v>
      </c>
      <c r="F1088" s="18" t="s">
        <v>1355</v>
      </c>
      <c r="G1088" s="18" t="s">
        <v>890</v>
      </c>
      <c r="H1088" s="19">
        <v>60</v>
      </c>
      <c r="I1088" s="19">
        <v>285</v>
      </c>
      <c r="J1088" s="20" t="s">
        <v>2579</v>
      </c>
      <c r="K1088" s="20" t="s">
        <v>25</v>
      </c>
      <c r="L1088" s="20" t="s">
        <v>26</v>
      </c>
      <c r="M1088" s="20" t="s">
        <v>26</v>
      </c>
      <c r="N1088" s="21">
        <v>40.338699389038197</v>
      </c>
      <c r="O1088" s="10">
        <v>-79.749213949627205</v>
      </c>
      <c r="P1088" s="22">
        <v>30</v>
      </c>
      <c r="Q1088" s="23">
        <v>44272</v>
      </c>
      <c r="R1088" s="22" t="s">
        <v>1530</v>
      </c>
      <c r="S1088" s="22" t="s">
        <v>34</v>
      </c>
      <c r="T1088" s="24">
        <f t="shared" si="35"/>
        <v>32.160000000000004</v>
      </c>
    </row>
    <row r="1089" spans="1:20" x14ac:dyDescent="0.25">
      <c r="A1089" s="8">
        <v>1057</v>
      </c>
      <c r="B1089" s="8" t="s">
        <v>2312</v>
      </c>
      <c r="C1089" s="8">
        <v>12</v>
      </c>
      <c r="D1089" s="8" t="s">
        <v>1481</v>
      </c>
      <c r="E1089" s="8" t="s">
        <v>2577</v>
      </c>
      <c r="F1089" s="18" t="s">
        <v>1355</v>
      </c>
      <c r="G1089" s="18" t="s">
        <v>890</v>
      </c>
      <c r="H1089" s="19">
        <v>130</v>
      </c>
      <c r="I1089" s="19">
        <v>0</v>
      </c>
      <c r="J1089" s="20" t="s">
        <v>2580</v>
      </c>
      <c r="K1089" s="20" t="s">
        <v>25</v>
      </c>
      <c r="L1089" s="20" t="s">
        <v>26</v>
      </c>
      <c r="M1089" s="20" t="s">
        <v>26</v>
      </c>
      <c r="N1089" s="21">
        <v>40.319776395242002</v>
      </c>
      <c r="O1089" s="10">
        <v>-79.690373081872096</v>
      </c>
      <c r="P1089" s="22">
        <v>12220</v>
      </c>
      <c r="Q1089" s="23">
        <v>44272</v>
      </c>
      <c r="R1089" s="22" t="s">
        <v>1530</v>
      </c>
      <c r="S1089" s="22" t="s">
        <v>28</v>
      </c>
      <c r="T1089" s="24">
        <f t="shared" si="35"/>
        <v>13099.84</v>
      </c>
    </row>
    <row r="1090" spans="1:20" x14ac:dyDescent="0.25">
      <c r="A1090" s="8">
        <v>1058</v>
      </c>
      <c r="B1090" s="8" t="s">
        <v>2312</v>
      </c>
      <c r="C1090" s="8">
        <v>12</v>
      </c>
      <c r="D1090" s="8" t="s">
        <v>1481</v>
      </c>
      <c r="E1090" s="8" t="s">
        <v>2581</v>
      </c>
      <c r="F1090" s="18" t="s">
        <v>1355</v>
      </c>
      <c r="G1090" s="18" t="s">
        <v>890</v>
      </c>
      <c r="H1090" s="19">
        <v>380</v>
      </c>
      <c r="I1090" s="19">
        <v>2840</v>
      </c>
      <c r="J1090" s="20" t="s">
        <v>2582</v>
      </c>
      <c r="K1090" s="20" t="s">
        <v>25</v>
      </c>
      <c r="L1090" s="20" t="s">
        <v>26</v>
      </c>
      <c r="M1090" s="20" t="s">
        <v>26</v>
      </c>
      <c r="N1090" s="21">
        <v>40.297104989168403</v>
      </c>
      <c r="O1090" s="10">
        <v>-79.4794206993557</v>
      </c>
      <c r="P1090" s="22">
        <v>1964</v>
      </c>
      <c r="Q1090" s="23">
        <v>44272</v>
      </c>
      <c r="R1090" s="22" t="s">
        <v>1530</v>
      </c>
      <c r="S1090" s="22" t="s">
        <v>34</v>
      </c>
      <c r="T1090" s="24">
        <f t="shared" si="35"/>
        <v>2105.4079999999999</v>
      </c>
    </row>
    <row r="1091" spans="1:20" x14ac:dyDescent="0.25">
      <c r="A1091" s="8">
        <v>1059</v>
      </c>
      <c r="B1091" s="8" t="s">
        <v>2312</v>
      </c>
      <c r="C1091" s="8">
        <v>12</v>
      </c>
      <c r="D1091" s="8" t="s">
        <v>1481</v>
      </c>
      <c r="E1091" s="8" t="s">
        <v>2583</v>
      </c>
      <c r="F1091" s="18" t="s">
        <v>1355</v>
      </c>
      <c r="G1091" s="18" t="s">
        <v>890</v>
      </c>
      <c r="H1091" s="18">
        <v>601</v>
      </c>
      <c r="I1091" s="18">
        <v>1980</v>
      </c>
      <c r="J1091" s="20" t="s">
        <v>2584</v>
      </c>
      <c r="K1091" s="20" t="s">
        <v>25</v>
      </c>
      <c r="L1091" s="27" t="s">
        <v>26</v>
      </c>
      <c r="M1091" s="27" t="s">
        <v>26</v>
      </c>
      <c r="N1091" s="21">
        <v>40.2681371892089</v>
      </c>
      <c r="O1091" s="10">
        <v>-79.293737672107696</v>
      </c>
      <c r="P1091" s="22">
        <v>15</v>
      </c>
      <c r="Q1091" s="23">
        <v>44270</v>
      </c>
      <c r="R1091" s="22" t="s">
        <v>1530</v>
      </c>
      <c r="S1091" s="22" t="s">
        <v>34</v>
      </c>
      <c r="T1091" s="24">
        <f t="shared" si="35"/>
        <v>16.080000000000002</v>
      </c>
    </row>
    <row r="1092" spans="1:20" x14ac:dyDescent="0.25">
      <c r="A1092" s="8">
        <v>1060</v>
      </c>
      <c r="B1092" s="8" t="s">
        <v>2312</v>
      </c>
      <c r="C1092" s="8">
        <v>12</v>
      </c>
      <c r="D1092" s="8" t="s">
        <v>1481</v>
      </c>
      <c r="E1092" s="8" t="s">
        <v>2583</v>
      </c>
      <c r="F1092" s="18" t="s">
        <v>1355</v>
      </c>
      <c r="G1092" s="18" t="s">
        <v>890</v>
      </c>
      <c r="H1092" s="18">
        <v>631</v>
      </c>
      <c r="I1092" s="18">
        <v>1250</v>
      </c>
      <c r="J1092" s="20" t="s">
        <v>2585</v>
      </c>
      <c r="K1092" s="20" t="s">
        <v>25</v>
      </c>
      <c r="L1092" s="27" t="s">
        <v>26</v>
      </c>
      <c r="M1092" s="27" t="s">
        <v>26</v>
      </c>
      <c r="N1092" s="21">
        <v>40.263104270944403</v>
      </c>
      <c r="O1092" s="10">
        <v>-79.270477743049597</v>
      </c>
      <c r="P1092" s="22">
        <v>145</v>
      </c>
      <c r="Q1092" s="23">
        <v>44270</v>
      </c>
      <c r="R1092" s="22" t="s">
        <v>1530</v>
      </c>
      <c r="S1092" s="22" t="s">
        <v>34</v>
      </c>
      <c r="T1092" s="24">
        <f t="shared" si="35"/>
        <v>155.44</v>
      </c>
    </row>
    <row r="1093" spans="1:20" x14ac:dyDescent="0.25">
      <c r="A1093" s="8">
        <v>1061</v>
      </c>
      <c r="B1093" s="8" t="s">
        <v>2312</v>
      </c>
      <c r="C1093" s="8">
        <v>12</v>
      </c>
      <c r="D1093" s="8" t="s">
        <v>1481</v>
      </c>
      <c r="E1093" s="8" t="s">
        <v>2583</v>
      </c>
      <c r="F1093" s="18" t="s">
        <v>1355</v>
      </c>
      <c r="G1093" s="18" t="s">
        <v>890</v>
      </c>
      <c r="H1093" s="18">
        <v>710</v>
      </c>
      <c r="I1093" s="18">
        <v>0</v>
      </c>
      <c r="J1093" s="20" t="s">
        <v>2586</v>
      </c>
      <c r="K1093" s="20" t="s">
        <v>25</v>
      </c>
      <c r="L1093" s="27" t="s">
        <v>26</v>
      </c>
      <c r="M1093" s="27" t="s">
        <v>26</v>
      </c>
      <c r="N1093" s="21">
        <v>40.229886417580701</v>
      </c>
      <c r="O1093" s="10">
        <v>-79.2213399859791</v>
      </c>
      <c r="P1093" s="22">
        <v>175</v>
      </c>
      <c r="Q1093" s="23">
        <v>44270</v>
      </c>
      <c r="R1093" s="22" t="s">
        <v>1530</v>
      </c>
      <c r="S1093" s="22" t="s">
        <v>38</v>
      </c>
      <c r="T1093" s="24">
        <f t="shared" si="35"/>
        <v>187.60000000000002</v>
      </c>
    </row>
    <row r="1094" spans="1:20" x14ac:dyDescent="0.25">
      <c r="A1094" s="8">
        <v>1062</v>
      </c>
      <c r="B1094" s="8" t="s">
        <v>2312</v>
      </c>
      <c r="C1094" s="8">
        <v>12</v>
      </c>
      <c r="D1094" s="8" t="s">
        <v>1481</v>
      </c>
      <c r="E1094" s="8" t="s">
        <v>2587</v>
      </c>
      <c r="F1094" s="18" t="s">
        <v>2588</v>
      </c>
      <c r="G1094" s="18" t="s">
        <v>2520</v>
      </c>
      <c r="H1094" s="18">
        <v>160</v>
      </c>
      <c r="I1094" s="18">
        <v>0</v>
      </c>
      <c r="J1094" s="20" t="s">
        <v>2589</v>
      </c>
      <c r="K1094" s="20" t="s">
        <v>25</v>
      </c>
      <c r="L1094" s="27" t="s">
        <v>26</v>
      </c>
      <c r="M1094" s="27" t="s">
        <v>26</v>
      </c>
      <c r="N1094" s="21">
        <v>40.176061100911802</v>
      </c>
      <c r="O1094" s="10">
        <v>-79.623628485332404</v>
      </c>
      <c r="P1094" s="22">
        <v>360</v>
      </c>
      <c r="Q1094" s="23">
        <v>44238</v>
      </c>
      <c r="R1094" s="22" t="s">
        <v>1530</v>
      </c>
      <c r="S1094" s="22" t="s">
        <v>34</v>
      </c>
      <c r="T1094" s="24">
        <f t="shared" si="35"/>
        <v>385.92</v>
      </c>
    </row>
    <row r="1095" spans="1:20" x14ac:dyDescent="0.25">
      <c r="A1095" s="8">
        <v>1064</v>
      </c>
      <c r="B1095" s="8" t="s">
        <v>2312</v>
      </c>
      <c r="C1095" s="8">
        <v>12</v>
      </c>
      <c r="D1095" s="8" t="s">
        <v>1481</v>
      </c>
      <c r="E1095" s="8" t="s">
        <v>2590</v>
      </c>
      <c r="F1095" s="18" t="s">
        <v>2591</v>
      </c>
      <c r="G1095" s="18" t="s">
        <v>2377</v>
      </c>
      <c r="H1095" s="19">
        <v>50</v>
      </c>
      <c r="I1095" s="19">
        <v>0</v>
      </c>
      <c r="J1095" s="20" t="s">
        <v>2592</v>
      </c>
      <c r="K1095" s="20" t="s">
        <v>25</v>
      </c>
      <c r="L1095" s="20" t="s">
        <v>26</v>
      </c>
      <c r="M1095" s="20" t="s">
        <v>26</v>
      </c>
      <c r="N1095" s="21">
        <v>40.568348118326803</v>
      </c>
      <c r="O1095" s="10">
        <v>-79.752391556362099</v>
      </c>
      <c r="P1095" s="22">
        <v>646</v>
      </c>
      <c r="Q1095" s="23">
        <v>44249</v>
      </c>
      <c r="R1095" s="22" t="s">
        <v>1530</v>
      </c>
      <c r="S1095" s="22" t="s">
        <v>38</v>
      </c>
      <c r="T1095" s="24">
        <f t="shared" si="35"/>
        <v>692.51200000000006</v>
      </c>
    </row>
    <row r="1096" spans="1:20" x14ac:dyDescent="0.25">
      <c r="A1096" s="8">
        <v>1065</v>
      </c>
      <c r="B1096" s="8" t="s">
        <v>2312</v>
      </c>
      <c r="C1096" s="8">
        <v>12</v>
      </c>
      <c r="D1096" s="8" t="s">
        <v>1481</v>
      </c>
      <c r="E1096" s="8" t="s">
        <v>1126</v>
      </c>
      <c r="F1096" s="18" t="s">
        <v>2593</v>
      </c>
      <c r="G1096" s="18" t="s">
        <v>1225</v>
      </c>
      <c r="H1096" s="18">
        <v>162</v>
      </c>
      <c r="I1096" s="18">
        <v>1750</v>
      </c>
      <c r="J1096" s="20" t="s">
        <v>2594</v>
      </c>
      <c r="K1096" s="20" t="s">
        <v>25</v>
      </c>
      <c r="L1096" s="27" t="s">
        <v>26</v>
      </c>
      <c r="M1096" s="27" t="s">
        <v>26</v>
      </c>
      <c r="N1096" s="21">
        <v>40.637841534787597</v>
      </c>
      <c r="O1096" s="10">
        <v>-79.655183898497498</v>
      </c>
      <c r="P1096" s="22">
        <v>85</v>
      </c>
      <c r="Q1096" s="23">
        <v>44249</v>
      </c>
      <c r="R1096" s="22" t="s">
        <v>1530</v>
      </c>
      <c r="S1096" s="22" t="s">
        <v>517</v>
      </c>
      <c r="T1096" s="24">
        <f t="shared" si="35"/>
        <v>91.12</v>
      </c>
    </row>
    <row r="1097" spans="1:20" x14ac:dyDescent="0.25">
      <c r="A1097" s="8">
        <v>1066</v>
      </c>
      <c r="B1097" s="8" t="s">
        <v>2312</v>
      </c>
      <c r="C1097" s="8">
        <v>12</v>
      </c>
      <c r="D1097" s="8" t="s">
        <v>1481</v>
      </c>
      <c r="E1097" s="8" t="s">
        <v>2595</v>
      </c>
      <c r="F1097" s="18" t="s">
        <v>233</v>
      </c>
      <c r="G1097" s="18" t="s">
        <v>2596</v>
      </c>
      <c r="H1097" s="18">
        <v>246</v>
      </c>
      <c r="I1097" s="18">
        <v>355</v>
      </c>
      <c r="J1097" s="20" t="s">
        <v>596</v>
      </c>
      <c r="K1097" s="20" t="s">
        <v>25</v>
      </c>
      <c r="L1097" s="27" t="s">
        <v>26</v>
      </c>
      <c r="M1097" s="27" t="s">
        <v>26</v>
      </c>
      <c r="N1097" s="21">
        <v>40.244043019341603</v>
      </c>
      <c r="O1097" s="10">
        <v>-79.236807539565902</v>
      </c>
      <c r="P1097" s="22">
        <v>1482</v>
      </c>
      <c r="Q1097" s="23">
        <v>44270</v>
      </c>
      <c r="R1097" s="22" t="s">
        <v>1530</v>
      </c>
      <c r="S1097" s="22" t="s">
        <v>517</v>
      </c>
      <c r="T1097" s="24">
        <f t="shared" si="35"/>
        <v>1588.7040000000002</v>
      </c>
    </row>
    <row r="1098" spans="1:20" x14ac:dyDescent="0.25">
      <c r="A1098" s="8">
        <v>1067</v>
      </c>
      <c r="B1098" s="8" t="s">
        <v>2312</v>
      </c>
      <c r="C1098" s="8">
        <v>12</v>
      </c>
      <c r="D1098" s="8" t="s">
        <v>1481</v>
      </c>
      <c r="E1098" s="8" t="s">
        <v>2587</v>
      </c>
      <c r="F1098" s="18" t="s">
        <v>2597</v>
      </c>
      <c r="G1098" s="18" t="s">
        <v>2598</v>
      </c>
      <c r="H1098" s="18">
        <v>70</v>
      </c>
      <c r="I1098" s="18">
        <v>2410</v>
      </c>
      <c r="J1098" s="20" t="s">
        <v>2599</v>
      </c>
      <c r="K1098" s="20" t="s">
        <v>25</v>
      </c>
      <c r="L1098" s="27" t="s">
        <v>26</v>
      </c>
      <c r="M1098" s="27" t="s">
        <v>26</v>
      </c>
      <c r="N1098" s="21">
        <v>40.120238251980403</v>
      </c>
      <c r="O1098" s="10">
        <v>-79.561401134901104</v>
      </c>
      <c r="P1098" s="22">
        <v>728</v>
      </c>
      <c r="Q1098" s="23">
        <v>44238</v>
      </c>
      <c r="R1098" s="22" t="s">
        <v>1530</v>
      </c>
      <c r="S1098" s="22" t="s">
        <v>34</v>
      </c>
      <c r="T1098" s="24">
        <f t="shared" si="35"/>
        <v>780.41600000000005</v>
      </c>
    </row>
    <row r="1099" spans="1:20" x14ac:dyDescent="0.25">
      <c r="A1099" s="8">
        <v>1068</v>
      </c>
      <c r="B1099" s="8" t="s">
        <v>2312</v>
      </c>
      <c r="C1099" s="8">
        <v>12</v>
      </c>
      <c r="D1099" s="8" t="s">
        <v>1481</v>
      </c>
      <c r="E1099" s="8" t="s">
        <v>2600</v>
      </c>
      <c r="F1099" s="18" t="s">
        <v>2601</v>
      </c>
      <c r="G1099" s="18" t="s">
        <v>2602</v>
      </c>
      <c r="H1099" s="18">
        <v>830</v>
      </c>
      <c r="I1099" s="18">
        <v>925</v>
      </c>
      <c r="J1099" s="20" t="s">
        <v>77</v>
      </c>
      <c r="K1099" s="20" t="s">
        <v>25</v>
      </c>
      <c r="L1099" s="27" t="s">
        <v>26</v>
      </c>
      <c r="M1099" s="27" t="s">
        <v>26</v>
      </c>
      <c r="N1099" s="21">
        <v>40.397343410646002</v>
      </c>
      <c r="O1099" s="10">
        <v>-79.421225181954</v>
      </c>
      <c r="P1099" s="22">
        <v>658</v>
      </c>
      <c r="Q1099" s="23">
        <v>44270</v>
      </c>
      <c r="R1099" s="22" t="s">
        <v>1530</v>
      </c>
      <c r="S1099" s="22" t="s">
        <v>517</v>
      </c>
      <c r="T1099" s="24">
        <f t="shared" si="35"/>
        <v>705.37600000000009</v>
      </c>
    </row>
    <row r="1100" spans="1:20" x14ac:dyDescent="0.25">
      <c r="A1100" s="8">
        <v>1069</v>
      </c>
      <c r="B1100" s="8" t="s">
        <v>2312</v>
      </c>
      <c r="C1100" s="8">
        <v>12</v>
      </c>
      <c r="D1100" s="8" t="s">
        <v>1481</v>
      </c>
      <c r="E1100" s="8" t="s">
        <v>2581</v>
      </c>
      <c r="F1100" s="18" t="s">
        <v>2603</v>
      </c>
      <c r="G1100" s="18" t="s">
        <v>2604</v>
      </c>
      <c r="H1100" s="18">
        <v>100</v>
      </c>
      <c r="I1100" s="18">
        <v>1560</v>
      </c>
      <c r="J1100" s="20" t="s">
        <v>2605</v>
      </c>
      <c r="K1100" s="20" t="s">
        <v>25</v>
      </c>
      <c r="L1100" s="27" t="s">
        <v>26</v>
      </c>
      <c r="M1100" s="27" t="s">
        <v>26</v>
      </c>
      <c r="N1100" s="21">
        <v>40.321675920424603</v>
      </c>
      <c r="O1100" s="10">
        <v>-79.424792590969702</v>
      </c>
      <c r="P1100" s="22">
        <v>752</v>
      </c>
      <c r="Q1100" s="23">
        <v>44272</v>
      </c>
      <c r="R1100" s="22" t="s">
        <v>1530</v>
      </c>
      <c r="S1100" s="22" t="s">
        <v>28</v>
      </c>
      <c r="T1100" s="24">
        <f t="shared" si="35"/>
        <v>806.14400000000001</v>
      </c>
    </row>
    <row r="1101" spans="1:20" x14ac:dyDescent="0.25">
      <c r="A1101" s="8">
        <v>1070</v>
      </c>
      <c r="B1101" s="8" t="s">
        <v>2312</v>
      </c>
      <c r="C1101" s="8">
        <v>12</v>
      </c>
      <c r="D1101" s="8" t="s">
        <v>1481</v>
      </c>
      <c r="E1101" s="8" t="s">
        <v>2577</v>
      </c>
      <c r="F1101" s="18" t="s">
        <v>1023</v>
      </c>
      <c r="G1101" s="18" t="s">
        <v>310</v>
      </c>
      <c r="H1101" s="19">
        <v>50</v>
      </c>
      <c r="I1101" s="19">
        <v>0</v>
      </c>
      <c r="J1101" s="20" t="s">
        <v>2606</v>
      </c>
      <c r="K1101" s="20" t="s">
        <v>25</v>
      </c>
      <c r="L1101" s="20" t="s">
        <v>26</v>
      </c>
      <c r="M1101" s="20" t="s">
        <v>26</v>
      </c>
      <c r="N1101" s="21">
        <v>40.3283218947847</v>
      </c>
      <c r="O1101" s="10">
        <v>-79.745525420031896</v>
      </c>
      <c r="P1101" s="22">
        <v>5733</v>
      </c>
      <c r="Q1101" s="23">
        <v>44272</v>
      </c>
      <c r="R1101" s="22" t="s">
        <v>1530</v>
      </c>
      <c r="S1101" s="22" t="s">
        <v>28</v>
      </c>
      <c r="T1101" s="24">
        <f t="shared" si="35"/>
        <v>6145.7760000000007</v>
      </c>
    </row>
  </sheetData>
  <autoFilter ref="A2:T1101" xr:uid="{6172184F-7279-4E64-A6BD-792F216C12BB}"/>
  <mergeCells count="2">
    <mergeCell ref="F1:I1"/>
    <mergeCell ref="J1:M1"/>
  </mergeCells>
  <conditionalFormatting sqref="L236:M241 L244:M246 H348:I359 L348:M348 L406:M406 L421:M422 L481:M482 L507:M592 H406:I593 L23:M39 L54:M158 H3:I306 L679:M687 H664:I710 H786:I953 L789:M794 H955:I1101 L1060:M1101">
    <cfRule type="cellIs" dxfId="349" priority="350" operator="between">
      <formula>0</formula>
      <formula>9999</formula>
    </cfRule>
  </conditionalFormatting>
  <conditionalFormatting sqref="L419:M420 L424:M424 L426:M433 L435:M437 L439:M439 L441:M441 L443:M444 L446:M450 L453:M454 L457:M457 L460:M461 L463:M463 L466:M468 L473:M476 L484:M486 L488:M489 L491:M491 L494:M495 L497:M499 L501:M503 L505:M505">
    <cfRule type="cellIs" dxfId="348" priority="349" operator="between">
      <formula>0</formula>
      <formula>9999</formula>
    </cfRule>
  </conditionalFormatting>
  <conditionalFormatting sqref="L423:M423">
    <cfRule type="cellIs" dxfId="347" priority="348" operator="between">
      <formula>0</formula>
      <formula>9999</formula>
    </cfRule>
  </conditionalFormatting>
  <conditionalFormatting sqref="L423:M423">
    <cfRule type="cellIs" dxfId="346" priority="347" operator="between">
      <formula>0</formula>
      <formula>9999</formula>
    </cfRule>
  </conditionalFormatting>
  <conditionalFormatting sqref="L425:M425">
    <cfRule type="cellIs" dxfId="345" priority="346" operator="between">
      <formula>0</formula>
      <formula>9999</formula>
    </cfRule>
  </conditionalFormatting>
  <conditionalFormatting sqref="L425:M425">
    <cfRule type="cellIs" dxfId="344" priority="345" operator="between">
      <formula>0</formula>
      <formula>9999</formula>
    </cfRule>
  </conditionalFormatting>
  <conditionalFormatting sqref="L434:M434">
    <cfRule type="cellIs" dxfId="343" priority="344" operator="between">
      <formula>0</formula>
      <formula>9999</formula>
    </cfRule>
  </conditionalFormatting>
  <conditionalFormatting sqref="L434:M434">
    <cfRule type="cellIs" dxfId="342" priority="343" operator="between">
      <formula>0</formula>
      <formula>9999</formula>
    </cfRule>
  </conditionalFormatting>
  <conditionalFormatting sqref="L438:M438">
    <cfRule type="cellIs" dxfId="341" priority="342" operator="between">
      <formula>0</formula>
      <formula>9999</formula>
    </cfRule>
  </conditionalFormatting>
  <conditionalFormatting sqref="L438:M438">
    <cfRule type="cellIs" dxfId="340" priority="341" operator="between">
      <formula>0</formula>
      <formula>9999</formula>
    </cfRule>
  </conditionalFormatting>
  <conditionalFormatting sqref="L440:M440">
    <cfRule type="cellIs" dxfId="339" priority="340" operator="between">
      <formula>0</formula>
      <formula>9999</formula>
    </cfRule>
  </conditionalFormatting>
  <conditionalFormatting sqref="L440:M440">
    <cfRule type="cellIs" dxfId="338" priority="339" operator="between">
      <formula>0</formula>
      <formula>9999</formula>
    </cfRule>
  </conditionalFormatting>
  <conditionalFormatting sqref="L442:M442">
    <cfRule type="cellIs" dxfId="337" priority="338" operator="between">
      <formula>0</formula>
      <formula>9999</formula>
    </cfRule>
  </conditionalFormatting>
  <conditionalFormatting sqref="L442:M442">
    <cfRule type="cellIs" dxfId="336" priority="337" operator="between">
      <formula>0</formula>
      <formula>9999</formula>
    </cfRule>
  </conditionalFormatting>
  <conditionalFormatting sqref="L445:M445">
    <cfRule type="cellIs" dxfId="335" priority="336" operator="between">
      <formula>0</formula>
      <formula>9999</formula>
    </cfRule>
  </conditionalFormatting>
  <conditionalFormatting sqref="L445:M445">
    <cfRule type="cellIs" dxfId="334" priority="335" operator="between">
      <formula>0</formula>
      <formula>9999</formula>
    </cfRule>
  </conditionalFormatting>
  <conditionalFormatting sqref="L451:M451">
    <cfRule type="cellIs" dxfId="333" priority="334" operator="between">
      <formula>0</formula>
      <formula>9999</formula>
    </cfRule>
  </conditionalFormatting>
  <conditionalFormatting sqref="L451:M451">
    <cfRule type="cellIs" dxfId="332" priority="333" operator="between">
      <formula>0</formula>
      <formula>9999</formula>
    </cfRule>
  </conditionalFormatting>
  <conditionalFormatting sqref="L452:M452">
    <cfRule type="cellIs" dxfId="331" priority="332" operator="between">
      <formula>0</formula>
      <formula>9999</formula>
    </cfRule>
  </conditionalFormatting>
  <conditionalFormatting sqref="L452:M452">
    <cfRule type="cellIs" dxfId="330" priority="331" operator="between">
      <formula>0</formula>
      <formula>9999</formula>
    </cfRule>
  </conditionalFormatting>
  <conditionalFormatting sqref="L455:M455">
    <cfRule type="cellIs" dxfId="329" priority="330" operator="between">
      <formula>0</formula>
      <formula>9999</formula>
    </cfRule>
  </conditionalFormatting>
  <conditionalFormatting sqref="L455:M455">
    <cfRule type="cellIs" dxfId="328" priority="329" operator="between">
      <formula>0</formula>
      <formula>9999</formula>
    </cfRule>
  </conditionalFormatting>
  <conditionalFormatting sqref="L456:M456">
    <cfRule type="cellIs" dxfId="327" priority="328" operator="between">
      <formula>0</formula>
      <formula>9999</formula>
    </cfRule>
  </conditionalFormatting>
  <conditionalFormatting sqref="L456:M456">
    <cfRule type="cellIs" dxfId="326" priority="327" operator="between">
      <formula>0</formula>
      <formula>9999</formula>
    </cfRule>
  </conditionalFormatting>
  <conditionalFormatting sqref="L458:M458">
    <cfRule type="cellIs" dxfId="325" priority="326" operator="between">
      <formula>0</formula>
      <formula>9999</formula>
    </cfRule>
  </conditionalFormatting>
  <conditionalFormatting sqref="L459:M459">
    <cfRule type="cellIs" dxfId="324" priority="325" operator="between">
      <formula>0</formula>
      <formula>9999</formula>
    </cfRule>
  </conditionalFormatting>
  <conditionalFormatting sqref="L459:M459">
    <cfRule type="cellIs" dxfId="323" priority="324" operator="between">
      <formula>0</formula>
      <formula>9999</formula>
    </cfRule>
  </conditionalFormatting>
  <conditionalFormatting sqref="L462:M462">
    <cfRule type="cellIs" dxfId="322" priority="323" operator="between">
      <formula>0</formula>
      <formula>9999</formula>
    </cfRule>
  </conditionalFormatting>
  <conditionalFormatting sqref="L462:M462">
    <cfRule type="cellIs" dxfId="321" priority="322" operator="between">
      <formula>0</formula>
      <formula>9999</formula>
    </cfRule>
  </conditionalFormatting>
  <conditionalFormatting sqref="L464:M464">
    <cfRule type="cellIs" dxfId="320" priority="321" operator="between">
      <formula>0</formula>
      <formula>9999</formula>
    </cfRule>
  </conditionalFormatting>
  <conditionalFormatting sqref="L464:M464">
    <cfRule type="cellIs" dxfId="319" priority="320" operator="between">
      <formula>0</formula>
      <formula>9999</formula>
    </cfRule>
  </conditionalFormatting>
  <conditionalFormatting sqref="L465:M465">
    <cfRule type="cellIs" dxfId="318" priority="319" operator="between">
      <formula>0</formula>
      <formula>9999</formula>
    </cfRule>
  </conditionalFormatting>
  <conditionalFormatting sqref="L465:M465">
    <cfRule type="cellIs" dxfId="317" priority="318" operator="between">
      <formula>0</formula>
      <formula>9999</formula>
    </cfRule>
  </conditionalFormatting>
  <conditionalFormatting sqref="L469:M469">
    <cfRule type="cellIs" dxfId="316" priority="317" operator="between">
      <formula>0</formula>
      <formula>9999</formula>
    </cfRule>
  </conditionalFormatting>
  <conditionalFormatting sqref="L469:M469">
    <cfRule type="cellIs" dxfId="315" priority="316" operator="between">
      <formula>0</formula>
      <formula>9999</formula>
    </cfRule>
  </conditionalFormatting>
  <conditionalFormatting sqref="L470:M470">
    <cfRule type="cellIs" dxfId="314" priority="315" operator="between">
      <formula>0</formula>
      <formula>9999</formula>
    </cfRule>
  </conditionalFormatting>
  <conditionalFormatting sqref="L470:M470">
    <cfRule type="cellIs" dxfId="313" priority="314" operator="between">
      <formula>0</formula>
      <formula>9999</formula>
    </cfRule>
  </conditionalFormatting>
  <conditionalFormatting sqref="L471:M471">
    <cfRule type="cellIs" dxfId="312" priority="313" operator="between">
      <formula>0</formula>
      <formula>9999</formula>
    </cfRule>
  </conditionalFormatting>
  <conditionalFormatting sqref="L471:M471">
    <cfRule type="cellIs" dxfId="311" priority="312" operator="between">
      <formula>0</formula>
      <formula>9999</formula>
    </cfRule>
  </conditionalFormatting>
  <conditionalFormatting sqref="L472:M472">
    <cfRule type="cellIs" dxfId="310" priority="311" operator="between">
      <formula>0</formula>
      <formula>9999</formula>
    </cfRule>
  </conditionalFormatting>
  <conditionalFormatting sqref="L472:M472">
    <cfRule type="cellIs" dxfId="309" priority="310" operator="between">
      <formula>0</formula>
      <formula>9999</formula>
    </cfRule>
  </conditionalFormatting>
  <conditionalFormatting sqref="L477:M477">
    <cfRule type="cellIs" dxfId="308" priority="309" operator="between">
      <formula>0</formula>
      <formula>9999</formula>
    </cfRule>
  </conditionalFormatting>
  <conditionalFormatting sqref="L477:M477">
    <cfRule type="cellIs" dxfId="307" priority="308" operator="between">
      <formula>0</formula>
      <formula>9999</formula>
    </cfRule>
  </conditionalFormatting>
  <conditionalFormatting sqref="L478:M478">
    <cfRule type="cellIs" dxfId="306" priority="307" operator="between">
      <formula>0</formula>
      <formula>9999</formula>
    </cfRule>
  </conditionalFormatting>
  <conditionalFormatting sqref="L478:M478">
    <cfRule type="cellIs" dxfId="305" priority="306" operator="between">
      <formula>0</formula>
      <formula>9999</formula>
    </cfRule>
  </conditionalFormatting>
  <conditionalFormatting sqref="L479:M479">
    <cfRule type="cellIs" dxfId="304" priority="305" operator="between">
      <formula>0</formula>
      <formula>9999</formula>
    </cfRule>
  </conditionalFormatting>
  <conditionalFormatting sqref="L479:M479">
    <cfRule type="cellIs" dxfId="303" priority="304" operator="between">
      <formula>0</formula>
      <formula>9999</formula>
    </cfRule>
  </conditionalFormatting>
  <conditionalFormatting sqref="L480:M480">
    <cfRule type="cellIs" dxfId="302" priority="303" operator="between">
      <formula>0</formula>
      <formula>9999</formula>
    </cfRule>
  </conditionalFormatting>
  <conditionalFormatting sqref="L480:M480">
    <cfRule type="cellIs" dxfId="301" priority="302" operator="between">
      <formula>0</formula>
      <formula>9999</formula>
    </cfRule>
  </conditionalFormatting>
  <conditionalFormatting sqref="L483:M483">
    <cfRule type="cellIs" dxfId="300" priority="301" operator="between">
      <formula>0</formula>
      <formula>9999</formula>
    </cfRule>
  </conditionalFormatting>
  <conditionalFormatting sqref="L487:M487">
    <cfRule type="cellIs" dxfId="299" priority="300" operator="between">
      <formula>0</formula>
      <formula>9999</formula>
    </cfRule>
  </conditionalFormatting>
  <conditionalFormatting sqref="L490:M490">
    <cfRule type="cellIs" dxfId="298" priority="299" operator="between">
      <formula>0</formula>
      <formula>9999</formula>
    </cfRule>
  </conditionalFormatting>
  <conditionalFormatting sqref="L492:M492">
    <cfRule type="cellIs" dxfId="297" priority="298" operator="between">
      <formula>0</formula>
      <formula>9999</formula>
    </cfRule>
  </conditionalFormatting>
  <conditionalFormatting sqref="L493:M493">
    <cfRule type="cellIs" dxfId="296" priority="297" operator="between">
      <formula>0</formula>
      <formula>9999</formula>
    </cfRule>
  </conditionalFormatting>
  <conditionalFormatting sqref="L496:M496">
    <cfRule type="cellIs" dxfId="295" priority="296" operator="between">
      <formula>0</formula>
      <formula>9999</formula>
    </cfRule>
  </conditionalFormatting>
  <conditionalFormatting sqref="L500:M500">
    <cfRule type="cellIs" dxfId="294" priority="295" operator="between">
      <formula>0</formula>
      <formula>9999</formula>
    </cfRule>
  </conditionalFormatting>
  <conditionalFormatting sqref="L504:M504">
    <cfRule type="cellIs" dxfId="293" priority="294" operator="between">
      <formula>0</formula>
      <formula>9999</formula>
    </cfRule>
  </conditionalFormatting>
  <conditionalFormatting sqref="L506:M506">
    <cfRule type="cellIs" dxfId="292" priority="293" operator="between">
      <formula>0</formula>
      <formula>9999</formula>
    </cfRule>
  </conditionalFormatting>
  <conditionalFormatting sqref="L3:M21 L48:M52 L41:M46 L336:M340 L342:M344 L346:M346 L168:M168 L170:M171 L173:M174 M243 L248:M249 L179:M194 L258:M258 L196:M198 L260:M260 L200:M209 L263:M263 L265:M268 L270:M270 L272:M274 L278:M278 H309:I347 L309:M313 L316:M318 L320:M321 L327:M334 L212:M212 L215:M215 L217:M217 L220:M220 L225:M225 L228:M228 L233:M233 L235:M235 L160:M166 L287:M306">
    <cfRule type="cellIs" dxfId="291" priority="292" operator="between">
      <formula>0</formula>
      <formula>9999</formula>
    </cfRule>
  </conditionalFormatting>
  <conditionalFormatting sqref="L354:M356 L368:M369 L373:M373 L376:M378 L380:M380 L382:M384 L359:M359 H361:I365 L361:M364 H367:I369 H371:I373 H375:I388 H391:I405 L395:M395 L388:M392 L401:M405 L412:M414 L408:M410">
    <cfRule type="cellIs" dxfId="290" priority="291" operator="between">
      <formula>0</formula>
      <formula>9999</formula>
    </cfRule>
  </conditionalFormatting>
  <conditionalFormatting sqref="L351:M351">
    <cfRule type="cellIs" dxfId="289" priority="290" operator="between">
      <formula>0</formula>
      <formula>9999</formula>
    </cfRule>
  </conditionalFormatting>
  <conditionalFormatting sqref="L352:M352">
    <cfRule type="cellIs" dxfId="288" priority="289" operator="between">
      <formula>0</formula>
      <formula>9999</formula>
    </cfRule>
  </conditionalFormatting>
  <conditionalFormatting sqref="L349:M349">
    <cfRule type="cellIs" dxfId="287" priority="288" operator="between">
      <formula>0</formula>
      <formula>9999</formula>
    </cfRule>
  </conditionalFormatting>
  <conditionalFormatting sqref="L350:M350">
    <cfRule type="cellIs" dxfId="286" priority="287" operator="between">
      <formula>0</formula>
      <formula>9999</formula>
    </cfRule>
  </conditionalFormatting>
  <conditionalFormatting sqref="L353:M353">
    <cfRule type="cellIs" dxfId="285" priority="286" operator="between">
      <formula>0</formula>
      <formula>9999</formula>
    </cfRule>
  </conditionalFormatting>
  <conditionalFormatting sqref="L22:M22">
    <cfRule type="cellIs" dxfId="284" priority="285" operator="between">
      <formula>0</formula>
      <formula>9999</formula>
    </cfRule>
  </conditionalFormatting>
  <conditionalFormatting sqref="L40:M40">
    <cfRule type="cellIs" dxfId="283" priority="284" operator="between">
      <formula>0</formula>
      <formula>9999</formula>
    </cfRule>
  </conditionalFormatting>
  <conditionalFormatting sqref="L47:M47">
    <cfRule type="cellIs" dxfId="282" priority="283" operator="between">
      <formula>0</formula>
      <formula>9999</formula>
    </cfRule>
  </conditionalFormatting>
  <conditionalFormatting sqref="L53:M53">
    <cfRule type="cellIs" dxfId="281" priority="282" operator="between">
      <formula>0</formula>
      <formula>9999</formula>
    </cfRule>
  </conditionalFormatting>
  <conditionalFormatting sqref="L335:M335">
    <cfRule type="cellIs" dxfId="280" priority="281" operator="between">
      <formula>0</formula>
      <formula>9999</formula>
    </cfRule>
  </conditionalFormatting>
  <conditionalFormatting sqref="L341:M341">
    <cfRule type="cellIs" dxfId="279" priority="280" operator="between">
      <formula>0</formula>
      <formula>9999</formula>
    </cfRule>
  </conditionalFormatting>
  <conditionalFormatting sqref="L345:M345">
    <cfRule type="cellIs" dxfId="278" priority="279" operator="between">
      <formula>0</formula>
      <formula>9999</formula>
    </cfRule>
  </conditionalFormatting>
  <conditionalFormatting sqref="L347:M347">
    <cfRule type="cellIs" dxfId="277" priority="278" operator="between">
      <formula>0</formula>
      <formula>9999</formula>
    </cfRule>
  </conditionalFormatting>
  <conditionalFormatting sqref="L357:M357">
    <cfRule type="cellIs" dxfId="276" priority="277" operator="between">
      <formula>0</formula>
      <formula>9999</formula>
    </cfRule>
  </conditionalFormatting>
  <conditionalFormatting sqref="L358:M358">
    <cfRule type="cellIs" dxfId="275" priority="276" operator="between">
      <formula>0</formula>
      <formula>9999</formula>
    </cfRule>
  </conditionalFormatting>
  <conditionalFormatting sqref="L365:M365">
    <cfRule type="cellIs" dxfId="274" priority="275" operator="between">
      <formula>0</formula>
      <formula>9999</formula>
    </cfRule>
  </conditionalFormatting>
  <conditionalFormatting sqref="L367:M367">
    <cfRule type="cellIs" dxfId="273" priority="274" operator="between">
      <formula>0</formula>
      <formula>9999</formula>
    </cfRule>
  </conditionalFormatting>
  <conditionalFormatting sqref="L371:M372">
    <cfRule type="cellIs" dxfId="272" priority="273" operator="between">
      <formula>0</formula>
      <formula>9999</formula>
    </cfRule>
  </conditionalFormatting>
  <conditionalFormatting sqref="L375:M375">
    <cfRule type="cellIs" dxfId="271" priority="272" operator="between">
      <formula>0</formula>
      <formula>9999</formula>
    </cfRule>
  </conditionalFormatting>
  <conditionalFormatting sqref="L379:M379">
    <cfRule type="cellIs" dxfId="270" priority="271" operator="between">
      <formula>0</formula>
      <formula>9999</formula>
    </cfRule>
  </conditionalFormatting>
  <conditionalFormatting sqref="L381:M381">
    <cfRule type="cellIs" dxfId="269" priority="270" operator="between">
      <formula>0</formula>
      <formula>9999</formula>
    </cfRule>
  </conditionalFormatting>
  <conditionalFormatting sqref="L385:M387">
    <cfRule type="cellIs" dxfId="268" priority="269" operator="between">
      <formula>0</formula>
      <formula>9999</formula>
    </cfRule>
  </conditionalFormatting>
  <conditionalFormatting sqref="H360:I360">
    <cfRule type="cellIs" dxfId="267" priority="268" operator="between">
      <formula>0</formula>
      <formula>9999</formula>
    </cfRule>
  </conditionalFormatting>
  <conditionalFormatting sqref="L360:M360">
    <cfRule type="cellIs" dxfId="266" priority="267" operator="between">
      <formula>0</formula>
      <formula>9999</formula>
    </cfRule>
  </conditionalFormatting>
  <conditionalFormatting sqref="H366:I366">
    <cfRule type="cellIs" dxfId="265" priority="266" operator="between">
      <formula>0</formula>
      <formula>9999</formula>
    </cfRule>
  </conditionalFormatting>
  <conditionalFormatting sqref="L366:M366">
    <cfRule type="cellIs" dxfId="264" priority="265" operator="between">
      <formula>0</formula>
      <formula>9999</formula>
    </cfRule>
  </conditionalFormatting>
  <conditionalFormatting sqref="L370:M370">
    <cfRule type="cellIs" dxfId="263" priority="264" operator="between">
      <formula>0</formula>
      <formula>9999</formula>
    </cfRule>
  </conditionalFormatting>
  <conditionalFormatting sqref="H370:I370">
    <cfRule type="cellIs" dxfId="262" priority="263" operator="between">
      <formula>0</formula>
      <formula>9999</formula>
    </cfRule>
  </conditionalFormatting>
  <conditionalFormatting sqref="H374:I374">
    <cfRule type="cellIs" dxfId="261" priority="262" operator="between">
      <formula>0</formula>
      <formula>9999</formula>
    </cfRule>
  </conditionalFormatting>
  <conditionalFormatting sqref="L374:M374">
    <cfRule type="cellIs" dxfId="260" priority="261" operator="between">
      <formula>0</formula>
      <formula>9999</formula>
    </cfRule>
  </conditionalFormatting>
  <conditionalFormatting sqref="H389:I389">
    <cfRule type="cellIs" dxfId="259" priority="260" operator="between">
      <formula>0</formula>
      <formula>9999</formula>
    </cfRule>
  </conditionalFormatting>
  <conditionalFormatting sqref="L393:M393">
    <cfRule type="cellIs" dxfId="258" priority="259" operator="between">
      <formula>0</formula>
      <formula>9999</formula>
    </cfRule>
  </conditionalFormatting>
  <conditionalFormatting sqref="L394:M394">
    <cfRule type="cellIs" dxfId="257" priority="258" operator="between">
      <formula>0</formula>
      <formula>9999</formula>
    </cfRule>
  </conditionalFormatting>
  <conditionalFormatting sqref="L396:M397">
    <cfRule type="cellIs" dxfId="256" priority="257" operator="between">
      <formula>0</formula>
      <formula>9999</formula>
    </cfRule>
  </conditionalFormatting>
  <conditionalFormatting sqref="L398:M400">
    <cfRule type="cellIs" dxfId="255" priority="256" operator="between">
      <formula>0</formula>
      <formula>9999</formula>
    </cfRule>
  </conditionalFormatting>
  <conditionalFormatting sqref="H390:I390">
    <cfRule type="cellIs" dxfId="254" priority="255" operator="between">
      <formula>0</formula>
      <formula>9999</formula>
    </cfRule>
  </conditionalFormatting>
  <conditionalFormatting sqref="K403">
    <cfRule type="cellIs" dxfId="253" priority="254" operator="between">
      <formula>0</formula>
      <formula>9999</formula>
    </cfRule>
  </conditionalFormatting>
  <conditionalFormatting sqref="L411:M411">
    <cfRule type="cellIs" dxfId="252" priority="253" operator="between">
      <formula>0</formula>
      <formula>9999</formula>
    </cfRule>
  </conditionalFormatting>
  <conditionalFormatting sqref="L407:M407">
    <cfRule type="cellIs" dxfId="251" priority="252" operator="between">
      <formula>0</formula>
      <formula>9999</formula>
    </cfRule>
  </conditionalFormatting>
  <conditionalFormatting sqref="L415:M418">
    <cfRule type="cellIs" dxfId="250" priority="251" operator="between">
      <formula>0</formula>
      <formula>9999</formula>
    </cfRule>
  </conditionalFormatting>
  <conditionalFormatting sqref="L167:M167">
    <cfRule type="cellIs" dxfId="249" priority="250" operator="between">
      <formula>0</formula>
      <formula>9999</formula>
    </cfRule>
  </conditionalFormatting>
  <conditionalFormatting sqref="L169:M169">
    <cfRule type="cellIs" dxfId="248" priority="249" operator="between">
      <formula>0</formula>
      <formula>9999</formula>
    </cfRule>
  </conditionalFormatting>
  <conditionalFormatting sqref="L172:M172">
    <cfRule type="cellIs" dxfId="247" priority="248" operator="between">
      <formula>0</formula>
      <formula>9999</formula>
    </cfRule>
  </conditionalFormatting>
  <conditionalFormatting sqref="L175:M175">
    <cfRule type="cellIs" dxfId="246" priority="247" operator="between">
      <formula>0</formula>
      <formula>9999</formula>
    </cfRule>
  </conditionalFormatting>
  <conditionalFormatting sqref="L176:M176">
    <cfRule type="cellIs" dxfId="245" priority="246" operator="between">
      <formula>0</formula>
      <formula>9999</formula>
    </cfRule>
  </conditionalFormatting>
  <conditionalFormatting sqref="L177:M177">
    <cfRule type="cellIs" dxfId="244" priority="245" operator="between">
      <formula>0</formula>
      <formula>9999</formula>
    </cfRule>
  </conditionalFormatting>
  <conditionalFormatting sqref="L178:M178">
    <cfRule type="cellIs" dxfId="243" priority="244" operator="between">
      <formula>0</formula>
      <formula>9999</formula>
    </cfRule>
  </conditionalFormatting>
  <conditionalFormatting sqref="L247:M247">
    <cfRule type="cellIs" dxfId="242" priority="243" operator="between">
      <formula>0</formula>
      <formula>9999</formula>
    </cfRule>
  </conditionalFormatting>
  <conditionalFormatting sqref="L250:M250">
    <cfRule type="cellIs" dxfId="241" priority="242" operator="between">
      <formula>0</formula>
      <formula>9999</formula>
    </cfRule>
  </conditionalFormatting>
  <conditionalFormatting sqref="L251:M251">
    <cfRule type="cellIs" dxfId="240" priority="241" operator="between">
      <formula>0</formula>
      <formula>9999</formula>
    </cfRule>
  </conditionalFormatting>
  <conditionalFormatting sqref="L252:M252">
    <cfRule type="cellIs" dxfId="239" priority="240" operator="between">
      <formula>0</formula>
      <formula>9999</formula>
    </cfRule>
  </conditionalFormatting>
  <conditionalFormatting sqref="L253:M253">
    <cfRule type="cellIs" dxfId="238" priority="239" operator="between">
      <formula>0</formula>
      <formula>9999</formula>
    </cfRule>
  </conditionalFormatting>
  <conditionalFormatting sqref="L254:M254">
    <cfRule type="cellIs" dxfId="237" priority="238" operator="between">
      <formula>0</formula>
      <formula>9999</formula>
    </cfRule>
  </conditionalFormatting>
  <conditionalFormatting sqref="L195:M195">
    <cfRule type="cellIs" dxfId="236" priority="237" operator="between">
      <formula>0</formula>
      <formula>9999</formula>
    </cfRule>
  </conditionalFormatting>
  <conditionalFormatting sqref="L255:M255">
    <cfRule type="cellIs" dxfId="235" priority="236" operator="between">
      <formula>0</formula>
      <formula>9999</formula>
    </cfRule>
  </conditionalFormatting>
  <conditionalFormatting sqref="L256:M256">
    <cfRule type="cellIs" dxfId="234" priority="235" operator="between">
      <formula>0</formula>
      <formula>9999</formula>
    </cfRule>
  </conditionalFormatting>
  <conditionalFormatting sqref="L257:M257">
    <cfRule type="cellIs" dxfId="233" priority="234" operator="between">
      <formula>0</formula>
      <formula>9999</formula>
    </cfRule>
  </conditionalFormatting>
  <conditionalFormatting sqref="L259:M259">
    <cfRule type="cellIs" dxfId="232" priority="233" operator="between">
      <formula>0</formula>
      <formula>9999</formula>
    </cfRule>
  </conditionalFormatting>
  <conditionalFormatting sqref="L199:M199">
    <cfRule type="cellIs" dxfId="231" priority="232" operator="between">
      <formula>0</formula>
      <formula>9999</formula>
    </cfRule>
  </conditionalFormatting>
  <conditionalFormatting sqref="L261:M261">
    <cfRule type="cellIs" dxfId="230" priority="231" operator="between">
      <formula>0</formula>
      <formula>9999</formula>
    </cfRule>
  </conditionalFormatting>
  <conditionalFormatting sqref="L262:M262">
    <cfRule type="cellIs" dxfId="229" priority="230" operator="between">
      <formula>0</formula>
      <formula>9999</formula>
    </cfRule>
  </conditionalFormatting>
  <conditionalFormatting sqref="M242">
    <cfRule type="cellIs" dxfId="228" priority="229" operator="between">
      <formula>0</formula>
      <formula>9999</formula>
    </cfRule>
  </conditionalFormatting>
  <conditionalFormatting sqref="L264:M264">
    <cfRule type="cellIs" dxfId="227" priority="228" operator="between">
      <formula>0</formula>
      <formula>9999</formula>
    </cfRule>
  </conditionalFormatting>
  <conditionalFormatting sqref="L269:M269">
    <cfRule type="cellIs" dxfId="226" priority="227" operator="between">
      <formula>0</formula>
      <formula>9999</formula>
    </cfRule>
  </conditionalFormatting>
  <conditionalFormatting sqref="L271:M271">
    <cfRule type="cellIs" dxfId="225" priority="226" operator="between">
      <formula>0</formula>
      <formula>9999</formula>
    </cfRule>
  </conditionalFormatting>
  <conditionalFormatting sqref="L275:M275">
    <cfRule type="cellIs" dxfId="224" priority="225" operator="between">
      <formula>0</formula>
      <formula>9999</formula>
    </cfRule>
  </conditionalFormatting>
  <conditionalFormatting sqref="L276:M276">
    <cfRule type="cellIs" dxfId="223" priority="224" operator="between">
      <formula>0</formula>
      <formula>9999</formula>
    </cfRule>
  </conditionalFormatting>
  <conditionalFormatting sqref="L277:M277">
    <cfRule type="cellIs" dxfId="222" priority="223" operator="between">
      <formula>0</formula>
      <formula>9999</formula>
    </cfRule>
  </conditionalFormatting>
  <conditionalFormatting sqref="L279:M279">
    <cfRule type="cellIs" dxfId="221" priority="222" operator="between">
      <formula>0</formula>
      <formula>9999</formula>
    </cfRule>
  </conditionalFormatting>
  <conditionalFormatting sqref="L280:M280">
    <cfRule type="cellIs" dxfId="220" priority="221" operator="between">
      <formula>0</formula>
      <formula>9999</formula>
    </cfRule>
  </conditionalFormatting>
  <conditionalFormatting sqref="L281:M281">
    <cfRule type="cellIs" dxfId="219" priority="220" operator="between">
      <formula>0</formula>
      <formula>9999</formula>
    </cfRule>
  </conditionalFormatting>
  <conditionalFormatting sqref="L282:M282">
    <cfRule type="cellIs" dxfId="218" priority="219" operator="between">
      <formula>0</formula>
      <formula>9999</formula>
    </cfRule>
  </conditionalFormatting>
  <conditionalFormatting sqref="L283:M283">
    <cfRule type="cellIs" dxfId="217" priority="218" operator="between">
      <formula>0</formula>
      <formula>9999</formula>
    </cfRule>
  </conditionalFormatting>
  <conditionalFormatting sqref="L284:M284">
    <cfRule type="cellIs" dxfId="216" priority="217" operator="between">
      <formula>0</formula>
      <formula>9999</formula>
    </cfRule>
  </conditionalFormatting>
  <conditionalFormatting sqref="L285:M285">
    <cfRule type="cellIs" dxfId="215" priority="216" operator="between">
      <formula>0</formula>
      <formula>9999</formula>
    </cfRule>
  </conditionalFormatting>
  <conditionalFormatting sqref="L286:M286">
    <cfRule type="cellIs" dxfId="214" priority="215" operator="between">
      <formula>0</formula>
      <formula>9999</formula>
    </cfRule>
  </conditionalFormatting>
  <conditionalFormatting sqref="L310:M310">
    <cfRule type="cellIs" dxfId="213" priority="214" operator="between">
      <formula>0</formula>
      <formula>9999</formula>
    </cfRule>
  </conditionalFormatting>
  <conditionalFormatting sqref="H307:I308">
    <cfRule type="cellIs" dxfId="212" priority="213" operator="between">
      <formula>0</formula>
      <formula>9999</formula>
    </cfRule>
  </conditionalFormatting>
  <conditionalFormatting sqref="L307:M308">
    <cfRule type="cellIs" dxfId="211" priority="212" operator="between">
      <formula>0</formula>
      <formula>9999</formula>
    </cfRule>
  </conditionalFormatting>
  <conditionalFormatting sqref="L314:M315">
    <cfRule type="cellIs" dxfId="210" priority="211" operator="between">
      <formula>0</formula>
      <formula>9999</formula>
    </cfRule>
  </conditionalFormatting>
  <conditionalFormatting sqref="L319:M319">
    <cfRule type="cellIs" dxfId="209" priority="210" operator="between">
      <formula>0</formula>
      <formula>9999</formula>
    </cfRule>
  </conditionalFormatting>
  <conditionalFormatting sqref="L322:M322">
    <cfRule type="cellIs" dxfId="208" priority="209" operator="between">
      <formula>0</formula>
      <formula>9999</formula>
    </cfRule>
  </conditionalFormatting>
  <conditionalFormatting sqref="L323:M326">
    <cfRule type="cellIs" dxfId="207" priority="208" operator="between">
      <formula>0</formula>
      <formula>9999</formula>
    </cfRule>
  </conditionalFormatting>
  <conditionalFormatting sqref="L210:M210">
    <cfRule type="cellIs" dxfId="206" priority="207" operator="between">
      <formula>0</formula>
      <formula>9999</formula>
    </cfRule>
  </conditionalFormatting>
  <conditionalFormatting sqref="L211:M211">
    <cfRule type="cellIs" dxfId="205" priority="206" operator="between">
      <formula>0</formula>
      <formula>9999</formula>
    </cfRule>
  </conditionalFormatting>
  <conditionalFormatting sqref="L213:M213">
    <cfRule type="cellIs" dxfId="204" priority="205" operator="between">
      <formula>0</formula>
      <formula>9999</formula>
    </cfRule>
  </conditionalFormatting>
  <conditionalFormatting sqref="L214:M214">
    <cfRule type="cellIs" dxfId="203" priority="204" operator="between">
      <formula>0</formula>
      <formula>9999</formula>
    </cfRule>
  </conditionalFormatting>
  <conditionalFormatting sqref="L216:M216">
    <cfRule type="cellIs" dxfId="202" priority="203" operator="between">
      <formula>0</formula>
      <formula>9999</formula>
    </cfRule>
  </conditionalFormatting>
  <conditionalFormatting sqref="L218:M218">
    <cfRule type="cellIs" dxfId="201" priority="202" operator="between">
      <formula>0</formula>
      <formula>9999</formula>
    </cfRule>
  </conditionalFormatting>
  <conditionalFormatting sqref="L219:M219">
    <cfRule type="cellIs" dxfId="200" priority="201" operator="between">
      <formula>0</formula>
      <formula>9999</formula>
    </cfRule>
  </conditionalFormatting>
  <conditionalFormatting sqref="L221:M221">
    <cfRule type="cellIs" dxfId="199" priority="200" operator="between">
      <formula>0</formula>
      <formula>9999</formula>
    </cfRule>
  </conditionalFormatting>
  <conditionalFormatting sqref="L222:M222">
    <cfRule type="cellIs" dxfId="198" priority="199" operator="between">
      <formula>0</formula>
      <formula>9999</formula>
    </cfRule>
  </conditionalFormatting>
  <conditionalFormatting sqref="L223:M223">
    <cfRule type="cellIs" dxfId="197" priority="198" operator="between">
      <formula>0</formula>
      <formula>9999</formula>
    </cfRule>
  </conditionalFormatting>
  <conditionalFormatting sqref="L224:M224">
    <cfRule type="cellIs" dxfId="196" priority="197" operator="between">
      <formula>0</formula>
      <formula>9999</formula>
    </cfRule>
  </conditionalFormatting>
  <conditionalFormatting sqref="L227:M227">
    <cfRule type="cellIs" dxfId="195" priority="196" operator="between">
      <formula>0</formula>
      <formula>9999</formula>
    </cfRule>
  </conditionalFormatting>
  <conditionalFormatting sqref="L229:M229">
    <cfRule type="cellIs" dxfId="194" priority="195" operator="between">
      <formula>0</formula>
      <formula>9999</formula>
    </cfRule>
  </conditionalFormatting>
  <conditionalFormatting sqref="L230:M230">
    <cfRule type="cellIs" dxfId="193" priority="194" operator="between">
      <formula>0</formula>
      <formula>9999</formula>
    </cfRule>
  </conditionalFormatting>
  <conditionalFormatting sqref="L231:M231">
    <cfRule type="cellIs" dxfId="192" priority="193" operator="between">
      <formula>0</formula>
      <formula>9999</formula>
    </cfRule>
  </conditionalFormatting>
  <conditionalFormatting sqref="L232:M232">
    <cfRule type="cellIs" dxfId="191" priority="192" operator="between">
      <formula>0</formula>
      <formula>9999</formula>
    </cfRule>
  </conditionalFormatting>
  <conditionalFormatting sqref="L234:M234">
    <cfRule type="cellIs" dxfId="190" priority="191" operator="between">
      <formula>0</formula>
      <formula>9999</formula>
    </cfRule>
  </conditionalFormatting>
  <conditionalFormatting sqref="L226:M226">
    <cfRule type="cellIs" dxfId="189" priority="190" operator="between">
      <formula>0</formula>
      <formula>9999</formula>
    </cfRule>
  </conditionalFormatting>
  <conditionalFormatting sqref="L159:M159">
    <cfRule type="cellIs" dxfId="188" priority="189" operator="between">
      <formula>0</formula>
      <formula>9999</formula>
    </cfRule>
  </conditionalFormatting>
  <conditionalFormatting sqref="L593:M593">
    <cfRule type="cellIs" dxfId="187" priority="188" operator="between">
      <formula>0</formula>
      <formula>9999</formula>
    </cfRule>
  </conditionalFormatting>
  <conditionalFormatting sqref="H594:I594">
    <cfRule type="cellIs" dxfId="186" priority="187" operator="between">
      <formula>0</formula>
      <formula>9999</formula>
    </cfRule>
  </conditionalFormatting>
  <conditionalFormatting sqref="L594:M594">
    <cfRule type="cellIs" dxfId="185" priority="186" operator="between">
      <formula>0</formula>
      <formula>9999</formula>
    </cfRule>
  </conditionalFormatting>
  <conditionalFormatting sqref="L595:M595">
    <cfRule type="cellIs" dxfId="184" priority="185" operator="between">
      <formula>0</formula>
      <formula>9999</formula>
    </cfRule>
  </conditionalFormatting>
  <conditionalFormatting sqref="H596:I596">
    <cfRule type="cellIs" dxfId="183" priority="184" operator="between">
      <formula>0</formula>
      <formula>9999</formula>
    </cfRule>
  </conditionalFormatting>
  <conditionalFormatting sqref="L596:M596">
    <cfRule type="cellIs" dxfId="182" priority="183" operator="between">
      <formula>0</formula>
      <formula>9999</formula>
    </cfRule>
  </conditionalFormatting>
  <conditionalFormatting sqref="L597:M597">
    <cfRule type="cellIs" dxfId="181" priority="182" operator="between">
      <formula>0</formula>
      <formula>9999</formula>
    </cfRule>
  </conditionalFormatting>
  <conditionalFormatting sqref="L598:M598">
    <cfRule type="cellIs" dxfId="180" priority="181" operator="between">
      <formula>0</formula>
      <formula>9999</formula>
    </cfRule>
  </conditionalFormatting>
  <conditionalFormatting sqref="H599:I599">
    <cfRule type="cellIs" dxfId="179" priority="180" operator="between">
      <formula>0</formula>
      <formula>9999</formula>
    </cfRule>
  </conditionalFormatting>
  <conditionalFormatting sqref="L599:M599">
    <cfRule type="cellIs" dxfId="178" priority="179" operator="between">
      <formula>0</formula>
      <formula>9999</formula>
    </cfRule>
  </conditionalFormatting>
  <conditionalFormatting sqref="H600:I600">
    <cfRule type="cellIs" dxfId="177" priority="178" operator="between">
      <formula>0</formula>
      <formula>9999</formula>
    </cfRule>
  </conditionalFormatting>
  <conditionalFormatting sqref="L600:M600">
    <cfRule type="cellIs" dxfId="176" priority="177" operator="between">
      <formula>0</formula>
      <formula>9999</formula>
    </cfRule>
  </conditionalFormatting>
  <conditionalFormatting sqref="H601:I601">
    <cfRule type="cellIs" dxfId="175" priority="176" operator="between">
      <formula>0</formula>
      <formula>9999</formula>
    </cfRule>
  </conditionalFormatting>
  <conditionalFormatting sqref="L601:M601">
    <cfRule type="cellIs" dxfId="174" priority="175" operator="between">
      <formula>0</formula>
      <formula>9999</formula>
    </cfRule>
  </conditionalFormatting>
  <conditionalFormatting sqref="H602:I602">
    <cfRule type="cellIs" dxfId="173" priority="174" operator="between">
      <formula>0</formula>
      <formula>9999</formula>
    </cfRule>
  </conditionalFormatting>
  <conditionalFormatting sqref="L602:M602">
    <cfRule type="cellIs" dxfId="172" priority="173" operator="between">
      <formula>0</formula>
      <formula>9999</formula>
    </cfRule>
  </conditionalFormatting>
  <conditionalFormatting sqref="H603:I603">
    <cfRule type="cellIs" dxfId="171" priority="172" operator="between">
      <formula>0</formula>
      <formula>9999</formula>
    </cfRule>
  </conditionalFormatting>
  <conditionalFormatting sqref="L603:M603">
    <cfRule type="cellIs" dxfId="170" priority="171" operator="between">
      <formula>0</formula>
      <formula>9999</formula>
    </cfRule>
  </conditionalFormatting>
  <conditionalFormatting sqref="L604:M604">
    <cfRule type="cellIs" dxfId="169" priority="170" operator="between">
      <formula>0</formula>
      <formula>9999</formula>
    </cfRule>
  </conditionalFormatting>
  <conditionalFormatting sqref="L605:M605">
    <cfRule type="cellIs" dxfId="168" priority="169" operator="between">
      <formula>0</formula>
      <formula>9999</formula>
    </cfRule>
  </conditionalFormatting>
  <conditionalFormatting sqref="L932:M953 L786:M787 L750:M755 H740:I766 L740:M744 L704:M710 H606:I661 L606:M632">
    <cfRule type="cellIs" dxfId="167" priority="168" operator="between">
      <formula>0</formula>
      <formula>9999</formula>
    </cfRule>
  </conditionalFormatting>
  <conditionalFormatting sqref="M795 L796:M802 L807:M807 L809:M810 L812:M814 L816:M816 L818:M825 L827:M829 L831:M831 L833:M833 L835:M843 L846:M846 L848:M848 L855:M859 L862:M863 L866:M866 L869:M870 L874:M876 L879:M880 L882:M883 L889:M891 L895:M895 L902:M907 L909:M911 L913:M914 L916:M916 L919:M920 L922:M924 L926:M928 L930:M930 L850:M853">
    <cfRule type="cellIs" dxfId="166" priority="167" operator="between">
      <formula>0</formula>
      <formula>9999</formula>
    </cfRule>
  </conditionalFormatting>
  <conditionalFormatting sqref="L803:M803">
    <cfRule type="cellIs" dxfId="165" priority="166" operator="between">
      <formula>0</formula>
      <formula>9999</formula>
    </cfRule>
  </conditionalFormatting>
  <conditionalFormatting sqref="L804:M804">
    <cfRule type="cellIs" dxfId="164" priority="165" operator="between">
      <formula>0</formula>
      <formula>9999</formula>
    </cfRule>
  </conditionalFormatting>
  <conditionalFormatting sqref="L805:M805">
    <cfRule type="cellIs" dxfId="163" priority="164" operator="between">
      <formula>0</formula>
      <formula>9999</formula>
    </cfRule>
  </conditionalFormatting>
  <conditionalFormatting sqref="L806:M806">
    <cfRule type="cellIs" dxfId="162" priority="163" operator="between">
      <formula>0</formula>
      <formula>9999</formula>
    </cfRule>
  </conditionalFormatting>
  <conditionalFormatting sqref="L808:M808">
    <cfRule type="cellIs" dxfId="161" priority="162" operator="between">
      <formula>0</formula>
      <formula>9999</formula>
    </cfRule>
  </conditionalFormatting>
  <conditionalFormatting sqref="L812:M812">
    <cfRule type="cellIs" dxfId="160" priority="161" operator="between">
      <formula>0</formula>
      <formula>9999</formula>
    </cfRule>
  </conditionalFormatting>
  <conditionalFormatting sqref="L815:M815">
    <cfRule type="cellIs" dxfId="159" priority="160" operator="between">
      <formula>0</formula>
      <formula>9999</formula>
    </cfRule>
  </conditionalFormatting>
  <conditionalFormatting sqref="L815:M815">
    <cfRule type="cellIs" dxfId="158" priority="159" operator="between">
      <formula>0</formula>
      <formula>9999</formula>
    </cfRule>
  </conditionalFormatting>
  <conditionalFormatting sqref="L817:M817">
    <cfRule type="cellIs" dxfId="157" priority="158" operator="between">
      <formula>0</formula>
      <formula>9999</formula>
    </cfRule>
  </conditionalFormatting>
  <conditionalFormatting sqref="L817:M817">
    <cfRule type="cellIs" dxfId="156" priority="157" operator="between">
      <formula>0</formula>
      <formula>9999</formula>
    </cfRule>
  </conditionalFormatting>
  <conditionalFormatting sqref="L826:M826">
    <cfRule type="cellIs" dxfId="155" priority="156" operator="between">
      <formula>0</formula>
      <formula>9999</formula>
    </cfRule>
  </conditionalFormatting>
  <conditionalFormatting sqref="L826:M826">
    <cfRule type="cellIs" dxfId="154" priority="155" operator="between">
      <formula>0</formula>
      <formula>9999</formula>
    </cfRule>
  </conditionalFormatting>
  <conditionalFormatting sqref="L830:M830">
    <cfRule type="cellIs" dxfId="153" priority="154" operator="between">
      <formula>0</formula>
      <formula>9999</formula>
    </cfRule>
  </conditionalFormatting>
  <conditionalFormatting sqref="L830:M830">
    <cfRule type="cellIs" dxfId="152" priority="153" operator="between">
      <formula>0</formula>
      <formula>9999</formula>
    </cfRule>
  </conditionalFormatting>
  <conditionalFormatting sqref="L832:M832">
    <cfRule type="cellIs" dxfId="151" priority="152" operator="between">
      <formula>0</formula>
      <formula>9999</formula>
    </cfRule>
  </conditionalFormatting>
  <conditionalFormatting sqref="L832:M832">
    <cfRule type="cellIs" dxfId="150" priority="151" operator="between">
      <formula>0</formula>
      <formula>9999</formula>
    </cfRule>
  </conditionalFormatting>
  <conditionalFormatting sqref="L834:M834">
    <cfRule type="cellIs" dxfId="149" priority="150" operator="between">
      <formula>0</formula>
      <formula>9999</formula>
    </cfRule>
  </conditionalFormatting>
  <conditionalFormatting sqref="L834:M834">
    <cfRule type="cellIs" dxfId="148" priority="149" operator="between">
      <formula>0</formula>
      <formula>9999</formula>
    </cfRule>
  </conditionalFormatting>
  <conditionalFormatting sqref="L844:M844">
    <cfRule type="cellIs" dxfId="147" priority="148" operator="between">
      <formula>0</formula>
      <formula>9999</formula>
    </cfRule>
  </conditionalFormatting>
  <conditionalFormatting sqref="L844:M844">
    <cfRule type="cellIs" dxfId="146" priority="147" operator="between">
      <formula>0</formula>
      <formula>9999</formula>
    </cfRule>
  </conditionalFormatting>
  <conditionalFormatting sqref="L845:M845">
    <cfRule type="cellIs" dxfId="145" priority="146" operator="between">
      <formula>0</formula>
      <formula>9999</formula>
    </cfRule>
  </conditionalFormatting>
  <conditionalFormatting sqref="L845:M845">
    <cfRule type="cellIs" dxfId="144" priority="145" operator="between">
      <formula>0</formula>
      <formula>9999</formula>
    </cfRule>
  </conditionalFormatting>
  <conditionalFormatting sqref="L847:M847">
    <cfRule type="cellIs" dxfId="143" priority="144" operator="between">
      <formula>0</formula>
      <formula>9999</formula>
    </cfRule>
  </conditionalFormatting>
  <conditionalFormatting sqref="L849:M849">
    <cfRule type="cellIs" dxfId="142" priority="143" operator="between">
      <formula>0</formula>
      <formula>9999</formula>
    </cfRule>
  </conditionalFormatting>
  <conditionalFormatting sqref="L849:M849">
    <cfRule type="cellIs" dxfId="141" priority="142" operator="between">
      <formula>0</formula>
      <formula>9999</formula>
    </cfRule>
  </conditionalFormatting>
  <conditionalFormatting sqref="L854:M854">
    <cfRule type="cellIs" dxfId="140" priority="141" operator="between">
      <formula>0</formula>
      <formula>9999</formula>
    </cfRule>
  </conditionalFormatting>
  <conditionalFormatting sqref="L854:M854">
    <cfRule type="cellIs" dxfId="139" priority="140" operator="between">
      <formula>0</formula>
      <formula>9999</formula>
    </cfRule>
  </conditionalFormatting>
  <conditionalFormatting sqref="L860:M860">
    <cfRule type="cellIs" dxfId="138" priority="139" operator="between">
      <formula>0</formula>
      <formula>9999</formula>
    </cfRule>
  </conditionalFormatting>
  <conditionalFormatting sqref="L860:M860">
    <cfRule type="cellIs" dxfId="137" priority="138" operator="between">
      <formula>0</formula>
      <formula>9999</formula>
    </cfRule>
  </conditionalFormatting>
  <conditionalFormatting sqref="L861:M861">
    <cfRule type="cellIs" dxfId="136" priority="137" operator="between">
      <formula>0</formula>
      <formula>9999</formula>
    </cfRule>
  </conditionalFormatting>
  <conditionalFormatting sqref="L861:M861">
    <cfRule type="cellIs" dxfId="135" priority="136" operator="between">
      <formula>0</formula>
      <formula>9999</formula>
    </cfRule>
  </conditionalFormatting>
  <conditionalFormatting sqref="L864:M864">
    <cfRule type="cellIs" dxfId="134" priority="135" operator="between">
      <formula>0</formula>
      <formula>9999</formula>
    </cfRule>
  </conditionalFormatting>
  <conditionalFormatting sqref="L864:M864">
    <cfRule type="cellIs" dxfId="133" priority="134" operator="between">
      <formula>0</formula>
      <formula>9999</formula>
    </cfRule>
  </conditionalFormatting>
  <conditionalFormatting sqref="L865:M865">
    <cfRule type="cellIs" dxfId="132" priority="133" operator="between">
      <formula>0</formula>
      <formula>9999</formula>
    </cfRule>
  </conditionalFormatting>
  <conditionalFormatting sqref="L865:M865">
    <cfRule type="cellIs" dxfId="131" priority="132" operator="between">
      <formula>0</formula>
      <formula>9999</formula>
    </cfRule>
  </conditionalFormatting>
  <conditionalFormatting sqref="L867:M867">
    <cfRule type="cellIs" dxfId="130" priority="131" operator="between">
      <formula>0</formula>
      <formula>9999</formula>
    </cfRule>
  </conditionalFormatting>
  <conditionalFormatting sqref="L868:M868">
    <cfRule type="cellIs" dxfId="129" priority="130" operator="between">
      <formula>0</formula>
      <formula>9999</formula>
    </cfRule>
  </conditionalFormatting>
  <conditionalFormatting sqref="L868:M868">
    <cfRule type="cellIs" dxfId="128" priority="129" operator="between">
      <formula>0</formula>
      <formula>9999</formula>
    </cfRule>
  </conditionalFormatting>
  <conditionalFormatting sqref="L871:M871">
    <cfRule type="cellIs" dxfId="127" priority="128" operator="between">
      <formula>0</formula>
      <formula>9999</formula>
    </cfRule>
  </conditionalFormatting>
  <conditionalFormatting sqref="L871:M871">
    <cfRule type="cellIs" dxfId="126" priority="127" operator="between">
      <formula>0</formula>
      <formula>9999</formula>
    </cfRule>
  </conditionalFormatting>
  <conditionalFormatting sqref="L872:M872">
    <cfRule type="cellIs" dxfId="125" priority="126" operator="between">
      <formula>0</formula>
      <formula>9999</formula>
    </cfRule>
  </conditionalFormatting>
  <conditionalFormatting sqref="L872:M872">
    <cfRule type="cellIs" dxfId="124" priority="125" operator="between">
      <formula>0</formula>
      <formula>9999</formula>
    </cfRule>
  </conditionalFormatting>
  <conditionalFormatting sqref="L873:M873">
    <cfRule type="cellIs" dxfId="123" priority="124" operator="between">
      <formula>0</formula>
      <formula>9999</formula>
    </cfRule>
  </conditionalFormatting>
  <conditionalFormatting sqref="L873:M873">
    <cfRule type="cellIs" dxfId="122" priority="123" operator="between">
      <formula>0</formula>
      <formula>9999</formula>
    </cfRule>
  </conditionalFormatting>
  <conditionalFormatting sqref="L877:M877">
    <cfRule type="cellIs" dxfId="121" priority="122" operator="between">
      <formula>0</formula>
      <formula>9999</formula>
    </cfRule>
  </conditionalFormatting>
  <conditionalFormatting sqref="L877:M877">
    <cfRule type="cellIs" dxfId="120" priority="121" operator="between">
      <formula>0</formula>
      <formula>9999</formula>
    </cfRule>
  </conditionalFormatting>
  <conditionalFormatting sqref="L878:M878">
    <cfRule type="cellIs" dxfId="119" priority="120" operator="between">
      <formula>0</formula>
      <formula>9999</formula>
    </cfRule>
  </conditionalFormatting>
  <conditionalFormatting sqref="L878:M878">
    <cfRule type="cellIs" dxfId="118" priority="119" operator="between">
      <formula>0</formula>
      <formula>9999</formula>
    </cfRule>
  </conditionalFormatting>
  <conditionalFormatting sqref="L881:M881">
    <cfRule type="cellIs" dxfId="117" priority="118" operator="between">
      <formula>0</formula>
      <formula>9999</formula>
    </cfRule>
  </conditionalFormatting>
  <conditionalFormatting sqref="L881:M881">
    <cfRule type="cellIs" dxfId="116" priority="117" operator="between">
      <formula>0</formula>
      <formula>9999</formula>
    </cfRule>
  </conditionalFormatting>
  <conditionalFormatting sqref="L884:M884">
    <cfRule type="cellIs" dxfId="115" priority="116" operator="between">
      <formula>0</formula>
      <formula>9999</formula>
    </cfRule>
  </conditionalFormatting>
  <conditionalFormatting sqref="L884:M884">
    <cfRule type="cellIs" dxfId="114" priority="115" operator="between">
      <formula>0</formula>
      <formula>9999</formula>
    </cfRule>
  </conditionalFormatting>
  <conditionalFormatting sqref="L885:M885">
    <cfRule type="cellIs" dxfId="113" priority="114" operator="between">
      <formula>0</formula>
      <formula>9999</formula>
    </cfRule>
  </conditionalFormatting>
  <conditionalFormatting sqref="L885:M885">
    <cfRule type="cellIs" dxfId="112" priority="113" operator="between">
      <formula>0</formula>
      <formula>9999</formula>
    </cfRule>
  </conditionalFormatting>
  <conditionalFormatting sqref="L886:M886">
    <cfRule type="cellIs" dxfId="111" priority="112" operator="between">
      <formula>0</formula>
      <formula>9999</formula>
    </cfRule>
  </conditionalFormatting>
  <conditionalFormatting sqref="L886:M886">
    <cfRule type="cellIs" dxfId="110" priority="111" operator="between">
      <formula>0</formula>
      <formula>9999</formula>
    </cfRule>
  </conditionalFormatting>
  <conditionalFormatting sqref="L887:M887">
    <cfRule type="cellIs" dxfId="109" priority="110" operator="between">
      <formula>0</formula>
      <formula>9999</formula>
    </cfRule>
  </conditionalFormatting>
  <conditionalFormatting sqref="L887:M887">
    <cfRule type="cellIs" dxfId="108" priority="109" operator="between">
      <formula>0</formula>
      <formula>9999</formula>
    </cfRule>
  </conditionalFormatting>
  <conditionalFormatting sqref="L888:M888">
    <cfRule type="cellIs" dxfId="107" priority="108" operator="between">
      <formula>0</formula>
      <formula>9999</formula>
    </cfRule>
  </conditionalFormatting>
  <conditionalFormatting sqref="L888:M888">
    <cfRule type="cellIs" dxfId="106" priority="107" operator="between">
      <formula>0</formula>
      <formula>9999</formula>
    </cfRule>
  </conditionalFormatting>
  <conditionalFormatting sqref="L892:M892">
    <cfRule type="cellIs" dxfId="105" priority="106" operator="between">
      <formula>0</formula>
      <formula>9999</formula>
    </cfRule>
  </conditionalFormatting>
  <conditionalFormatting sqref="L892:M892">
    <cfRule type="cellIs" dxfId="104" priority="105" operator="between">
      <formula>0</formula>
      <formula>9999</formula>
    </cfRule>
  </conditionalFormatting>
  <conditionalFormatting sqref="L893:M893">
    <cfRule type="cellIs" dxfId="103" priority="104" operator="between">
      <formula>0</formula>
      <formula>9999</formula>
    </cfRule>
  </conditionalFormatting>
  <conditionalFormatting sqref="L893:M893">
    <cfRule type="cellIs" dxfId="102" priority="103" operator="between">
      <formula>0</formula>
      <formula>9999</formula>
    </cfRule>
  </conditionalFormatting>
  <conditionalFormatting sqref="L894:M894">
    <cfRule type="cellIs" dxfId="101" priority="102" operator="between">
      <formula>0</formula>
      <formula>9999</formula>
    </cfRule>
  </conditionalFormatting>
  <conditionalFormatting sqref="L894:M894">
    <cfRule type="cellIs" dxfId="100" priority="101" operator="between">
      <formula>0</formula>
      <formula>9999</formula>
    </cfRule>
  </conditionalFormatting>
  <conditionalFormatting sqref="L896:M896">
    <cfRule type="cellIs" dxfId="99" priority="100" operator="between">
      <formula>0</formula>
      <formula>9999</formula>
    </cfRule>
  </conditionalFormatting>
  <conditionalFormatting sqref="L896:M896">
    <cfRule type="cellIs" dxfId="98" priority="99" operator="between">
      <formula>0</formula>
      <formula>9999</formula>
    </cfRule>
  </conditionalFormatting>
  <conditionalFormatting sqref="L897:M897">
    <cfRule type="cellIs" dxfId="97" priority="98" operator="between">
      <formula>0</formula>
      <formula>9999</formula>
    </cfRule>
  </conditionalFormatting>
  <conditionalFormatting sqref="L897:M897">
    <cfRule type="cellIs" dxfId="96" priority="97" operator="between">
      <formula>0</formula>
      <formula>9999</formula>
    </cfRule>
  </conditionalFormatting>
  <conditionalFormatting sqref="L898:M898">
    <cfRule type="cellIs" dxfId="95" priority="96" operator="between">
      <formula>0</formula>
      <formula>9999</formula>
    </cfRule>
  </conditionalFormatting>
  <conditionalFormatting sqref="L898:M898">
    <cfRule type="cellIs" dxfId="94" priority="95" operator="between">
      <formula>0</formula>
      <formula>9999</formula>
    </cfRule>
  </conditionalFormatting>
  <conditionalFormatting sqref="L899:M899">
    <cfRule type="cellIs" dxfId="93" priority="94" operator="between">
      <formula>0</formula>
      <formula>9999</formula>
    </cfRule>
  </conditionalFormatting>
  <conditionalFormatting sqref="L899:M899">
    <cfRule type="cellIs" dxfId="92" priority="93" operator="between">
      <formula>0</formula>
      <formula>9999</formula>
    </cfRule>
  </conditionalFormatting>
  <conditionalFormatting sqref="L900:M900">
    <cfRule type="cellIs" dxfId="91" priority="92" operator="between">
      <formula>0</formula>
      <formula>9999</formula>
    </cfRule>
  </conditionalFormatting>
  <conditionalFormatting sqref="L900:M900">
    <cfRule type="cellIs" dxfId="90" priority="91" operator="between">
      <formula>0</formula>
      <formula>9999</formula>
    </cfRule>
  </conditionalFormatting>
  <conditionalFormatting sqref="L901:M901">
    <cfRule type="cellIs" dxfId="89" priority="90" operator="between">
      <formula>0</formula>
      <formula>9999</formula>
    </cfRule>
  </conditionalFormatting>
  <conditionalFormatting sqref="L901:M901">
    <cfRule type="cellIs" dxfId="88" priority="89" operator="between">
      <formula>0</formula>
      <formula>9999</formula>
    </cfRule>
  </conditionalFormatting>
  <conditionalFormatting sqref="L908:M908">
    <cfRule type="cellIs" dxfId="87" priority="88" operator="between">
      <formula>0</formula>
      <formula>9999</formula>
    </cfRule>
  </conditionalFormatting>
  <conditionalFormatting sqref="L912:M912">
    <cfRule type="cellIs" dxfId="86" priority="87" operator="between">
      <formula>0</formula>
      <formula>9999</formula>
    </cfRule>
  </conditionalFormatting>
  <conditionalFormatting sqref="L915:M915">
    <cfRule type="cellIs" dxfId="85" priority="86" operator="between">
      <formula>0</formula>
      <formula>9999</formula>
    </cfRule>
  </conditionalFormatting>
  <conditionalFormatting sqref="L917:M917">
    <cfRule type="cellIs" dxfId="84" priority="85" operator="between">
      <formula>0</formula>
      <formula>9999</formula>
    </cfRule>
  </conditionalFormatting>
  <conditionalFormatting sqref="L918:M918">
    <cfRule type="cellIs" dxfId="83" priority="84" operator="between">
      <formula>0</formula>
      <formula>9999</formula>
    </cfRule>
  </conditionalFormatting>
  <conditionalFormatting sqref="L921:M921">
    <cfRule type="cellIs" dxfId="82" priority="83" operator="between">
      <formula>0</formula>
      <formula>9999</formula>
    </cfRule>
  </conditionalFormatting>
  <conditionalFormatting sqref="L925:M925">
    <cfRule type="cellIs" dxfId="81" priority="82" operator="between">
      <formula>0</formula>
      <formula>9999</formula>
    </cfRule>
  </conditionalFormatting>
  <conditionalFormatting sqref="L929:M929">
    <cfRule type="cellIs" dxfId="80" priority="81" operator="between">
      <formula>0</formula>
      <formula>9999</formula>
    </cfRule>
  </conditionalFormatting>
  <conditionalFormatting sqref="L931:M931">
    <cfRule type="cellIs" dxfId="79" priority="80" operator="between">
      <formula>0</formula>
      <formula>9999</formula>
    </cfRule>
  </conditionalFormatting>
  <conditionalFormatting sqref="L788:M788">
    <cfRule type="cellIs" dxfId="78" priority="79" operator="between">
      <formula>0</formula>
      <formula>9999</formula>
    </cfRule>
  </conditionalFormatting>
  <conditionalFormatting sqref="M689 L692:M692 L695:M698 L702:M703 L634:M636 L638:M647 H713:I739 L713:M717 L720:M722 L724:M725 L731:M738 L650:M650 L653:M653 L655:M655 L658:M661 L663:M663 H663:I663 L666:M666 L672:M672 L674:M674 L678:M678">
    <cfRule type="cellIs" dxfId="77" priority="78" operator="between">
      <formula>0</formula>
      <formula>9999</formula>
    </cfRule>
  </conditionalFormatting>
  <conditionalFormatting sqref="L747:M748 L761:M763 L775:M776 L780:M780 L783:M785 L766:M766 H768:I772 L768:M771 H774:I776 H778:I780 H782:I785">
    <cfRule type="cellIs" dxfId="76" priority="77" operator="between">
      <formula>0</formula>
      <formula>9999</formula>
    </cfRule>
  </conditionalFormatting>
  <conditionalFormatting sqref="L745:M745">
    <cfRule type="cellIs" dxfId="75" priority="76" operator="between">
      <formula>0</formula>
      <formula>9999</formula>
    </cfRule>
  </conditionalFormatting>
  <conditionalFormatting sqref="L746:M746">
    <cfRule type="cellIs" dxfId="74" priority="75" operator="between">
      <formula>0</formula>
      <formula>9999</formula>
    </cfRule>
  </conditionalFormatting>
  <conditionalFormatting sqref="L749">
    <cfRule type="cellIs" dxfId="73" priority="74" operator="between">
      <formula>0</formula>
      <formula>9999</formula>
    </cfRule>
  </conditionalFormatting>
  <conditionalFormatting sqref="M749">
    <cfRule type="cellIs" dxfId="72" priority="73" operator="between">
      <formula>0</formula>
      <formula>9999</formula>
    </cfRule>
  </conditionalFormatting>
  <conditionalFormatting sqref="L758:M758">
    <cfRule type="cellIs" dxfId="71" priority="72" operator="between">
      <formula>0</formula>
      <formula>9999</formula>
    </cfRule>
  </conditionalFormatting>
  <conditionalFormatting sqref="L759:M759">
    <cfRule type="cellIs" dxfId="70" priority="71" operator="between">
      <formula>0</formula>
      <formula>9999</formula>
    </cfRule>
  </conditionalFormatting>
  <conditionalFormatting sqref="L756:M756">
    <cfRule type="cellIs" dxfId="69" priority="70" operator="between">
      <formula>0</formula>
      <formula>9999</formula>
    </cfRule>
  </conditionalFormatting>
  <conditionalFormatting sqref="L757:M757">
    <cfRule type="cellIs" dxfId="68" priority="69" operator="between">
      <formula>0</formula>
      <formula>9999</formula>
    </cfRule>
  </conditionalFormatting>
  <conditionalFormatting sqref="L760:M760">
    <cfRule type="cellIs" dxfId="67" priority="68" operator="between">
      <formula>0</formula>
      <formula>9999</formula>
    </cfRule>
  </conditionalFormatting>
  <conditionalFormatting sqref="L739:M739">
    <cfRule type="cellIs" dxfId="66" priority="67" operator="between">
      <formula>0</formula>
      <formula>9999</formula>
    </cfRule>
  </conditionalFormatting>
  <conditionalFormatting sqref="L764:M764">
    <cfRule type="cellIs" dxfId="65" priority="66" operator="between">
      <formula>0</formula>
      <formula>9999</formula>
    </cfRule>
  </conditionalFormatting>
  <conditionalFormatting sqref="L765:M765">
    <cfRule type="cellIs" dxfId="64" priority="65" operator="between">
      <formula>0</formula>
      <formula>9999</formula>
    </cfRule>
  </conditionalFormatting>
  <conditionalFormatting sqref="L772:M772">
    <cfRule type="cellIs" dxfId="63" priority="64" operator="between">
      <formula>0</formula>
      <formula>9999</formula>
    </cfRule>
  </conditionalFormatting>
  <conditionalFormatting sqref="L774:M774">
    <cfRule type="cellIs" dxfId="62" priority="63" operator="between">
      <formula>0</formula>
      <formula>9999</formula>
    </cfRule>
  </conditionalFormatting>
  <conditionalFormatting sqref="L778:M779">
    <cfRule type="cellIs" dxfId="61" priority="62" operator="between">
      <formula>0</formula>
      <formula>9999</formula>
    </cfRule>
  </conditionalFormatting>
  <conditionalFormatting sqref="L782:M782">
    <cfRule type="cellIs" dxfId="60" priority="61" operator="between">
      <formula>0</formula>
      <formula>9999</formula>
    </cfRule>
  </conditionalFormatting>
  <conditionalFormatting sqref="H767:I767">
    <cfRule type="cellIs" dxfId="59" priority="60" operator="between">
      <formula>0</formula>
      <formula>9999</formula>
    </cfRule>
  </conditionalFormatting>
  <conditionalFormatting sqref="L767:M767">
    <cfRule type="cellIs" dxfId="58" priority="59" operator="between">
      <formula>0</formula>
      <formula>9999</formula>
    </cfRule>
  </conditionalFormatting>
  <conditionalFormatting sqref="H773:I773">
    <cfRule type="cellIs" dxfId="57" priority="58" operator="between">
      <formula>0</formula>
      <formula>9999</formula>
    </cfRule>
  </conditionalFormatting>
  <conditionalFormatting sqref="L773:M773">
    <cfRule type="cellIs" dxfId="56" priority="57" operator="between">
      <formula>0</formula>
      <formula>9999</formula>
    </cfRule>
  </conditionalFormatting>
  <conditionalFormatting sqref="L777:M777">
    <cfRule type="cellIs" dxfId="55" priority="56" operator="between">
      <formula>0</formula>
      <formula>9999</formula>
    </cfRule>
  </conditionalFormatting>
  <conditionalFormatting sqref="H777:I777">
    <cfRule type="cellIs" dxfId="54" priority="55" operator="between">
      <formula>0</formula>
      <formula>9999</formula>
    </cfRule>
  </conditionalFormatting>
  <conditionalFormatting sqref="H781:I781">
    <cfRule type="cellIs" dxfId="53" priority="54" operator="between">
      <formula>0</formula>
      <formula>9999</formula>
    </cfRule>
  </conditionalFormatting>
  <conditionalFormatting sqref="L781:M781">
    <cfRule type="cellIs" dxfId="52" priority="53" operator="between">
      <formula>0</formula>
      <formula>9999</formula>
    </cfRule>
  </conditionalFormatting>
  <conditionalFormatting sqref="M690">
    <cfRule type="cellIs" dxfId="51" priority="52" operator="between">
      <formula>0</formula>
      <formula>9999</formula>
    </cfRule>
  </conditionalFormatting>
  <conditionalFormatting sqref="M691">
    <cfRule type="cellIs" dxfId="50" priority="51" operator="between">
      <formula>0</formula>
      <formula>9999</formula>
    </cfRule>
  </conditionalFormatting>
  <conditionalFormatting sqref="M693">
    <cfRule type="cellIs" dxfId="49" priority="50" operator="between">
      <formula>0</formula>
      <formula>9999</formula>
    </cfRule>
  </conditionalFormatting>
  <conditionalFormatting sqref="M694">
    <cfRule type="cellIs" dxfId="48" priority="49" operator="between">
      <formula>0</formula>
      <formula>9999</formula>
    </cfRule>
  </conditionalFormatting>
  <conditionalFormatting sqref="M699">
    <cfRule type="cellIs" dxfId="47" priority="48" operator="between">
      <formula>0</formula>
      <formula>9999</formula>
    </cfRule>
  </conditionalFormatting>
  <conditionalFormatting sqref="M700">
    <cfRule type="cellIs" dxfId="46" priority="47" operator="between">
      <formula>0</formula>
      <formula>9999</formula>
    </cfRule>
  </conditionalFormatting>
  <conditionalFormatting sqref="M701">
    <cfRule type="cellIs" dxfId="45" priority="46" operator="between">
      <formula>0</formula>
      <formula>9999</formula>
    </cfRule>
  </conditionalFormatting>
  <conditionalFormatting sqref="L633:M633">
    <cfRule type="cellIs" dxfId="44" priority="45" operator="between">
      <formula>0</formula>
      <formula>9999</formula>
    </cfRule>
  </conditionalFormatting>
  <conditionalFormatting sqref="L637:M637">
    <cfRule type="cellIs" dxfId="43" priority="44" operator="between">
      <formula>0</formula>
      <formula>9999</formula>
    </cfRule>
  </conditionalFormatting>
  <conditionalFormatting sqref="M688">
    <cfRule type="cellIs" dxfId="42" priority="43" operator="between">
      <formula>0</formula>
      <formula>9999</formula>
    </cfRule>
  </conditionalFormatting>
  <conditionalFormatting sqref="L714:M714">
    <cfRule type="cellIs" dxfId="41" priority="42" operator="between">
      <formula>0</formula>
      <formula>9999</formula>
    </cfRule>
  </conditionalFormatting>
  <conditionalFormatting sqref="H711:I712">
    <cfRule type="cellIs" dxfId="40" priority="41" operator="between">
      <formula>0</formula>
      <formula>9999</formula>
    </cfRule>
  </conditionalFormatting>
  <conditionalFormatting sqref="L711:M712">
    <cfRule type="cellIs" dxfId="39" priority="40" operator="between">
      <formula>0</formula>
      <formula>9999</formula>
    </cfRule>
  </conditionalFormatting>
  <conditionalFormatting sqref="L718:M719">
    <cfRule type="cellIs" dxfId="38" priority="39" operator="between">
      <formula>0</formula>
      <formula>9999</formula>
    </cfRule>
  </conditionalFormatting>
  <conditionalFormatting sqref="L723:M723">
    <cfRule type="cellIs" dxfId="37" priority="38" operator="between">
      <formula>0</formula>
      <formula>9999</formula>
    </cfRule>
  </conditionalFormatting>
  <conditionalFormatting sqref="L726:M726">
    <cfRule type="cellIs" dxfId="36" priority="37" operator="between">
      <formula>0</formula>
      <formula>9999</formula>
    </cfRule>
  </conditionalFormatting>
  <conditionalFormatting sqref="L727:M730">
    <cfRule type="cellIs" dxfId="35" priority="36" operator="between">
      <formula>0</formula>
      <formula>9999</formula>
    </cfRule>
  </conditionalFormatting>
  <conditionalFormatting sqref="L648:M648">
    <cfRule type="cellIs" dxfId="34" priority="35" operator="between">
      <formula>0</formula>
      <formula>9999</formula>
    </cfRule>
  </conditionalFormatting>
  <conditionalFormatting sqref="L649:M649">
    <cfRule type="cellIs" dxfId="33" priority="34" operator="between">
      <formula>0</formula>
      <formula>9999</formula>
    </cfRule>
  </conditionalFormatting>
  <conditionalFormatting sqref="L651:M651">
    <cfRule type="cellIs" dxfId="32" priority="33" operator="between">
      <formula>0</formula>
      <formula>9999</formula>
    </cfRule>
  </conditionalFormatting>
  <conditionalFormatting sqref="L652:M652">
    <cfRule type="cellIs" dxfId="31" priority="32" operator="between">
      <formula>0</formula>
      <formula>9999</formula>
    </cfRule>
  </conditionalFormatting>
  <conditionalFormatting sqref="L654:M654">
    <cfRule type="cellIs" dxfId="30" priority="31" operator="between">
      <formula>0</formula>
      <formula>9999</formula>
    </cfRule>
  </conditionalFormatting>
  <conditionalFormatting sqref="L656:M656">
    <cfRule type="cellIs" dxfId="29" priority="30" operator="between">
      <formula>0</formula>
      <formula>9999</formula>
    </cfRule>
  </conditionalFormatting>
  <conditionalFormatting sqref="L657:M657">
    <cfRule type="cellIs" dxfId="28" priority="29" operator="between">
      <formula>0</formula>
      <formula>9999</formula>
    </cfRule>
  </conditionalFormatting>
  <conditionalFormatting sqref="H662:I662 L662:M662">
    <cfRule type="cellIs" dxfId="27" priority="28" operator="between">
      <formula>0</formula>
      <formula>9999</formula>
    </cfRule>
  </conditionalFormatting>
  <conditionalFormatting sqref="L665:M665">
    <cfRule type="cellIs" dxfId="26" priority="27" operator="between">
      <formula>0</formula>
      <formula>9999</formula>
    </cfRule>
  </conditionalFormatting>
  <conditionalFormatting sqref="L667:M667">
    <cfRule type="cellIs" dxfId="25" priority="26" operator="between">
      <formula>0</formula>
      <formula>9999</formula>
    </cfRule>
  </conditionalFormatting>
  <conditionalFormatting sqref="L668:M668">
    <cfRule type="cellIs" dxfId="24" priority="25" operator="between">
      <formula>0</formula>
      <formula>9999</formula>
    </cfRule>
  </conditionalFormatting>
  <conditionalFormatting sqref="L669:M669">
    <cfRule type="cellIs" dxfId="23" priority="24" operator="between">
      <formula>0</formula>
      <formula>9999</formula>
    </cfRule>
  </conditionalFormatting>
  <conditionalFormatting sqref="L670:M670">
    <cfRule type="cellIs" dxfId="22" priority="23" operator="between">
      <formula>0</formula>
      <formula>9999</formula>
    </cfRule>
  </conditionalFormatting>
  <conditionalFormatting sqref="L671:M671">
    <cfRule type="cellIs" dxfId="21" priority="22" operator="between">
      <formula>0</formula>
      <formula>9999</formula>
    </cfRule>
  </conditionalFormatting>
  <conditionalFormatting sqref="L673:M673">
    <cfRule type="cellIs" dxfId="20" priority="21" operator="between">
      <formula>0</formula>
      <formula>9999</formula>
    </cfRule>
  </conditionalFormatting>
  <conditionalFormatting sqref="L675:M675">
    <cfRule type="cellIs" dxfId="19" priority="20" operator="between">
      <formula>0</formula>
      <formula>9999</formula>
    </cfRule>
  </conditionalFormatting>
  <conditionalFormatting sqref="L676:M676">
    <cfRule type="cellIs" dxfId="18" priority="19" operator="between">
      <formula>0</formula>
      <formula>9999</formula>
    </cfRule>
  </conditionalFormatting>
  <conditionalFormatting sqref="L677:M677">
    <cfRule type="cellIs" dxfId="17" priority="18" operator="between">
      <formula>0</formula>
      <formula>9999</formula>
    </cfRule>
  </conditionalFormatting>
  <conditionalFormatting sqref="L664:M664">
    <cfRule type="cellIs" dxfId="16" priority="17" operator="between">
      <formula>0</formula>
      <formula>9999</formula>
    </cfRule>
  </conditionalFormatting>
  <conditionalFormatting sqref="L1012:M1041 L960:M981 L956:M958">
    <cfRule type="cellIs" dxfId="15" priority="16" operator="between">
      <formula>0</formula>
      <formula>9999</formula>
    </cfRule>
  </conditionalFormatting>
  <conditionalFormatting sqref="L1043:M1051 L1053:M1059 L1009:M1009 L983:M984 L989:M1001 L1003:M1006">
    <cfRule type="cellIs" dxfId="14" priority="15" operator="between">
      <formula>0</formula>
      <formula>9999</formula>
    </cfRule>
  </conditionalFormatting>
  <conditionalFormatting sqref="L1042:M1042">
    <cfRule type="cellIs" dxfId="13" priority="14" operator="between">
      <formula>0</formula>
      <formula>9999</formula>
    </cfRule>
  </conditionalFormatting>
  <conditionalFormatting sqref="L1052:M1052">
    <cfRule type="cellIs" dxfId="12" priority="13" operator="between">
      <formula>0</formula>
      <formula>9999</formula>
    </cfRule>
  </conditionalFormatting>
  <conditionalFormatting sqref="L955:M955">
    <cfRule type="cellIs" dxfId="11" priority="12" operator="between">
      <formula>0</formula>
      <formula>9999</formula>
    </cfRule>
  </conditionalFormatting>
  <conditionalFormatting sqref="L959:M959">
    <cfRule type="cellIs" dxfId="10" priority="11" operator="between">
      <formula>0</formula>
      <formula>9999</formula>
    </cfRule>
  </conditionalFormatting>
  <conditionalFormatting sqref="L1011:M1011">
    <cfRule type="cellIs" dxfId="9" priority="10" operator="between">
      <formula>0</formula>
      <formula>9999</formula>
    </cfRule>
  </conditionalFormatting>
  <conditionalFormatting sqref="L1010:M1010">
    <cfRule type="cellIs" dxfId="8" priority="9" operator="between">
      <formula>0</formula>
      <formula>9999</formula>
    </cfRule>
  </conditionalFormatting>
  <conditionalFormatting sqref="L1008:M1008">
    <cfRule type="cellIs" dxfId="7" priority="8" operator="between">
      <formula>0</formula>
      <formula>9999</formula>
    </cfRule>
  </conditionalFormatting>
  <conditionalFormatting sqref="L1007:M1007">
    <cfRule type="cellIs" dxfId="6" priority="7" operator="between">
      <formula>0</formula>
      <formula>9999</formula>
    </cfRule>
  </conditionalFormatting>
  <conditionalFormatting sqref="L982:M982">
    <cfRule type="cellIs" dxfId="5" priority="6" operator="between">
      <formula>0</formula>
      <formula>9999</formula>
    </cfRule>
  </conditionalFormatting>
  <conditionalFormatting sqref="L985:M985">
    <cfRule type="cellIs" dxfId="4" priority="5" operator="between">
      <formula>0</formula>
      <formula>9999</formula>
    </cfRule>
  </conditionalFormatting>
  <conditionalFormatting sqref="L986:M986">
    <cfRule type="cellIs" dxfId="3" priority="4" operator="between">
      <formula>0</formula>
      <formula>9999</formula>
    </cfRule>
  </conditionalFormatting>
  <conditionalFormatting sqref="L987:M987">
    <cfRule type="cellIs" dxfId="2" priority="3" operator="between">
      <formula>0</formula>
      <formula>9999</formula>
    </cfRule>
  </conditionalFormatting>
  <conditionalFormatting sqref="L988:M988">
    <cfRule type="cellIs" dxfId="1" priority="2" operator="between">
      <formula>0</formula>
      <formula>9999</formula>
    </cfRule>
  </conditionalFormatting>
  <conditionalFormatting sqref="L1002:M1002">
    <cfRule type="cellIs" dxfId="0" priority="1" operator="between">
      <formula>0</formula>
      <formula>9999</formula>
    </cfRule>
  </conditionalFormatting>
  <dataValidations count="5">
    <dataValidation type="list" allowBlank="1" showInputMessage="1" showErrorMessage="1" sqref="C3:C592 C606:C1101" xr:uid="{1137715C-9EC4-4C01-885A-0D5131D16DB7}">
      <formula1>"1,2,3,4,5,6,8,9,10,11,12"</formula1>
    </dataValidation>
    <dataValidation operator="greaterThanOrEqual" allowBlank="1" showInputMessage="1" showErrorMessage="1" sqref="H474:I476 L353:M365 L367:M373 M242:M243 L258:M258 L260:M260 L244:M256 L346:M350 L375:M475 L477:M663 M795 L796:M803 L805:M810 L760:M772 L774:M780 M688:M691 L692:M692 M693:M694 L695:M698 M699:M701 L812:M953 L702:M757 L160:M225 L262:M344 L227:M241 L3:M158 L665:M687 L782:M794 L955:M1009 L1012:M1101" xr:uid="{D524DB12-A4F6-4A98-9C47-66A4F07FBCEE}"/>
    <dataValidation type="list" allowBlank="1" showInputMessage="1" showErrorMessage="1" sqref="D419 D377 D784" xr:uid="{3AA19980-F50C-4493-A00A-9462F1FFA1C8}">
      <formula1>"Berks,Carbon,Lehigh,Monroe,Northampton,Schuylkill"</formula1>
    </dataValidation>
    <dataValidation type="list" allowBlank="1" showInputMessage="1" showErrorMessage="1" sqref="D574 D507 D932 D1064" xr:uid="{89EEF84E-8325-4247-95FF-5847ACAE9707}">
      <formula1>"Adams,Cumberland,Dauphin,Franklin,Lancaster,Lebanon,Perry,York"</formula1>
    </dataValidation>
    <dataValidation type="list" allowBlank="1" showInputMessage="1" showErrorMessage="1" sqref="D72 D3 D967" xr:uid="{04D76B4D-C91D-401B-B1E1-CEAAD23277F2}">
      <formula1>"Crawford,Erie,Forest,Mercer,Venango,Warren"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0d6ee03e5f9e2c3ceb13dd99690e7774">
  <xsd:schema xmlns:xsd="http://www.w3.org/2001/XMLSchema" xmlns:xs="http://www.w3.org/2001/XMLSchema" xmlns:p="http://schemas.microsoft.com/office/2006/metadata/properties" xmlns:ns1="http://schemas.microsoft.com/sharepoint/v3" xmlns:ns2="5b656afb-3c8d-4b34-a1c1-337981dce21b" targetNamespace="http://schemas.microsoft.com/office/2006/metadata/properties" ma:root="true" ma:fieldsID="9945467a0d5f085aa107d7cd64bac1d4" ns1:_="" ns2:_="">
    <xsd:import namespace="http://schemas.microsoft.com/sharepoint/v3"/>
    <xsd:import namespace="5b656afb-3c8d-4b34-a1c1-337981dce21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56afb-3c8d-4b34-a1c1-337981dce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496815-6CBA-4717-86A3-3E00C08A50A9}"/>
</file>

<file path=customXml/itemProps2.xml><?xml version="1.0" encoding="utf-8"?>
<ds:datastoreItem xmlns:ds="http://schemas.openxmlformats.org/officeDocument/2006/customXml" ds:itemID="{9239CE81-307A-4115-A20C-C566B61C51E2}"/>
</file>

<file path=customXml/itemProps3.xml><?xml version="1.0" encoding="utf-8"?>
<ds:datastoreItem xmlns:ds="http://schemas.openxmlformats.org/officeDocument/2006/customXml" ds:itemID="{362AC1E3-EA63-4EFB-ABC1-50C1DD861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 Summary 04-12-21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 Jenior</dc:creator>
  <cp:lastModifiedBy>Hershock, Jason P</cp:lastModifiedBy>
  <dcterms:created xsi:type="dcterms:W3CDTF">2021-04-14T12:54:32Z</dcterms:created>
  <dcterms:modified xsi:type="dcterms:W3CDTF">2021-05-10T18:11:05Z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13300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