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1.bin" ContentType="application/vnd.openxmlformats-officedocument.oleObject"/>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embeddings/oleObject2.bin" ContentType="application/vnd.openxmlformats-officedocument.oleObject"/>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codeName="ThisWorkbook"/>
  <mc:AlternateContent xmlns:mc="http://schemas.openxmlformats.org/markup-compatibility/2006">
    <mc:Choice Requires="x15">
      <x15ac:absPath xmlns:x15ac="http://schemas.microsoft.com/office/spreadsheetml/2010/11/ac" url="S:\Bureau of Design\Bridge\MSE\Upgraded 1(2015)\"/>
    </mc:Choice>
  </mc:AlternateContent>
  <bookViews>
    <workbookView xWindow="765" yWindow="360" windowWidth="15480" windowHeight="11580" activeTab="1"/>
  </bookViews>
  <sheets>
    <sheet name="README" sheetId="7" r:id="rId1"/>
    <sheet name="INPUT" sheetId="1" r:id="rId2"/>
    <sheet name="WORKSHEET_FINAL" sheetId="2" r:id="rId3"/>
    <sheet name="WORKSHEET_CONSTR" sheetId="9" r:id="rId4"/>
    <sheet name="OUTPUT" sheetId="3" r:id="rId5"/>
  </sheets>
  <definedNames>
    <definedName name="A" comment="Peak seismic ground acceleration coefficient, As">INPUT!$L$103</definedName>
    <definedName name="Abut_on_Piles" comment="Abutment on Piles Present (Y or N)">INPUT!$L$16</definedName>
    <definedName name="Ad" comment="Distance from bottom of abutment to top of wall">INPUT!$L$19</definedName>
    <definedName name="adhesion" comment="Adhesion, ca, between footing and soil, taken as c(0.21 + 0.54/c ≤ 1.0) (in ksf)">WORKSHEET_FINAL!$D$164</definedName>
    <definedName name="Af" comment="Thickness of Abutment Footing">INPUT!$L$18</definedName>
    <definedName name="Ah" comment="Total Ht. of Fill behind Abutment - Bottom of footing to bottom of roadway">INPUT!$L$17</definedName>
    <definedName name="alpha" comment="Scale effect correction factor for Reinforcement Pullout Design [A11.10.6.3.2]">WORKSHEET_FINAL!$D$424</definedName>
    <definedName name="Am" comment="Maximum earthquake acceleration ">WORKSHEET_FINAL!$K$56</definedName>
    <definedName name="Aw" comment="Width of active zone behind reinforced zone">WORKSHEET_FINAL!$K$20</definedName>
    <definedName name="Backfill" comment="Type of Backfill">INPUT!$L$13</definedName>
    <definedName name="Backwall_Present">INPUT!$L$20</definedName>
    <definedName name="base_matl" comment="Base material soil or rock (s or r)">INPUT!$L$31</definedName>
    <definedName name="Base_theor" comment="Theoretical base width of footing">WORKSHEET_FINAL!$K$24</definedName>
    <definedName name="Beta" comment="Angle of Backfill Slope">INPUT!$L$14</definedName>
    <definedName name="BETA_Broken_BF" comment="Theoretical angle of broken backfill slope">WORKSHEET_FINAL!$K$11</definedName>
    <definedName name="bf" comment="Width of abutment/barrier moment slab (fig. 11 &amp; 14)">INPUT!$L$22</definedName>
    <definedName name="bfe" comment="Percentage of bf outside reinforcing zone">WORKSHEET_FINAL!$K$23</definedName>
    <definedName name="bfi" comment="Percentage of bf over reinforcing zone">WORKSHEET_FINAL!$K$22</definedName>
    <definedName name="C_surf_geo" comment="Surface geometry factor">INPUT!$L$85</definedName>
    <definedName name="cf" comment="Distance from back of wall to front edge of abutment orback face of barrier (fig. 11 &amp; 14)">INPUT!$L$21</definedName>
    <definedName name="Co" comment="Compressive strangth of rock sample">INPUT!$L$42</definedName>
    <definedName name="cohesion" comment="cohesion (c)">INPUT!$L$35</definedName>
    <definedName name="Cu" comment="Coefficient of uniformity for ribbed steel strips">INPUT!$L$86</definedName>
    <definedName name="d" comment="Dist frm back of MSE wall to linear vertical load PV">INPUT!$L$24</definedName>
    <definedName name="D_1_H" comment="Effective width of Pv distribution at depth Z = H [A3.11.6.3-1]">WORKSHEET_FINAL!$K$19</definedName>
    <definedName name="D_1_Z2" comment="Effective width of Pv distribution at depth Z = Z2 [A3.11.6.3-1]">WORKSHEET_FINAL!$K$18</definedName>
    <definedName name="DC" comment="Unti weight of wall">INPUT!$L$50</definedName>
    <definedName name="delta" comment="Friction angle between foundation and soil for sliding resistance">WORKSHEET_FINAL!$D$163</definedName>
    <definedName name="Df" comment="Depth of wall below ground surface">INPUT!$L$37</definedName>
    <definedName name="DW" comment="Weight of roadway surface">INPUT!$L$51</definedName>
    <definedName name="F_1_q_DW" comment="Vertical Load of roadway dead load q_DW over reinforced soil">WORKSHEET_FINAL!$K$40</definedName>
    <definedName name="F_1_q_ES" comment="Vertical resultant force due to abutment earth surcharge (ES) load over reinforced soil">WORKSHEET_FINAL!$K$45</definedName>
    <definedName name="F_1_q_LS" comment="Vertical force resultant of live load surcharge, q LS">WORKSHEET_FINAL!$K$35</definedName>
    <definedName name="F_2_q_DW" comment="Horizontal force from roadway dead load surcharge, q DW">WORKSHEET_FINAL!$K$41</definedName>
    <definedName name="F_2_q_LS" comment="Horizontal force from live load surcharge, q LS">WORKSHEET_FINAL!$K$36</definedName>
    <definedName name="F_2a_EH" comment="Horizontal Earth Pressure force on Abutment">WORKSHEET_FINAL!$K$46</definedName>
    <definedName name="F_2a_q_DW" comment="Horizontal force on abutment due to roadway dead load surcharge, q DW">WORKSHEET_FINAL!$K$42</definedName>
    <definedName name="F_2a_q_LS" comment="Horizontal force on abutment from live load surcharge, q LS">WORKSHEET_FINAL!$K$37</definedName>
    <definedName name="Fp" comment="Resultant of horizontal surcharge pressure due to wet concrete abutment footing load, Pv [A11.10.10.1-1]">WORKSHEET_FINAL!$K$49</definedName>
    <definedName name="Fy" comment="Yield strength of steel">INPUT!$L$70</definedName>
    <definedName name="g" comment="Weighted average of base soil unit weight (tcf, tons per cubic foot)">WORKSHEET_FINAL!$C$185</definedName>
    <definedName name="gamma_base_moist" comment="Moist unit weight of base material (tcf, tons per cubic foot)">INPUT!$L$34/2000</definedName>
    <definedName name="gamma_base_sat" comment="Saturated unit weight of base material (tcf, tons per cubic foot)">INPUT!$L$33/2000</definedName>
    <definedName name="gamma_fill" comment="Unit weight of fill soil behind reinforced zone (tcf, tons per cubic foot)">INPUT!$L$29/2000</definedName>
    <definedName name="gamma_P" comment="Load factor for determining the factored horizontal stress for maximum reinforcement loads [A11.10.6.2.1]">WORKSHEET_FINAL!$B$290</definedName>
    <definedName name="gamma_reinf" comment="Unit weight of reinforced soil (tcf, tons per cubic foot)">INPUT!$L$27/2000</definedName>
    <definedName name="Geo_Conn" comment="Does connection to wall rely on friction or is it mechanical? F=friction, M=mechanic (for geosynthetic only)">INPUT!$L$63</definedName>
    <definedName name="Geo_Face" comment="Is the face of made of geosynthetic material">INPUT!$L$64</definedName>
    <definedName name="H" comment="Height of Wall">INPUT!$L$10</definedName>
    <definedName name="H_1" comment="Notional height of active zone">WORKSHEET_FINAL!$K$14</definedName>
    <definedName name="H_2" comment="Not. ht. of e.p.d. for seismic load">WORKSHEET_FINAL!$K$13</definedName>
    <definedName name="h_notional" comment="Notional height of earth pressure diagram">WORKSHEET_FINAL!$K$12</definedName>
    <definedName name="Half_PAE" comment="Seismic load of backfill soil">WORKSHEET_FINAL!$K$59</definedName>
    <definedName name="Half_PAEh" comment="Horizontal component of 0.5 PAE">WORKSHEET_FINAL!$K$60</definedName>
    <definedName name="Half_PAEv" comment="Vertical component of 0.5 PAE">WORKSHEET_FINAL!$K$61</definedName>
    <definedName name="hB" comment="Ht. of backfill above wall - broken backfill only">INPUT!$L$15</definedName>
    <definedName name="HC" comment="Horizontal Component">INPUT!$L$39</definedName>
    <definedName name="heq" comment="Equivalent height of soil for vehicular load (D3.11.6.2-2, Use only for Live load in final condition)">INPUT!$L$52</definedName>
    <definedName name="heq_t" comment="Equivalent height of soil for temporary construction load">INPUT!$L$53</definedName>
    <definedName name="ka" comment="Active earth pressure coefficient">WORKSHEET_FINAL!$K$9</definedName>
    <definedName name="ka_int" comment="ka for reinforced soil internal stability [D3.11.5.8.1-4]">WORKSHEET_FINAL!$D$216</definedName>
    <definedName name="L_1" comment="Depth of stress distribution Internal">WORKSHEET_FINAL!$K$15</definedName>
    <definedName name="L_2" comment="Depth of stress distribution External">WORKSHEET_FINAL!$K$16</definedName>
    <definedName name="L_reinf" comment="Length of Reinforcing">INPUT!$L$71</definedName>
    <definedName name="L_wall" comment="Length of Wall">INPUT!$L$11</definedName>
    <definedName name="Nc">WORKSHEET_FINAL!$C$181</definedName>
    <definedName name="Ncq" comment="Modified bearing capacity factor for walls adjacent to slopes (cohesive soil term) [Fig A10.6.3.1.2c-1]">INPUT!$L$40</definedName>
    <definedName name="Ng">WORKSHEET_FINAL!$C$182</definedName>
    <definedName name="Ngq" comment="Modified bearing capacity factor for walls adjacent to slopes (cohesionless soil term) [Fig A10.6.3.1.2c-2]">INPUT!$L$41</definedName>
    <definedName name="Nms" comment="Coefficient factor to estimate ultimate bearing resistance of rock (D10.6.3.2.2-1)">INPUT!$L$44</definedName>
    <definedName name="Nq">WORKSHEET_FINAL!$C$183</definedName>
    <definedName name="P_inertial" comment="Inertial force">WORKSHEET_FINAL!$K$63</definedName>
    <definedName name="Pa" comment="Force resultant of earth pressure on wall">WORKSHEET_FINAL!$K$27</definedName>
    <definedName name="Pa_h" comment="Horizontal component of earth pressure force, Pa">WORKSHEET_FINAL!$K$28</definedName>
    <definedName name="Pa_v" comment="Vertical component of earth pressure force, Pa">WORKSHEET_FINAL!$K$29</definedName>
    <definedName name="PH_1" comment="Portion of horizontal collision CT load on barrier located within the reinforced zone (for external stability and internal stability strength checks)">WORKSHEET_FINAL!$K$51</definedName>
    <definedName name="PH_1_pullout" comment="Portion of horizontal collision CT load on barrier located within the reinforced zone (for internal pullout calculations)">WORKSHEET_FINAL!$K$52</definedName>
    <definedName name="PH_2" comment="Portion of horizontal collision CT load on barrier located outside the reinforced zone">WORKSHEET_FINAL!$K$53</definedName>
    <definedName name="PH1_a" comment="Total unfactored longitudinal force per foot on abutment due to superstructure loading">WORKSHEET_FINAL!$K$50</definedName>
    <definedName name="PHI_base" comment="friction angle of base material">INPUT!$L$32</definedName>
    <definedName name="phi_bearing" comment="Resistance factor for bearing">INPUT!$L$46</definedName>
    <definedName name="PHI_fill" comment="Friction angle of fill soil">INPUT!$L$30</definedName>
    <definedName name="phi_Pullout_Combined" comment="Pullout resistance factor for combined static and earthquake loading (A11.5.6-1 )">INPUT!$L$91</definedName>
    <definedName name="phi_Pullout_Static" comment="Pullout resistance factor for static loading (A11.5.6-1 )">INPUT!$L$90</definedName>
    <definedName name="PHI_reinf" comment="Friction angle of reinforced soil">INPUT!$L$28</definedName>
    <definedName name="phi_Seismic" comment="Resistance factor for bearing for Seismic loading">INPUT!$L$47</definedName>
    <definedName name="phi_sliding" comment="Resistance factor for sliding resistance between soil and foundation">INPUT!$L$45</definedName>
    <definedName name="phi_Tensile_Combined" comment="Tensile resistance factor for combined static and earthquake loading (A11.5.6-1 )">INPUT!$L$89</definedName>
    <definedName name="phi_Tensile_Static" comment="Tensile resistance factor for static loading (A11.5.6-1 )">INPUT!$L$88</definedName>
    <definedName name="Pir" comment="Seismic load of reinforced soil">WORKSHEET_FINAL!$K$57</definedName>
    <definedName name="Pis" comment="Seismic load of inclined fill soil">WORKSHEET_FINAL!$K$58</definedName>
    <definedName name="_xlnm.Print_Area" localSheetId="1">INPUT!$A$1:$U$187</definedName>
    <definedName name="_xlnm.Print_Area" localSheetId="4">OUTPUT!$A$1:$M$100</definedName>
    <definedName name="_xlnm.Print_Area" localSheetId="3">WORKSHEET_CONSTR!$A$1:$S$538</definedName>
    <definedName name="_xlnm.Print_Area" localSheetId="2">WORKSHEET_FINAL!$A$1:$W$674</definedName>
    <definedName name="_xlnm.Print_Titles" localSheetId="1">INPUT!$1:$6</definedName>
    <definedName name="_xlnm.Print_Titles" localSheetId="4">OUTPUT!$1:$8</definedName>
    <definedName name="_xlnm.Print_Titles" localSheetId="0">README!$1:$6</definedName>
    <definedName name="_xlnm.Print_Titles" localSheetId="3">WORKSHEET_CONSTR!$1:$6</definedName>
    <definedName name="_xlnm.Print_Titles" localSheetId="2">WORKSHEET_FINAL!$1:$6</definedName>
    <definedName name="psi_r" comment="Failure Plain of extensible reinforcement">WORKSHEET_FINAL!$K$25</definedName>
    <definedName name="Pv" comment="Vertical load from wet concrete abutment footing load, Pv, in tons/ft">WORKSHEET_FINAL!$K$47</definedName>
    <definedName name="Pv_ext" comment="Vertical load Pv used for external stability calculations">WORKSHEET_FINAL!$K$48</definedName>
    <definedName name="pw" comment="Width of Barrier/Parapet">INPUT!$L$23</definedName>
    <definedName name="q_DW" comment="Vertical surcharge due to roadway wearing surface dead load, DW">WORKSHEET_FINAL!$K$38</definedName>
    <definedName name="q_DW_int" comment="Vertical surcharge due to roadway wearing surface DW for internal stability stress calculations (reduced pressure by distributing full length of reinforced zone)">WORKSHEET_FINAL!$K$39</definedName>
    <definedName name="q_ES" comment="Vertical earth surcharge pressure due to abutment backfill weight">WORKSHEET_FINAL!$K$43</definedName>
    <definedName name="q_ES_int" comment="Vertical earth surcharge pressure due to abutment backfill weight (for internal stability)">WORKSHEET_FINAL!$K$44</definedName>
    <definedName name="q_LS" comment="Vertical live load surcharge pressure">WORKSHEET_FINAL!$K$33</definedName>
    <definedName name="q_LS_int" comment="Vertical live load surcharge for internal stability stress calculations (reduced pressure by distributing full length of reinforced zone)">WORKSHEET_FINAL!$K$34</definedName>
    <definedName name="Reinf_cont" comment="Is reinforcing continuous along wall">INPUT!$L$66</definedName>
    <definedName name="RF_CR" comment="Strength reduction factor for long term creep">INPUT!$L$83</definedName>
    <definedName name="RF_D" comment="Strength reduction factor for chemical or biological degradation">INPUT!$L$84</definedName>
    <definedName name="RF_ID" comment="Strength reduction factor for installation damage of geosynthetic reinforcement">INPUT!$L$82</definedName>
    <definedName name="rho" comment="Soil to reinforcement friction angle">INPUT!$L$68</definedName>
    <definedName name="rho_experimental" comment="Was the rho angle input above determined experimentally">INPUT!$L$69</definedName>
    <definedName name="S" comment="Equivalent soil height for retained fill atop reinforced soil mass, [AASHTO Fig. 11.10.6.2.1-2]">WORKSHEET_FINAL!$D$217</definedName>
    <definedName name="Segmental_Block" comment="Is the wall face made of segmental block?">INPUT!$L$67</definedName>
    <definedName name="Su" comment="Undrained shear strength of clay (sliding resistance)">INPUT!$L$36</definedName>
    <definedName name="Sv" comment="Vertical spacing of reinforcement (uniform spacing)">INPUT!$L$73</definedName>
    <definedName name="Sva" comment="Vertical spacing of reinforcing behind abutment ">INPUT!$L$98</definedName>
    <definedName name="theta">WORKSHEET_FINAL!$C$186</definedName>
    <definedName name="Tw" comment="Thickness of Wall">INPUT!$L$12</definedName>
    <definedName name="Type_of_Barrier" comment="Type of barrier used. If rigid, horizontal CT force is distributed to top row of reinforcement only while flexible is distributed to top two rows">INPUT!#REF!</definedName>
    <definedName name="Type_of_Geo" comment="Type of Geosynthetic:  Geogrid = d, Geotextile = t (only required for Geosynthetic)">INPUT!$L$62</definedName>
    <definedName name="Type_Reinf" comment="Type of Reinforcement: Steel Strip = s, Geosynthetic = g, Steel bar mat = m, Welded wire grid = w">INPUT!$L$60</definedName>
    <definedName name="Type_Steel_Strip" comment="Type of steel strips: smooth = s, ribbed = r (only required for steel strips)">INPUT!$L$61</definedName>
    <definedName name="V1_re" comment="Vertical load of reinforced earth">WORKSHEET_FINAL!$K$30</definedName>
    <definedName name="V2_fill" comment="Vertical load of slope fill">WORKSHEET_FINAL!$K$31</definedName>
    <definedName name="V3_wall" comment="Vertical load of wall">WORKSHEET_FINAL!$K$32</definedName>
    <definedName name="Wa" comment="Weight of active zone">WORKSHEET_FINAL!$K$62</definedName>
    <definedName name="wall_on_slope" comment="Variable for whether the wall is constructed on a slope (i.e. the ground in front of the wall is sloping).">INPUT!$L$38</definedName>
    <definedName name="x" comment="Portion of bf over reinforcing zone">WORKSHEET_FINAL!$K$21</definedName>
    <definedName name="Z_1" comment="Depth of layer 1 below top of wall ">INPUT!$L$72</definedName>
    <definedName name="Z_1a" comment="Depth of layer 1 below roadway pavement">INPUT!$L$97</definedName>
    <definedName name="Z_2_ext" comment="Depth where effective width bf intersects back of wall face, for Pv external load calculations [A3.11.6.3-1]">WORKSHEET_FINAL!$K$17</definedName>
    <definedName name="Z_2_Pv" comment="Depth where effective width bf intersects back of wall face, [A3.11.6.3-1], for distribution of Pv load">WORKSHEET_FINAL!$D$218</definedName>
    <definedName name="Z_2_qint" comment="Depth where effective width intersects back of wall face, [A3.11.6.3-1], for distribution of qint loads for internal stability loads">WORKSHEET_FINAL!$D$219</definedName>
    <definedName name="z_water" comment="Depth of water table below bottom of wall">INPUT!$L$43</definedName>
  </definedNames>
  <calcPr calcId="171027"/>
</workbook>
</file>

<file path=xl/calcChain.xml><?xml version="1.0" encoding="utf-8"?>
<calcChain xmlns="http://schemas.openxmlformats.org/spreadsheetml/2006/main">
  <c r="M37" i="1" l="1"/>
  <c r="M51" i="1" l="1"/>
  <c r="D217" i="2" l="1"/>
  <c r="C2" i="7" l="1"/>
  <c r="M24" i="1" l="1"/>
  <c r="M55" i="1" l="1"/>
  <c r="M54" i="1"/>
  <c r="M56" i="1"/>
  <c r="M57" i="1"/>
  <c r="M72" i="1"/>
  <c r="D107" i="9" l="1"/>
  <c r="V72" i="1"/>
  <c r="V103" i="1"/>
  <c r="M15" i="1"/>
  <c r="M16" i="1" l="1"/>
  <c r="M25" i="1"/>
  <c r="M13" i="1"/>
  <c r="D148" i="9" l="1"/>
  <c r="E148" i="9"/>
  <c r="F148" i="9"/>
  <c r="G148" i="9"/>
  <c r="H148" i="9"/>
  <c r="I148" i="9"/>
  <c r="C148" i="9"/>
  <c r="C205" i="2"/>
  <c r="D205" i="2"/>
  <c r="E205" i="2"/>
  <c r="F205" i="2"/>
  <c r="G205" i="2"/>
  <c r="H205" i="2"/>
  <c r="I205" i="2"/>
  <c r="J205" i="2"/>
  <c r="K205" i="2"/>
  <c r="M14" i="1"/>
  <c r="M17" i="1"/>
  <c r="M18" i="1"/>
  <c r="M19" i="1"/>
  <c r="M20" i="1"/>
  <c r="M21" i="1"/>
  <c r="M22" i="1"/>
  <c r="M23" i="1"/>
  <c r="M26" i="1"/>
  <c r="M28" i="1"/>
  <c r="M38" i="1"/>
  <c r="M39" i="1"/>
  <c r="M42" i="1"/>
  <c r="M43" i="1"/>
  <c r="M44" i="1"/>
  <c r="M52" i="1"/>
  <c r="M53" i="1"/>
  <c r="M60" i="1"/>
  <c r="M61" i="1"/>
  <c r="M62" i="1"/>
  <c r="M63" i="1"/>
  <c r="M64" i="1"/>
  <c r="M66" i="1"/>
  <c r="M67" i="1"/>
  <c r="M69" i="1"/>
  <c r="M71" i="1"/>
  <c r="M73" i="1"/>
  <c r="M82" i="1"/>
  <c r="M83" i="1"/>
  <c r="M84" i="1"/>
  <c r="M86" i="1"/>
  <c r="M96" i="1"/>
  <c r="M97" i="1"/>
  <c r="M98" i="1"/>
  <c r="AG102" i="1"/>
  <c r="AG71" i="1"/>
  <c r="V105" i="1"/>
  <c r="V104" i="1"/>
  <c r="Z99" i="1"/>
  <c r="AA99" i="1" s="1"/>
  <c r="AG103" i="1"/>
  <c r="AH103" i="1"/>
  <c r="AG104" i="1"/>
  <c r="AH104" i="1"/>
  <c r="AH105" i="1"/>
  <c r="AG106" i="1"/>
  <c r="AH106" i="1"/>
  <c r="AH102" i="1"/>
  <c r="AG72" i="1"/>
  <c r="AH72" i="1"/>
  <c r="AG73" i="1"/>
  <c r="AH73" i="1"/>
  <c r="AG74" i="1"/>
  <c r="AH74" i="1"/>
  <c r="AG75" i="1"/>
  <c r="AH75" i="1"/>
  <c r="AG76" i="1"/>
  <c r="AH76" i="1"/>
  <c r="AG77" i="1"/>
  <c r="AH77" i="1"/>
  <c r="AG78" i="1"/>
  <c r="AH78" i="1"/>
  <c r="AG79" i="1"/>
  <c r="AH79" i="1"/>
  <c r="AG80" i="1"/>
  <c r="AH80" i="1"/>
  <c r="AG81" i="1"/>
  <c r="AH81" i="1"/>
  <c r="AG82" i="1"/>
  <c r="AH82" i="1"/>
  <c r="AG83" i="1"/>
  <c r="AH83" i="1"/>
  <c r="AG84" i="1"/>
  <c r="AH84" i="1"/>
  <c r="AG85" i="1"/>
  <c r="AH85" i="1"/>
  <c r="AG86" i="1"/>
  <c r="AH86" i="1"/>
  <c r="AG87" i="1"/>
  <c r="AH87" i="1"/>
  <c r="AG88" i="1"/>
  <c r="AH88" i="1"/>
  <c r="AG89" i="1"/>
  <c r="AH89" i="1"/>
  <c r="AG90" i="1"/>
  <c r="AH90" i="1"/>
  <c r="AG91" i="1"/>
  <c r="AH91" i="1"/>
  <c r="AG92" i="1"/>
  <c r="AH92" i="1"/>
  <c r="AG93" i="1"/>
  <c r="AH93" i="1"/>
  <c r="AG94" i="1"/>
  <c r="AH94" i="1"/>
  <c r="AG95" i="1"/>
  <c r="AH95" i="1"/>
  <c r="AH71" i="1"/>
  <c r="Z68" i="1"/>
  <c r="Y68" i="1"/>
  <c r="Y99" i="1"/>
  <c r="AC104" i="1"/>
  <c r="AC105" i="1"/>
  <c r="AC106" i="1"/>
  <c r="AC103" i="1"/>
  <c r="AC102" i="1"/>
  <c r="AC73" i="1"/>
  <c r="AC74" i="1"/>
  <c r="AC75" i="1"/>
  <c r="AC76" i="1"/>
  <c r="AC77" i="1"/>
  <c r="AC78" i="1"/>
  <c r="AC79" i="1"/>
  <c r="AC80" i="1"/>
  <c r="AC81" i="1"/>
  <c r="AC82" i="1"/>
  <c r="AC83" i="1"/>
  <c r="AC84" i="1"/>
  <c r="AC85" i="1"/>
  <c r="AC86" i="1"/>
  <c r="AC87" i="1"/>
  <c r="AC88" i="1"/>
  <c r="AC89" i="1"/>
  <c r="AC90" i="1"/>
  <c r="AC91" i="1"/>
  <c r="AC92" i="1"/>
  <c r="AC93" i="1"/>
  <c r="AC94" i="1"/>
  <c r="AC95" i="1"/>
  <c r="AC72" i="1"/>
  <c r="AC71" i="1"/>
  <c r="V74" i="1"/>
  <c r="V75" i="1"/>
  <c r="V76" i="1"/>
  <c r="V77" i="1"/>
  <c r="V78" i="1"/>
  <c r="V79" i="1"/>
  <c r="V80" i="1"/>
  <c r="V81" i="1"/>
  <c r="V82" i="1"/>
  <c r="V83" i="1"/>
  <c r="V84" i="1"/>
  <c r="V85" i="1"/>
  <c r="V86" i="1"/>
  <c r="V87" i="1"/>
  <c r="V88" i="1"/>
  <c r="V89" i="1"/>
  <c r="V90" i="1"/>
  <c r="V91" i="1"/>
  <c r="V92" i="1"/>
  <c r="V93" i="1"/>
  <c r="V94" i="1"/>
  <c r="V95" i="1"/>
  <c r="V73" i="1"/>
  <c r="N74" i="1" l="1"/>
  <c r="V106" i="1"/>
  <c r="AG105" i="1"/>
  <c r="M99" i="1" s="1"/>
  <c r="Q173" i="1" l="1"/>
  <c r="Q175" i="1"/>
  <c r="R115" i="1"/>
  <c r="Q177" i="1"/>
  <c r="Q176" i="1"/>
  <c r="R118" i="1"/>
  <c r="R117" i="1"/>
  <c r="R116" i="1"/>
  <c r="R114" i="1"/>
  <c r="C608" i="2" l="1"/>
  <c r="C609" i="2"/>
  <c r="C610" i="2"/>
  <c r="C611" i="2"/>
  <c r="E611" i="2" s="1"/>
  <c r="C612" i="2"/>
  <c r="J612" i="2" s="1"/>
  <c r="C613" i="2"/>
  <c r="E613" i="2" s="1"/>
  <c r="C614" i="2"/>
  <c r="J614" i="2" s="1"/>
  <c r="C615" i="2"/>
  <c r="E615" i="2" s="1"/>
  <c r="C616" i="2"/>
  <c r="J616" i="2" s="1"/>
  <c r="F616" i="2" l="1"/>
  <c r="D614" i="2"/>
  <c r="F612" i="2"/>
  <c r="H616" i="2"/>
  <c r="E612" i="2"/>
  <c r="H612" i="2"/>
  <c r="E616" i="2"/>
  <c r="M614" i="2"/>
  <c r="L614" i="2"/>
  <c r="L610" i="2"/>
  <c r="K614" i="2"/>
  <c r="I614" i="2"/>
  <c r="O612" i="2"/>
  <c r="I610" i="2"/>
  <c r="N608" i="2"/>
  <c r="K616" i="2"/>
  <c r="O614" i="2"/>
  <c r="F614" i="2"/>
  <c r="K612" i="2"/>
  <c r="O610" i="2"/>
  <c r="E610" i="2"/>
  <c r="F610" i="2" s="1"/>
  <c r="H610" i="2" s="1"/>
  <c r="J610" i="2" s="1"/>
  <c r="I608" i="2"/>
  <c r="I616" i="2"/>
  <c r="N614" i="2"/>
  <c r="E614" i="2"/>
  <c r="I612" i="2"/>
  <c r="N610" i="2"/>
  <c r="D610" i="2"/>
  <c r="O616" i="2"/>
  <c r="H614" i="2"/>
  <c r="N612" i="2"/>
  <c r="G610" i="2"/>
  <c r="L608" i="2"/>
  <c r="K610" i="2"/>
  <c r="O608" i="2"/>
  <c r="N616" i="2"/>
  <c r="L616" i="2"/>
  <c r="P614" i="2"/>
  <c r="G614" i="2"/>
  <c r="L612" i="2"/>
  <c r="P610" i="2"/>
  <c r="K608" i="2"/>
  <c r="L615" i="2"/>
  <c r="L611" i="2"/>
  <c r="P616" i="2"/>
  <c r="G616" i="2"/>
  <c r="D615" i="2"/>
  <c r="P612" i="2"/>
  <c r="G612" i="2"/>
  <c r="D611" i="2"/>
  <c r="P608" i="2"/>
  <c r="G608" i="2"/>
  <c r="M616" i="2"/>
  <c r="D616" i="2"/>
  <c r="L613" i="2"/>
  <c r="M612" i="2"/>
  <c r="D612" i="2"/>
  <c r="L609" i="2"/>
  <c r="D613" i="2"/>
  <c r="K615" i="2"/>
  <c r="J613" i="2"/>
  <c r="I615" i="2"/>
  <c r="P613" i="2"/>
  <c r="P611" i="2"/>
  <c r="O615" i="2"/>
  <c r="G615" i="2"/>
  <c r="O613" i="2"/>
  <c r="G613" i="2"/>
  <c r="O611" i="2"/>
  <c r="G611" i="2"/>
  <c r="O609" i="2"/>
  <c r="G609" i="2"/>
  <c r="K613" i="2"/>
  <c r="K611" i="2"/>
  <c r="K609" i="2"/>
  <c r="J615" i="2"/>
  <c r="J611" i="2"/>
  <c r="I611" i="2"/>
  <c r="I609" i="2"/>
  <c r="N615" i="2"/>
  <c r="F615" i="2"/>
  <c r="N613" i="2"/>
  <c r="F613" i="2"/>
  <c r="N611" i="2"/>
  <c r="F611" i="2"/>
  <c r="N609" i="2"/>
  <c r="I613" i="2"/>
  <c r="P615" i="2"/>
  <c r="H615" i="2"/>
  <c r="H613" i="2"/>
  <c r="H611" i="2"/>
  <c r="P609" i="2"/>
  <c r="M615" i="2"/>
  <c r="M613" i="2"/>
  <c r="M611" i="2"/>
  <c r="M610" i="2" l="1"/>
  <c r="Q29" i="1"/>
  <c r="N17" i="9" s="1"/>
  <c r="P27" i="2" l="1"/>
  <c r="Q174" i="1"/>
  <c r="D218" i="2" l="1"/>
  <c r="D161" i="9" s="1"/>
  <c r="AX429" i="2" l="1"/>
  <c r="AX430" i="2"/>
  <c r="AX431" i="2"/>
  <c r="BK431" i="2" s="1"/>
  <c r="AX432" i="2"/>
  <c r="BK432" i="2" s="1"/>
  <c r="AX433" i="2"/>
  <c r="BK433" i="2" s="1"/>
  <c r="AX434" i="2"/>
  <c r="BB434" i="2" s="1"/>
  <c r="AX435" i="2"/>
  <c r="BG435" i="2" s="1"/>
  <c r="AX436" i="2"/>
  <c r="AX437" i="2"/>
  <c r="AX438" i="2"/>
  <c r="AX439" i="2"/>
  <c r="AX440" i="2"/>
  <c r="BK440" i="2" s="1"/>
  <c r="AX441" i="2"/>
  <c r="BK441" i="2" s="1"/>
  <c r="AX442" i="2"/>
  <c r="AX443" i="2"/>
  <c r="AX444" i="2"/>
  <c r="BG444" i="2" s="1"/>
  <c r="AX445" i="2"/>
  <c r="AX446" i="2"/>
  <c r="AX447" i="2"/>
  <c r="AX448" i="2"/>
  <c r="BK448" i="2" s="1"/>
  <c r="AX449" i="2"/>
  <c r="BK449" i="2" s="1"/>
  <c r="AX450" i="2"/>
  <c r="BB450" i="2" s="1"/>
  <c r="AX451" i="2"/>
  <c r="BG451" i="2" s="1"/>
  <c r="AX452" i="2"/>
  <c r="AX453" i="2"/>
  <c r="AX454" i="2"/>
  <c r="AX455" i="2"/>
  <c r="BK455" i="2" s="1"/>
  <c r="AX456" i="2"/>
  <c r="BK456" i="2" s="1"/>
  <c r="AX457" i="2"/>
  <c r="AZ457" i="2" s="1"/>
  <c r="AX458" i="2"/>
  <c r="AZ458" i="2" s="1"/>
  <c r="AX459" i="2"/>
  <c r="AX460" i="2"/>
  <c r="AX461" i="2"/>
  <c r="AX462" i="2"/>
  <c r="AX463" i="2"/>
  <c r="AX464" i="2"/>
  <c r="BB464" i="2" s="1"/>
  <c r="BD464" i="2" s="1"/>
  <c r="AX465" i="2"/>
  <c r="AZ465" i="2" s="1"/>
  <c r="AX466" i="2"/>
  <c r="BB466" i="2" s="1"/>
  <c r="BD466" i="2" s="1"/>
  <c r="AX467" i="2"/>
  <c r="AZ467" i="2" s="1"/>
  <c r="AX468" i="2"/>
  <c r="BB468" i="2" s="1"/>
  <c r="BD468" i="2" s="1"/>
  <c r="AX469" i="2"/>
  <c r="AX470" i="2"/>
  <c r="AX471" i="2"/>
  <c r="AX472" i="2"/>
  <c r="AX473" i="2"/>
  <c r="AZ473" i="2" s="1"/>
  <c r="AX474" i="2"/>
  <c r="BG474" i="2" s="1"/>
  <c r="BI474" i="2" s="1"/>
  <c r="AX475" i="2"/>
  <c r="AX476" i="2"/>
  <c r="AX477" i="2"/>
  <c r="AX428" i="2"/>
  <c r="BB456" i="2" l="1"/>
  <c r="AZ463" i="2"/>
  <c r="BB463" i="2"/>
  <c r="BD463" i="2" s="1"/>
  <c r="BG455" i="2"/>
  <c r="BB455" i="2"/>
  <c r="BG463" i="2"/>
  <c r="BI463" i="2" s="1"/>
  <c r="AZ475" i="2"/>
  <c r="BK475" i="2"/>
  <c r="BM475" i="2" s="1"/>
  <c r="AZ459" i="2"/>
  <c r="BK459" i="2"/>
  <c r="BM459" i="2" s="1"/>
  <c r="BG443" i="2"/>
  <c r="BK443" i="2"/>
  <c r="AZ471" i="2"/>
  <c r="BG471" i="2"/>
  <c r="BI471" i="2" s="1"/>
  <c r="BK447" i="2"/>
  <c r="BB447" i="2"/>
  <c r="BK439" i="2"/>
  <c r="BG439" i="2"/>
  <c r="BK472" i="2"/>
  <c r="BM472" i="2" s="1"/>
  <c r="AZ472" i="2"/>
  <c r="BG472" i="2"/>
  <c r="BI472" i="2" s="1"/>
  <c r="BG464" i="2"/>
  <c r="BI464" i="2" s="1"/>
  <c r="AZ466" i="2"/>
  <c r="AZ476" i="2"/>
  <c r="BB476" i="2"/>
  <c r="BD476" i="2" s="1"/>
  <c r="BG460" i="2"/>
  <c r="BI460" i="2" s="1"/>
  <c r="BB460" i="2"/>
  <c r="BD460" i="2" s="1"/>
  <c r="AZ460" i="2"/>
  <c r="BK452" i="2"/>
  <c r="BB452" i="2"/>
  <c r="BG436" i="2"/>
  <c r="BK436" i="2"/>
  <c r="BK460" i="2"/>
  <c r="BM460" i="2" s="1"/>
  <c r="BB444" i="2"/>
  <c r="BK444" i="2"/>
  <c r="BG452" i="2"/>
  <c r="BG476" i="2"/>
  <c r="BI476" i="2" s="1"/>
  <c r="AZ468" i="2"/>
  <c r="BG468" i="2"/>
  <c r="BI468" i="2" s="1"/>
  <c r="BK468" i="2"/>
  <c r="BM468" i="2" s="1"/>
  <c r="BB436" i="2"/>
  <c r="BK476" i="2"/>
  <c r="BM476" i="2" s="1"/>
  <c r="BB440" i="2"/>
  <c r="BG448" i="2"/>
  <c r="BB439" i="2"/>
  <c r="BG447" i="2"/>
  <c r="BK467" i="2"/>
  <c r="BM467" i="2" s="1"/>
  <c r="BK435" i="2"/>
  <c r="BB472" i="2"/>
  <c r="BD472" i="2" s="1"/>
  <c r="BB432" i="2"/>
  <c r="BB471" i="2"/>
  <c r="BD471" i="2" s="1"/>
  <c r="BB431" i="2"/>
  <c r="BG456" i="2"/>
  <c r="BG431" i="2"/>
  <c r="BK451" i="2"/>
  <c r="BG428" i="2"/>
  <c r="BB428" i="2"/>
  <c r="BK428" i="2"/>
  <c r="AZ470" i="2"/>
  <c r="BG470" i="2"/>
  <c r="BI470" i="2" s="1"/>
  <c r="BB470" i="2"/>
  <c r="BD470" i="2" s="1"/>
  <c r="BK470" i="2"/>
  <c r="BM470" i="2" s="1"/>
  <c r="AZ462" i="2"/>
  <c r="BG462" i="2"/>
  <c r="BI462" i="2" s="1"/>
  <c r="BB462" i="2"/>
  <c r="BD462" i="2" s="1"/>
  <c r="BK462" i="2"/>
  <c r="BM462" i="2" s="1"/>
  <c r="BG454" i="2"/>
  <c r="BB454" i="2"/>
  <c r="BK454" i="2"/>
  <c r="BG446" i="2"/>
  <c r="BB446" i="2"/>
  <c r="BK446" i="2"/>
  <c r="BG438" i="2"/>
  <c r="BB438" i="2"/>
  <c r="BK438" i="2"/>
  <c r="BG430" i="2"/>
  <c r="BB430" i="2"/>
  <c r="BK430" i="2"/>
  <c r="AZ477" i="2"/>
  <c r="BG477" i="2"/>
  <c r="BI477" i="2" s="1"/>
  <c r="BB477" i="2"/>
  <c r="BD477" i="2" s="1"/>
  <c r="BK477" i="2"/>
  <c r="BM477" i="2" s="1"/>
  <c r="AZ469" i="2"/>
  <c r="BG469" i="2"/>
  <c r="BI469" i="2" s="1"/>
  <c r="BB469" i="2"/>
  <c r="BD469" i="2" s="1"/>
  <c r="BK469" i="2"/>
  <c r="BM469" i="2" s="1"/>
  <c r="AZ461" i="2"/>
  <c r="BG461" i="2"/>
  <c r="BI461" i="2" s="1"/>
  <c r="BB461" i="2"/>
  <c r="BD461" i="2" s="1"/>
  <c r="BK461" i="2"/>
  <c r="BM461" i="2" s="1"/>
  <c r="BG453" i="2"/>
  <c r="BB453" i="2"/>
  <c r="BK453" i="2"/>
  <c r="BG445" i="2"/>
  <c r="BB445" i="2"/>
  <c r="BK445" i="2"/>
  <c r="BG437" i="2"/>
  <c r="BB437" i="2"/>
  <c r="BK437" i="2"/>
  <c r="BG429" i="2"/>
  <c r="BB429" i="2"/>
  <c r="BK429" i="2"/>
  <c r="BG432" i="2"/>
  <c r="AZ474" i="2"/>
  <c r="BK474" i="2"/>
  <c r="BM474" i="2" s="1"/>
  <c r="BK466" i="2"/>
  <c r="BM466" i="2" s="1"/>
  <c r="BG466" i="2"/>
  <c r="BI466" i="2" s="1"/>
  <c r="BK458" i="2"/>
  <c r="BM458" i="2" s="1"/>
  <c r="BG458" i="2"/>
  <c r="BI458" i="2" s="1"/>
  <c r="BK450" i="2"/>
  <c r="BG450" i="2"/>
  <c r="BK442" i="2"/>
  <c r="BG442" i="2"/>
  <c r="BK434" i="2"/>
  <c r="BG434" i="2"/>
  <c r="BB448" i="2"/>
  <c r="AZ464" i="2"/>
  <c r="BK464" i="2"/>
  <c r="BM464" i="2" s="1"/>
  <c r="BG440" i="2"/>
  <c r="BB474" i="2"/>
  <c r="BD474" i="2" s="1"/>
  <c r="BB458" i="2"/>
  <c r="BD458" i="2" s="1"/>
  <c r="BB442" i="2"/>
  <c r="BB475" i="2"/>
  <c r="BD475" i="2" s="1"/>
  <c r="BB467" i="2"/>
  <c r="BD467" i="2" s="1"/>
  <c r="BB459" i="2"/>
  <c r="BD459" i="2" s="1"/>
  <c r="BB451" i="2"/>
  <c r="BB443" i="2"/>
  <c r="BB435" i="2"/>
  <c r="BG475" i="2"/>
  <c r="BI475" i="2" s="1"/>
  <c r="BG467" i="2"/>
  <c r="BI467" i="2" s="1"/>
  <c r="BG459" i="2"/>
  <c r="BI459" i="2" s="1"/>
  <c r="BK471" i="2"/>
  <c r="BM471" i="2" s="1"/>
  <c r="BK463" i="2"/>
  <c r="BM463" i="2" s="1"/>
  <c r="BB473" i="2"/>
  <c r="BD473" i="2" s="1"/>
  <c r="BB465" i="2"/>
  <c r="BD465" i="2" s="1"/>
  <c r="BB457" i="2"/>
  <c r="BD457" i="2" s="1"/>
  <c r="BB449" i="2"/>
  <c r="BB441" i="2"/>
  <c r="BB433" i="2"/>
  <c r="BG473" i="2"/>
  <c r="BI473" i="2" s="1"/>
  <c r="BG465" i="2"/>
  <c r="BI465" i="2" s="1"/>
  <c r="BG457" i="2"/>
  <c r="BI457" i="2" s="1"/>
  <c r="BG449" i="2"/>
  <c r="BG441" i="2"/>
  <c r="BG433" i="2"/>
  <c r="BK473" i="2"/>
  <c r="BM473" i="2" s="1"/>
  <c r="BK465" i="2"/>
  <c r="BM465" i="2" s="1"/>
  <c r="BK457" i="2"/>
  <c r="BM457" i="2" s="1"/>
  <c r="K47" i="2" l="1"/>
  <c r="I25" i="9" s="1"/>
  <c r="K19" i="2"/>
  <c r="K18" i="2"/>
  <c r="C423" i="9" l="1"/>
  <c r="D160" i="9"/>
  <c r="D159" i="9"/>
  <c r="C186" i="2"/>
  <c r="C129" i="9"/>
  <c r="J24" i="9" l="1"/>
  <c r="C75" i="9" s="1"/>
  <c r="I19" i="9"/>
  <c r="H51" i="9" s="1"/>
  <c r="J18" i="9"/>
  <c r="C74" i="9" s="1"/>
  <c r="J21" i="9"/>
  <c r="C76" i="9" s="1"/>
  <c r="J23" i="9"/>
  <c r="H12" i="9"/>
  <c r="I12" i="9" s="1"/>
  <c r="J30" i="9" s="1"/>
  <c r="C84" i="9" s="1"/>
  <c r="H11" i="9"/>
  <c r="H9" i="9"/>
  <c r="I9" i="9" s="1"/>
  <c r="L17" i="9" s="1"/>
  <c r="I14" i="9"/>
  <c r="D362" i="9"/>
  <c r="F355" i="9"/>
  <c r="I354" i="9"/>
  <c r="F354" i="9"/>
  <c r="F353" i="9"/>
  <c r="I352" i="9"/>
  <c r="F352" i="9"/>
  <c r="B232" i="9"/>
  <c r="D173" i="9"/>
  <c r="D168" i="9"/>
  <c r="D169" i="9" s="1"/>
  <c r="D170" i="9" s="1"/>
  <c r="F170" i="9" s="1"/>
  <c r="F166" i="9"/>
  <c r="F165" i="9"/>
  <c r="F164" i="9"/>
  <c r="C126" i="9"/>
  <c r="D106" i="9"/>
  <c r="I28" i="9"/>
  <c r="C421" i="9" s="1"/>
  <c r="J19" i="9"/>
  <c r="C73" i="9" s="1"/>
  <c r="I15" i="9"/>
  <c r="H13" i="9"/>
  <c r="I13" i="9" s="1"/>
  <c r="B3" i="9"/>
  <c r="L2" i="9"/>
  <c r="J2" i="9"/>
  <c r="B2" i="9"/>
  <c r="L1" i="9"/>
  <c r="J1" i="9"/>
  <c r="B1" i="9"/>
  <c r="I20" i="9"/>
  <c r="H21" i="9" s="1"/>
  <c r="I21" i="9" s="1"/>
  <c r="F54" i="9" s="1"/>
  <c r="K17" i="2"/>
  <c r="P17" i="9" l="1"/>
  <c r="M17" i="9"/>
  <c r="I23" i="9"/>
  <c r="H24" i="9" s="1"/>
  <c r="I24" i="9" s="1"/>
  <c r="D53" i="9" s="1"/>
  <c r="E75" i="9" s="1"/>
  <c r="G76" i="9"/>
  <c r="I73" i="9"/>
  <c r="I30" i="9"/>
  <c r="C63" i="9" s="1"/>
  <c r="D84" i="9" s="1"/>
  <c r="I51" i="9"/>
  <c r="J73" i="9" s="1"/>
  <c r="C51" i="9"/>
  <c r="D73" i="9" s="1"/>
  <c r="G51" i="9"/>
  <c r="H73" i="9" s="1"/>
  <c r="E54" i="9"/>
  <c r="F76" i="9" s="1"/>
  <c r="F51" i="9"/>
  <c r="E51" i="9"/>
  <c r="D51" i="9"/>
  <c r="E73" i="9" s="1"/>
  <c r="D54" i="9"/>
  <c r="H54" i="9"/>
  <c r="I76" i="9" s="1"/>
  <c r="I54" i="9"/>
  <c r="J76" i="9" s="1"/>
  <c r="G54" i="9"/>
  <c r="H76" i="9" s="1"/>
  <c r="C54" i="9"/>
  <c r="D76" i="9" s="1"/>
  <c r="J29" i="9"/>
  <c r="C83" i="9" s="1"/>
  <c r="I11" i="9"/>
  <c r="I17" i="9" s="1"/>
  <c r="Q169" i="1"/>
  <c r="J165" i="1"/>
  <c r="Q183" i="1"/>
  <c r="R123" i="1"/>
  <c r="Q182" i="1"/>
  <c r="Q181" i="1"/>
  <c r="Q180" i="1"/>
  <c r="Q179" i="1"/>
  <c r="Q178" i="1"/>
  <c r="Q172" i="1"/>
  <c r="Q171" i="1"/>
  <c r="Q170" i="1"/>
  <c r="R125" i="1"/>
  <c r="R124" i="1"/>
  <c r="R122" i="1"/>
  <c r="R121" i="1"/>
  <c r="R120" i="1"/>
  <c r="R119" i="1"/>
  <c r="R113" i="1"/>
  <c r="R112" i="1"/>
  <c r="R111" i="1"/>
  <c r="Q185" i="1" l="1"/>
  <c r="F53" i="9"/>
  <c r="G75" i="9" s="1"/>
  <c r="H53" i="9"/>
  <c r="I75" i="9" s="1"/>
  <c r="C53" i="9"/>
  <c r="D75" i="9" s="1"/>
  <c r="I53" i="9"/>
  <c r="J75" i="9" s="1"/>
  <c r="E53" i="9"/>
  <c r="F75" i="9" s="1"/>
  <c r="G53" i="9"/>
  <c r="H75" i="9" s="1"/>
  <c r="H63" i="9"/>
  <c r="I84" i="9" s="1"/>
  <c r="F63" i="9"/>
  <c r="G84" i="9" s="1"/>
  <c r="I63" i="9"/>
  <c r="J84" i="9" s="1"/>
  <c r="F73" i="9"/>
  <c r="E63" i="9"/>
  <c r="F84" i="9" s="1"/>
  <c r="G73" i="9"/>
  <c r="G63" i="9"/>
  <c r="H84" i="9" s="1"/>
  <c r="E76" i="9"/>
  <c r="D63" i="9"/>
  <c r="E84" i="9" s="1"/>
  <c r="D60" i="9"/>
  <c r="I60" i="9"/>
  <c r="E60" i="9"/>
  <c r="H60" i="9"/>
  <c r="F60" i="9"/>
  <c r="G60" i="9"/>
  <c r="C60" i="9"/>
  <c r="J17" i="9"/>
  <c r="C81" i="9" s="1"/>
  <c r="J22" i="9"/>
  <c r="C82" i="9" s="1"/>
  <c r="H22" i="9"/>
  <c r="I22" i="9" s="1"/>
  <c r="E81" i="9" l="1"/>
  <c r="I81" i="9"/>
  <c r="F81" i="9"/>
  <c r="G81" i="9"/>
  <c r="H81" i="9"/>
  <c r="D81" i="9"/>
  <c r="J81" i="9"/>
  <c r="F61" i="9"/>
  <c r="G61" i="9"/>
  <c r="I61" i="9"/>
  <c r="H61" i="9"/>
  <c r="I82" i="9" s="1"/>
  <c r="C61" i="9"/>
  <c r="D61" i="9"/>
  <c r="E61" i="9"/>
  <c r="AM631" i="2"/>
  <c r="AO631" i="2" s="1"/>
  <c r="AM630" i="2"/>
  <c r="AO630" i="2" s="1"/>
  <c r="AM629" i="2"/>
  <c r="AO629" i="2" s="1"/>
  <c r="AM627" i="2"/>
  <c r="AM626" i="2"/>
  <c r="AI633" i="2"/>
  <c r="AM633" i="2"/>
  <c r="AM625" i="2"/>
  <c r="AM632" i="2"/>
  <c r="AO632" i="2" s="1"/>
  <c r="AM628" i="2"/>
  <c r="AE633" i="2"/>
  <c r="AG633" i="2" s="1"/>
  <c r="AE631" i="2" l="1"/>
  <c r="AG631" i="2" s="1"/>
  <c r="AE630" i="2"/>
  <c r="AG630" i="2" s="1"/>
  <c r="AI631" i="2"/>
  <c r="AI626" i="2"/>
  <c r="AI627" i="2"/>
  <c r="AE632" i="2"/>
  <c r="AG632" i="2" s="1"/>
  <c r="AI629" i="2"/>
  <c r="AE629" i="2"/>
  <c r="AG629" i="2" s="1"/>
  <c r="AI632" i="2"/>
  <c r="AI628" i="2"/>
  <c r="AI630" i="2"/>
  <c r="H82" i="9"/>
  <c r="G82" i="9"/>
  <c r="F82" i="9"/>
  <c r="E82" i="9"/>
  <c r="J82" i="9"/>
  <c r="D82" i="9"/>
  <c r="C484" i="2"/>
  <c r="D164" i="2"/>
  <c r="AI625" i="2" l="1"/>
  <c r="C183" i="2"/>
  <c r="D163" i="2"/>
  <c r="C182" i="2" l="1"/>
  <c r="M41" i="1" s="1"/>
  <c r="C125" i="9"/>
  <c r="C124" i="9"/>
  <c r="C181" i="2"/>
  <c r="N58" i="2"/>
  <c r="L61" i="2"/>
  <c r="M40" i="1" l="1"/>
  <c r="J16" i="2"/>
  <c r="I16" i="2"/>
  <c r="H16" i="2"/>
  <c r="K43" i="2"/>
  <c r="H45" i="2" l="1"/>
  <c r="J45" i="2"/>
  <c r="K16" i="2"/>
  <c r="K45" i="2" l="1"/>
  <c r="K50" i="2"/>
  <c r="D93" i="2" l="1"/>
  <c r="J93" i="2"/>
  <c r="I93" i="2"/>
  <c r="G93" i="2"/>
  <c r="E93" i="2"/>
  <c r="K93" i="2"/>
  <c r="H93" i="2"/>
  <c r="C93" i="2"/>
  <c r="F93" i="2"/>
  <c r="G103" i="2"/>
  <c r="J103" i="2"/>
  <c r="K103" i="2"/>
  <c r="C103" i="2"/>
  <c r="H103" i="2"/>
  <c r="F103" i="2"/>
  <c r="I103" i="2"/>
  <c r="D103" i="2"/>
  <c r="E103" i="2"/>
  <c r="L40" i="2"/>
  <c r="H29" i="2"/>
  <c r="K38" i="2" l="1"/>
  <c r="K21" i="2"/>
  <c r="K22" i="2" l="1"/>
  <c r="K23" i="2" s="1"/>
  <c r="K53" i="2" s="1"/>
  <c r="D219" i="2"/>
  <c r="K44" i="2"/>
  <c r="H40" i="2"/>
  <c r="J40" i="2"/>
  <c r="K39" i="2"/>
  <c r="L48" i="2" l="1"/>
  <c r="K52" i="2"/>
  <c r="K51" i="2"/>
  <c r="K48" i="2"/>
  <c r="K40" i="2"/>
  <c r="O31" i="2"/>
  <c r="N31" i="2"/>
  <c r="F417" i="2"/>
  <c r="H91" i="2" l="1"/>
  <c r="I91" i="2"/>
  <c r="K91" i="2"/>
  <c r="D91" i="2"/>
  <c r="J91" i="2"/>
  <c r="C91" i="2"/>
  <c r="E91" i="2"/>
  <c r="F91" i="2"/>
  <c r="G91" i="2"/>
  <c r="C92" i="2"/>
  <c r="J92" i="2"/>
  <c r="E92" i="2"/>
  <c r="G92" i="2"/>
  <c r="I92" i="2"/>
  <c r="K92" i="2"/>
  <c r="D92" i="2"/>
  <c r="F92" i="2"/>
  <c r="H92" i="2"/>
  <c r="D424" i="2"/>
  <c r="I416" i="2"/>
  <c r="I414" i="2"/>
  <c r="F415" i="2"/>
  <c r="F414" i="2"/>
  <c r="B290" i="2" l="1"/>
  <c r="L45" i="2" l="1"/>
  <c r="L43" i="2"/>
  <c r="H58" i="2" l="1"/>
  <c r="L29" i="2" l="1"/>
  <c r="J15" i="2" l="1"/>
  <c r="I15" i="2"/>
  <c r="H15" i="2"/>
  <c r="L35" i="2" l="1"/>
  <c r="I14" i="2" l="1"/>
  <c r="I13" i="2"/>
  <c r="H13" i="2"/>
  <c r="I11" i="2"/>
  <c r="H12" i="2"/>
  <c r="H20" i="2" s="1"/>
  <c r="I12" i="2"/>
  <c r="I31" i="2" s="1"/>
  <c r="J11" i="2"/>
  <c r="H9" i="2"/>
  <c r="F109" i="2" l="1"/>
  <c r="H109" i="2"/>
  <c r="E109" i="2"/>
  <c r="G109" i="2"/>
  <c r="K109" i="2"/>
  <c r="D109" i="2"/>
  <c r="J109" i="2"/>
  <c r="I109" i="2"/>
  <c r="H41" i="2"/>
  <c r="J42" i="2"/>
  <c r="H42" i="2"/>
  <c r="I20" i="2"/>
  <c r="J12" i="2"/>
  <c r="K42" i="2" l="1"/>
  <c r="J31" i="2"/>
  <c r="L31" i="2" s="1"/>
  <c r="J20" i="2"/>
  <c r="J14" i="2"/>
  <c r="J13" i="2"/>
  <c r="O58" i="2" s="1"/>
  <c r="D226" i="2"/>
  <c r="D227" i="2" s="1"/>
  <c r="D228" i="2" s="1"/>
  <c r="D231" i="2"/>
  <c r="I18" i="9" l="1"/>
  <c r="I29" i="9"/>
  <c r="F62" i="9" l="1"/>
  <c r="G62" i="9"/>
  <c r="H62" i="9"/>
  <c r="D62" i="9"/>
  <c r="I62" i="9"/>
  <c r="C62" i="9"/>
  <c r="E62" i="9"/>
  <c r="D52" i="9"/>
  <c r="I52" i="9"/>
  <c r="G52" i="9"/>
  <c r="F52" i="9"/>
  <c r="E52" i="9"/>
  <c r="H52" i="9"/>
  <c r="C52" i="9"/>
  <c r="F83" i="9" l="1"/>
  <c r="F85" i="9" s="1"/>
  <c r="E64" i="9"/>
  <c r="E115" i="9" s="1"/>
  <c r="E74" i="9"/>
  <c r="D55" i="9"/>
  <c r="D135" i="9" s="1"/>
  <c r="D56" i="9"/>
  <c r="D74" i="9"/>
  <c r="C56" i="9"/>
  <c r="C92" i="9" s="1"/>
  <c r="C55" i="9"/>
  <c r="J83" i="9"/>
  <c r="J85" i="9" s="1"/>
  <c r="I64" i="9"/>
  <c r="I115" i="9" s="1"/>
  <c r="F74" i="9"/>
  <c r="E55" i="9"/>
  <c r="E135" i="9" s="1"/>
  <c r="E56" i="9"/>
  <c r="H74" i="9"/>
  <c r="G56" i="9"/>
  <c r="G55" i="9"/>
  <c r="G135" i="9" s="1"/>
  <c r="H83" i="9"/>
  <c r="H85" i="9" s="1"/>
  <c r="G64" i="9"/>
  <c r="G115" i="9" s="1"/>
  <c r="D83" i="9"/>
  <c r="C64" i="9"/>
  <c r="C115" i="9" s="1"/>
  <c r="I74" i="9"/>
  <c r="H56" i="9"/>
  <c r="H55" i="9"/>
  <c r="H135" i="9" s="1"/>
  <c r="E83" i="9"/>
  <c r="E85" i="9" s="1"/>
  <c r="D64" i="9"/>
  <c r="D115" i="9" s="1"/>
  <c r="G74" i="9"/>
  <c r="F55" i="9"/>
  <c r="F135" i="9" s="1"/>
  <c r="F56" i="9"/>
  <c r="I83" i="9"/>
  <c r="I85" i="9" s="1"/>
  <c r="H64" i="9"/>
  <c r="H115" i="9" s="1"/>
  <c r="J74" i="9"/>
  <c r="I55" i="9"/>
  <c r="I135" i="9" s="1"/>
  <c r="I56" i="9"/>
  <c r="G83" i="9"/>
  <c r="G85" i="9" s="1"/>
  <c r="F64" i="9"/>
  <c r="F115" i="9" s="1"/>
  <c r="Y102" i="1"/>
  <c r="Z103" i="1"/>
  <c r="Z104" i="1" s="1"/>
  <c r="Z105" i="1" s="1"/>
  <c r="Z106" i="1" s="1"/>
  <c r="W103" i="1"/>
  <c r="W104" i="1" s="1"/>
  <c r="W105" i="1" s="1"/>
  <c r="W106" i="1" s="1"/>
  <c r="AB102" i="1"/>
  <c r="AB103" i="1" s="1"/>
  <c r="AB104" i="1" s="1"/>
  <c r="AB105" i="1" s="1"/>
  <c r="AB106" i="1" s="1"/>
  <c r="Y103" i="1" l="1"/>
  <c r="Y104" i="1" s="1"/>
  <c r="Y105" i="1" s="1"/>
  <c r="Y106" i="1" s="1"/>
  <c r="X102" i="1"/>
  <c r="B169" i="1"/>
  <c r="H92" i="9"/>
  <c r="H111" i="9"/>
  <c r="D111" i="9"/>
  <c r="D92" i="9"/>
  <c r="E111" i="9"/>
  <c r="E92" i="9"/>
  <c r="G92" i="9"/>
  <c r="G111" i="9"/>
  <c r="F111" i="9"/>
  <c r="F92" i="9"/>
  <c r="I92" i="9"/>
  <c r="I111" i="9"/>
  <c r="K32" i="2"/>
  <c r="C87" i="2" s="1"/>
  <c r="A607" i="2" l="1"/>
  <c r="C169" i="1"/>
  <c r="B607" i="2"/>
  <c r="B624" i="2" s="1"/>
  <c r="B641" i="2" s="1"/>
  <c r="W107" i="1"/>
  <c r="A624" i="2"/>
  <c r="D87" i="2"/>
  <c r="E87" i="2"/>
  <c r="F87" i="2"/>
  <c r="G87" i="2"/>
  <c r="K87" i="2"/>
  <c r="H87" i="2"/>
  <c r="I87" i="2"/>
  <c r="J87" i="2"/>
  <c r="J107" i="1"/>
  <c r="B665" i="2" l="1"/>
  <c r="N624" i="2"/>
  <c r="G624" i="2"/>
  <c r="A641" i="2"/>
  <c r="D624" i="2"/>
  <c r="Y71" i="1"/>
  <c r="X71" i="1" s="1"/>
  <c r="A665" i="2" l="1"/>
  <c r="F665" i="2" s="1"/>
  <c r="G641" i="2"/>
  <c r="H641" i="2"/>
  <c r="W96" i="1"/>
  <c r="Y72" i="1"/>
  <c r="Y73" i="1" s="1"/>
  <c r="Y74" i="1" s="1"/>
  <c r="Y75" i="1" s="1"/>
  <c r="Y76" i="1" s="1"/>
  <c r="Y77" i="1" s="1"/>
  <c r="Y78" i="1" s="1"/>
  <c r="Y79" i="1" s="1"/>
  <c r="Y80" i="1" s="1"/>
  <c r="Y81" i="1" s="1"/>
  <c r="Y82" i="1" s="1"/>
  <c r="Y83" i="1" s="1"/>
  <c r="Y84" i="1" s="1"/>
  <c r="Y85" i="1" s="1"/>
  <c r="Y86" i="1" s="1"/>
  <c r="Y87" i="1" s="1"/>
  <c r="Y88" i="1" s="1"/>
  <c r="Y89" i="1" s="1"/>
  <c r="Y90" i="1" s="1"/>
  <c r="Y91" i="1" s="1"/>
  <c r="Y92" i="1" s="1"/>
  <c r="Y93" i="1" s="1"/>
  <c r="Y94" i="1" s="1"/>
  <c r="Y95" i="1" s="1"/>
  <c r="B111" i="1"/>
  <c r="A178" i="9" s="1"/>
  <c r="P178" i="9" s="1"/>
  <c r="AA68" i="1"/>
  <c r="K56" i="2"/>
  <c r="K30" i="2"/>
  <c r="C88" i="2" s="1"/>
  <c r="K33" i="2"/>
  <c r="F624" i="2" s="1"/>
  <c r="D216" i="2"/>
  <c r="K25" i="2"/>
  <c r="L32" i="2"/>
  <c r="L30" i="2"/>
  <c r="K24" i="2"/>
  <c r="C128" i="9" s="1"/>
  <c r="K20" i="2"/>
  <c r="L57" i="2"/>
  <c r="H14" i="2"/>
  <c r="K152" i="2" l="1"/>
  <c r="C152" i="2"/>
  <c r="I152" i="2"/>
  <c r="F152" i="2"/>
  <c r="D152" i="2"/>
  <c r="H152" i="2"/>
  <c r="G152" i="2"/>
  <c r="E152" i="2"/>
  <c r="J152" i="2"/>
  <c r="I178" i="9"/>
  <c r="R178" i="9" s="1"/>
  <c r="L295" i="9" s="1"/>
  <c r="BL298" i="2" s="1"/>
  <c r="B178" i="9"/>
  <c r="B238" i="9" s="1"/>
  <c r="B367" i="9" s="1"/>
  <c r="C367" i="9" s="1"/>
  <c r="G178" i="9"/>
  <c r="C178" i="9"/>
  <c r="D178" i="9" s="1"/>
  <c r="K178" i="9"/>
  <c r="N178" i="9" s="1"/>
  <c r="O178" i="9" s="1"/>
  <c r="E178" i="9"/>
  <c r="A238" i="9"/>
  <c r="N665" i="2"/>
  <c r="C482" i="2"/>
  <c r="C95" i="9"/>
  <c r="D95" i="9"/>
  <c r="H95" i="9"/>
  <c r="E95" i="9"/>
  <c r="F95" i="9"/>
  <c r="G95" i="9"/>
  <c r="C131" i="9"/>
  <c r="I95" i="9"/>
  <c r="C127" i="9"/>
  <c r="H31" i="9"/>
  <c r="Q178" i="9"/>
  <c r="C656" i="2"/>
  <c r="H62" i="2"/>
  <c r="I62" i="2" s="1"/>
  <c r="I63" i="2" s="1"/>
  <c r="C641" i="2"/>
  <c r="D641" i="2" s="1"/>
  <c r="F641" i="2"/>
  <c r="E624" i="2"/>
  <c r="C655" i="2"/>
  <c r="C184" i="2"/>
  <c r="C188" i="2"/>
  <c r="D188" i="2" s="1"/>
  <c r="C185" i="2"/>
  <c r="D88" i="2"/>
  <c r="K88" i="2"/>
  <c r="E88" i="2"/>
  <c r="F88" i="2"/>
  <c r="G88" i="2"/>
  <c r="H88" i="2"/>
  <c r="I88" i="2"/>
  <c r="J88" i="2"/>
  <c r="H37" i="2"/>
  <c r="K34" i="2"/>
  <c r="J37" i="2"/>
  <c r="H36" i="2"/>
  <c r="H35" i="2"/>
  <c r="J35" i="2"/>
  <c r="K11" i="2"/>
  <c r="J9" i="2" s="1"/>
  <c r="J41" i="2" s="1"/>
  <c r="P62" i="2"/>
  <c r="N62" i="2"/>
  <c r="K15" i="2"/>
  <c r="Z72" i="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W72" i="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D238" i="9" l="1"/>
  <c r="G238" i="9" s="1"/>
  <c r="M238" i="9" s="1"/>
  <c r="F178" i="9"/>
  <c r="H178" i="9" s="1"/>
  <c r="J178" i="9" s="1"/>
  <c r="G431" i="9" s="1"/>
  <c r="L178" i="9"/>
  <c r="B295" i="9"/>
  <c r="B431" i="9"/>
  <c r="B489" i="9" s="1"/>
  <c r="A295" i="9"/>
  <c r="A367" i="9"/>
  <c r="E238" i="9"/>
  <c r="F238" i="9" s="1"/>
  <c r="A431" i="9"/>
  <c r="A489" i="9" s="1"/>
  <c r="L238" i="9"/>
  <c r="M295" i="9" s="1"/>
  <c r="BM298" i="2" s="1"/>
  <c r="BN298" i="2" s="1"/>
  <c r="AY492" i="2"/>
  <c r="O62" i="2"/>
  <c r="I31" i="9"/>
  <c r="C422" i="9" s="1"/>
  <c r="AE641" i="2"/>
  <c r="I641" i="2"/>
  <c r="AQ492" i="2"/>
  <c r="H32" i="9"/>
  <c r="D131" i="9"/>
  <c r="I295" i="9"/>
  <c r="BD298" i="2" s="1"/>
  <c r="F295" i="9"/>
  <c r="AV298" i="2" s="1"/>
  <c r="A236" i="2"/>
  <c r="H624" i="2"/>
  <c r="H63" i="2"/>
  <c r="L50" i="2"/>
  <c r="C134" i="2" s="1"/>
  <c r="D134" i="2" s="1"/>
  <c r="K35" i="2"/>
  <c r="J36" i="2"/>
  <c r="J62" i="2"/>
  <c r="C109" i="2"/>
  <c r="K12" i="2"/>
  <c r="K14" i="2"/>
  <c r="A112" i="1"/>
  <c r="B112" i="1" s="1"/>
  <c r="A179" i="9" s="1"/>
  <c r="A170" i="1"/>
  <c r="C1" i="3"/>
  <c r="J1" i="3"/>
  <c r="L1" i="3"/>
  <c r="C2" i="3"/>
  <c r="J2" i="3"/>
  <c r="L2" i="3"/>
  <c r="C3" i="3"/>
  <c r="C1" i="7"/>
  <c r="K1" i="7"/>
  <c r="M1" i="7"/>
  <c r="K2" i="7"/>
  <c r="M2" i="7"/>
  <c r="C3" i="7"/>
  <c r="B1" i="2"/>
  <c r="J1" i="2"/>
  <c r="L1" i="2"/>
  <c r="B2" i="2"/>
  <c r="J2" i="2"/>
  <c r="L2" i="2"/>
  <c r="B3" i="2"/>
  <c r="I9" i="2"/>
  <c r="K9" i="2" s="1"/>
  <c r="C123" i="2"/>
  <c r="C125" i="2"/>
  <c r="C124" i="2"/>
  <c r="C126" i="2"/>
  <c r="C121" i="2"/>
  <c r="C120" i="2"/>
  <c r="C137" i="2"/>
  <c r="F222" i="2"/>
  <c r="F223" i="2"/>
  <c r="F224" i="2"/>
  <c r="F228" i="2"/>
  <c r="F416" i="2"/>
  <c r="C607" i="2"/>
  <c r="I607" i="2" s="1"/>
  <c r="A663" i="2"/>
  <c r="A664" i="2"/>
  <c r="Q367" i="9" l="1"/>
  <c r="S367" i="9"/>
  <c r="Q489" i="9"/>
  <c r="D489" i="9"/>
  <c r="I367" i="9"/>
  <c r="K431" i="9"/>
  <c r="H238" i="9"/>
  <c r="I238" i="9" s="1"/>
  <c r="J46" i="2"/>
  <c r="H46" i="2"/>
  <c r="K46" i="2" s="1"/>
  <c r="E609" i="2"/>
  <c r="D608" i="2"/>
  <c r="F608" i="2" s="1"/>
  <c r="H608" i="2" s="1"/>
  <c r="J608" i="2" s="1"/>
  <c r="M608" i="2" s="1"/>
  <c r="D609" i="2"/>
  <c r="F609" i="2" s="1"/>
  <c r="H609" i="2" s="1"/>
  <c r="J609" i="2" s="1"/>
  <c r="M609" i="2" s="1"/>
  <c r="E608" i="2"/>
  <c r="N27" i="2"/>
  <c r="R27" i="2" s="1"/>
  <c r="O29" i="1"/>
  <c r="O30" i="1" s="1"/>
  <c r="M178" i="9"/>
  <c r="C295" i="9" s="1"/>
  <c r="AN298" i="2" s="1"/>
  <c r="E367" i="9"/>
  <c r="G367" i="9"/>
  <c r="P179" i="9"/>
  <c r="F296" i="9" s="1"/>
  <c r="A239" i="9"/>
  <c r="R367" i="9"/>
  <c r="BG492" i="2"/>
  <c r="D367" i="9"/>
  <c r="H367" i="9"/>
  <c r="N295" i="9"/>
  <c r="I32" i="9"/>
  <c r="C424" i="9" s="1"/>
  <c r="K27" i="2"/>
  <c r="AI641" i="2"/>
  <c r="K49" i="2"/>
  <c r="L49" i="2" s="1"/>
  <c r="AI492" i="2"/>
  <c r="S236" i="2"/>
  <c r="R236" i="2"/>
  <c r="K179" i="9"/>
  <c r="L179" i="9" s="1"/>
  <c r="G179" i="9"/>
  <c r="C179" i="9"/>
  <c r="D179" i="9" s="1"/>
  <c r="I179" i="9"/>
  <c r="Q179" i="9" s="1"/>
  <c r="I296" i="9" s="1"/>
  <c r="E179" i="9"/>
  <c r="C94" i="2"/>
  <c r="B179" i="9"/>
  <c r="B239" i="9" s="1"/>
  <c r="G489" i="9"/>
  <c r="P489" i="9"/>
  <c r="K489" i="9"/>
  <c r="N489" i="9"/>
  <c r="A171" i="1"/>
  <c r="B170" i="1"/>
  <c r="B236" i="2"/>
  <c r="B298" i="2" s="1"/>
  <c r="A298" i="2"/>
  <c r="S665" i="2"/>
  <c r="O665" i="2"/>
  <c r="V236" i="2"/>
  <c r="K236" i="2"/>
  <c r="L236" i="2" s="1"/>
  <c r="I236" i="2"/>
  <c r="G236" i="2"/>
  <c r="C236" i="2"/>
  <c r="D236" i="2" s="1"/>
  <c r="P607" i="2"/>
  <c r="K607" i="2"/>
  <c r="L607" i="2" s="1"/>
  <c r="E607" i="2"/>
  <c r="I134" i="2"/>
  <c r="E134" i="2"/>
  <c r="E236" i="2"/>
  <c r="H134" i="2"/>
  <c r="G134" i="2"/>
  <c r="K134" i="2"/>
  <c r="J134" i="2"/>
  <c r="L134" i="2"/>
  <c r="F134" i="2"/>
  <c r="G126" i="2"/>
  <c r="H126" i="2"/>
  <c r="I126" i="2"/>
  <c r="J126" i="2"/>
  <c r="K126" i="2"/>
  <c r="L126" i="2"/>
  <c r="F126" i="2"/>
  <c r="E126" i="2"/>
  <c r="G125" i="2"/>
  <c r="H125" i="2"/>
  <c r="I125" i="2"/>
  <c r="J125" i="2"/>
  <c r="K125" i="2"/>
  <c r="L125" i="2"/>
  <c r="E125" i="2"/>
  <c r="F125" i="2"/>
  <c r="G120" i="2"/>
  <c r="H120" i="2"/>
  <c r="I120" i="2"/>
  <c r="J120" i="2"/>
  <c r="K120" i="2"/>
  <c r="L120" i="2"/>
  <c r="E120" i="2"/>
  <c r="F120" i="2"/>
  <c r="G121" i="2"/>
  <c r="H121" i="2"/>
  <c r="I121" i="2"/>
  <c r="J121" i="2"/>
  <c r="K121" i="2"/>
  <c r="L121" i="2"/>
  <c r="E121" i="2"/>
  <c r="F121" i="2"/>
  <c r="G124" i="2"/>
  <c r="H124" i="2"/>
  <c r="I124" i="2"/>
  <c r="J124" i="2"/>
  <c r="K124" i="2"/>
  <c r="L124" i="2"/>
  <c r="E124" i="2"/>
  <c r="F124" i="2"/>
  <c r="I94" i="2"/>
  <c r="D94" i="2"/>
  <c r="G94" i="2"/>
  <c r="J94" i="2"/>
  <c r="K94" i="2"/>
  <c r="E94" i="2"/>
  <c r="F94" i="2"/>
  <c r="H94" i="2"/>
  <c r="L28" i="2"/>
  <c r="C132" i="2" s="1"/>
  <c r="L51" i="2"/>
  <c r="A113" i="1"/>
  <c r="B113" i="1" s="1"/>
  <c r="A180" i="9" s="1"/>
  <c r="L53" i="2"/>
  <c r="L41" i="2"/>
  <c r="C133" i="2" s="1"/>
  <c r="L36" i="2"/>
  <c r="C136" i="2" s="1"/>
  <c r="K13" i="2"/>
  <c r="K59" i="2" s="1"/>
  <c r="C122" i="2"/>
  <c r="K31" i="2"/>
  <c r="C89" i="2" s="1"/>
  <c r="D607" i="2"/>
  <c r="C658" i="2"/>
  <c r="D124" i="2"/>
  <c r="D125" i="2"/>
  <c r="G607" i="2"/>
  <c r="D120" i="2"/>
  <c r="D121" i="2"/>
  <c r="D126" i="2"/>
  <c r="A608" i="2" l="1"/>
  <c r="B608" i="2" s="1"/>
  <c r="L431" i="9"/>
  <c r="K428" i="2"/>
  <c r="W298" i="2"/>
  <c r="M298" i="2"/>
  <c r="L298" i="2"/>
  <c r="E298" i="2"/>
  <c r="F367" i="9"/>
  <c r="D431" i="9"/>
  <c r="D239" i="9"/>
  <c r="G239" i="9" s="1"/>
  <c r="U236" i="2"/>
  <c r="O355" i="2" s="1"/>
  <c r="BH298" i="2" s="1"/>
  <c r="P180" i="9"/>
  <c r="F297" i="9" s="1"/>
  <c r="A240" i="9"/>
  <c r="A432" i="9"/>
  <c r="A368" i="9"/>
  <c r="J432" i="9"/>
  <c r="I432" i="9"/>
  <c r="A296" i="9"/>
  <c r="S368" i="9" s="1"/>
  <c r="K239" i="9"/>
  <c r="J296" i="9" s="1"/>
  <c r="K296" i="9" s="1"/>
  <c r="L239" i="9"/>
  <c r="M296" i="9" s="1"/>
  <c r="BM299" i="2" s="1"/>
  <c r="E239" i="9"/>
  <c r="F239" i="9" s="1"/>
  <c r="B432" i="9"/>
  <c r="B490" i="9" s="1"/>
  <c r="B368" i="9"/>
  <c r="C368" i="9" s="1"/>
  <c r="B296" i="9"/>
  <c r="Q608" i="2"/>
  <c r="R608" i="2"/>
  <c r="B625" i="2"/>
  <c r="B642" i="2" s="1"/>
  <c r="A625" i="2"/>
  <c r="O27" i="2"/>
  <c r="F607" i="2"/>
  <c r="H607" i="2" s="1"/>
  <c r="AE627" i="2"/>
  <c r="F236" i="2"/>
  <c r="H236" i="2" s="1"/>
  <c r="J236" i="2" s="1"/>
  <c r="G492" i="2" s="1"/>
  <c r="F179" i="9"/>
  <c r="H179" i="9" s="1"/>
  <c r="J179" i="9" s="1"/>
  <c r="M179" i="9" s="1"/>
  <c r="C296" i="9" s="1"/>
  <c r="P29" i="1"/>
  <c r="BC665" i="2"/>
  <c r="AU665" i="2"/>
  <c r="AM624" i="2"/>
  <c r="CE492" i="2"/>
  <c r="BD299" i="2"/>
  <c r="AQ493" i="2"/>
  <c r="AE628" i="2"/>
  <c r="BW492" i="2"/>
  <c r="H489" i="9"/>
  <c r="R179" i="9"/>
  <c r="K180" i="9"/>
  <c r="N180" i="9" s="1"/>
  <c r="E180" i="9"/>
  <c r="C180" i="9"/>
  <c r="D180" i="9" s="1"/>
  <c r="I180" i="9"/>
  <c r="R180" i="9" s="1"/>
  <c r="L297" i="9" s="1"/>
  <c r="G180" i="9"/>
  <c r="N179" i="9"/>
  <c r="O179" i="9" s="1"/>
  <c r="AV299" i="2" s="1"/>
  <c r="B180" i="9"/>
  <c r="B240" i="9" s="1"/>
  <c r="A428" i="2"/>
  <c r="D298" i="2"/>
  <c r="H298" i="2" s="1"/>
  <c r="A172" i="1"/>
  <c r="B171" i="1"/>
  <c r="C170" i="1" s="1"/>
  <c r="A492" i="2"/>
  <c r="A355" i="2"/>
  <c r="U355" i="2" s="1"/>
  <c r="N607" i="2"/>
  <c r="O607" i="2" s="1"/>
  <c r="T236" i="2"/>
  <c r="O236" i="2"/>
  <c r="P236" i="2" s="1"/>
  <c r="Q236" i="2" s="1"/>
  <c r="F298" i="2"/>
  <c r="G298" i="2" s="1"/>
  <c r="A237" i="2"/>
  <c r="B355" i="2"/>
  <c r="Q665" i="2"/>
  <c r="AY665" i="2" s="1"/>
  <c r="R607" i="2"/>
  <c r="Q607" i="2"/>
  <c r="I60" i="2"/>
  <c r="J60" i="2"/>
  <c r="J61" i="2"/>
  <c r="I61" i="2"/>
  <c r="D89" i="2"/>
  <c r="E122" i="2" s="1"/>
  <c r="G89" i="2"/>
  <c r="H122" i="2" s="1"/>
  <c r="E89" i="2"/>
  <c r="F122" i="2" s="1"/>
  <c r="F89" i="2"/>
  <c r="G122" i="2" s="1"/>
  <c r="J89" i="2"/>
  <c r="K122" i="2" s="1"/>
  <c r="H89" i="2"/>
  <c r="I122" i="2" s="1"/>
  <c r="I89" i="2"/>
  <c r="J122" i="2" s="1"/>
  <c r="K89" i="2"/>
  <c r="L122" i="2" s="1"/>
  <c r="C111" i="1"/>
  <c r="I58" i="2"/>
  <c r="K57" i="2"/>
  <c r="I29" i="2"/>
  <c r="I28" i="2"/>
  <c r="J28" i="2"/>
  <c r="J29" i="2"/>
  <c r="A114" i="1"/>
  <c r="B114" i="1" s="1"/>
  <c r="A181" i="9" s="1"/>
  <c r="D122" i="2"/>
  <c r="K62" i="2"/>
  <c r="J63" i="2"/>
  <c r="C127" i="2"/>
  <c r="L60" i="2"/>
  <c r="C139" i="2" s="1"/>
  <c r="H28" i="2"/>
  <c r="K41" i="2"/>
  <c r="K36" i="2"/>
  <c r="K37" i="2"/>
  <c r="B428" i="2"/>
  <c r="B492" i="2"/>
  <c r="B550" i="2" s="1"/>
  <c r="C140" i="2"/>
  <c r="C141" i="2"/>
  <c r="R355" i="2" l="1"/>
  <c r="S355" i="2"/>
  <c r="J367" i="9"/>
  <c r="AK428" i="2"/>
  <c r="A550" i="2"/>
  <c r="Q550" i="2" s="1"/>
  <c r="AT428" i="2"/>
  <c r="L367" i="9"/>
  <c r="O431" i="9" s="1"/>
  <c r="I298" i="2"/>
  <c r="J298" i="2"/>
  <c r="M239" i="9"/>
  <c r="K432" i="9" s="1"/>
  <c r="H239" i="9"/>
  <c r="I239" i="9" s="1"/>
  <c r="K298" i="2"/>
  <c r="V298" i="2"/>
  <c r="D240" i="9"/>
  <c r="G240" i="9" s="1"/>
  <c r="G368" i="9"/>
  <c r="C624" i="2"/>
  <c r="AU492" i="2"/>
  <c r="AY493" i="2"/>
  <c r="L296" i="9"/>
  <c r="N296" i="9" s="1"/>
  <c r="A490" i="9"/>
  <c r="P181" i="9"/>
  <c r="F298" i="9" s="1"/>
  <c r="A241" i="9"/>
  <c r="D368" i="9"/>
  <c r="E368" i="9"/>
  <c r="F368" i="9" s="1"/>
  <c r="AT429" i="2" s="1"/>
  <c r="H368" i="9"/>
  <c r="G432" i="9"/>
  <c r="AI493" i="2" s="1"/>
  <c r="A433" i="9"/>
  <c r="I433" i="9"/>
  <c r="A369" i="9"/>
  <c r="A297" i="9"/>
  <c r="S369" i="9" s="1"/>
  <c r="J433" i="9"/>
  <c r="L240" i="9"/>
  <c r="M297" i="9" s="1"/>
  <c r="N297" i="9" s="1"/>
  <c r="E240" i="9"/>
  <c r="F240" i="9" s="1"/>
  <c r="K240" i="9"/>
  <c r="J297" i="9" s="1"/>
  <c r="Q368" i="9"/>
  <c r="R368" i="9"/>
  <c r="B433" i="9"/>
  <c r="B491" i="9" s="1"/>
  <c r="B369" i="9"/>
  <c r="C369" i="9" s="1"/>
  <c r="B297" i="9"/>
  <c r="A609" i="2"/>
  <c r="R609" i="2"/>
  <c r="Q609" i="2"/>
  <c r="G625" i="2"/>
  <c r="K625" i="2"/>
  <c r="F625" i="2"/>
  <c r="A642" i="2"/>
  <c r="N625" i="2"/>
  <c r="M625" i="2"/>
  <c r="D625" i="2"/>
  <c r="E625" i="2" s="1"/>
  <c r="B666" i="2"/>
  <c r="W236" i="2"/>
  <c r="F355" i="2" s="1"/>
  <c r="F180" i="9"/>
  <c r="H180" i="9" s="1"/>
  <c r="J180" i="9" s="1"/>
  <c r="G433" i="9" s="1"/>
  <c r="AQ624" i="2"/>
  <c r="M236" i="2"/>
  <c r="N236" i="2" s="1"/>
  <c r="BL300" i="2"/>
  <c r="AY494" i="2"/>
  <c r="AE625" i="2"/>
  <c r="AE626" i="2"/>
  <c r="AI624" i="2"/>
  <c r="K665" i="2"/>
  <c r="AM665" i="2" s="1"/>
  <c r="AU624" i="2"/>
  <c r="I665" i="2"/>
  <c r="AI665" i="2" s="1"/>
  <c r="BO492" i="2"/>
  <c r="L355" i="2"/>
  <c r="AZ298" i="2" s="1"/>
  <c r="AM492" i="2"/>
  <c r="R237" i="2"/>
  <c r="S237" i="2"/>
  <c r="Q180" i="9"/>
  <c r="I297" i="9" s="1"/>
  <c r="O180" i="9"/>
  <c r="AV300" i="2" s="1"/>
  <c r="L180" i="9"/>
  <c r="K181" i="9"/>
  <c r="L181" i="9" s="1"/>
  <c r="E181" i="9"/>
  <c r="G181" i="9"/>
  <c r="C181" i="9"/>
  <c r="D181" i="9" s="1"/>
  <c r="I181" i="9"/>
  <c r="R181" i="9" s="1"/>
  <c r="L298" i="9" s="1"/>
  <c r="C483" i="2"/>
  <c r="B181" i="9"/>
  <c r="B241" i="9" s="1"/>
  <c r="C625" i="2"/>
  <c r="C298" i="2"/>
  <c r="C238" i="9"/>
  <c r="A173" i="1"/>
  <c r="B172" i="1"/>
  <c r="C172" i="1" s="1"/>
  <c r="C113" i="1"/>
  <c r="C240" i="9" s="1"/>
  <c r="A299" i="2"/>
  <c r="B237" i="2"/>
  <c r="B299" i="2" s="1"/>
  <c r="V237" i="2"/>
  <c r="I237" i="2"/>
  <c r="U237" i="2" s="1"/>
  <c r="K237" i="2"/>
  <c r="L237" i="2" s="1"/>
  <c r="G237" i="2"/>
  <c r="C237" i="2"/>
  <c r="D237" i="2" s="1"/>
  <c r="E237" i="2"/>
  <c r="A238" i="2"/>
  <c r="E428" i="2"/>
  <c r="J607" i="2"/>
  <c r="H428" i="2"/>
  <c r="AE492" i="2"/>
  <c r="K140" i="2"/>
  <c r="D140" i="2"/>
  <c r="L140" i="2"/>
  <c r="E140" i="2"/>
  <c r="H140" i="2"/>
  <c r="I140" i="2"/>
  <c r="F140" i="2"/>
  <c r="G140" i="2"/>
  <c r="J140" i="2"/>
  <c r="F105" i="2"/>
  <c r="G136" i="2" s="1"/>
  <c r="E105" i="2"/>
  <c r="F136" i="2" s="1"/>
  <c r="G105" i="2"/>
  <c r="H136" i="2" s="1"/>
  <c r="I105" i="2"/>
  <c r="J136" i="2" s="1"/>
  <c r="D105" i="2"/>
  <c r="E136" i="2" s="1"/>
  <c r="H105" i="2"/>
  <c r="I136" i="2" s="1"/>
  <c r="J105" i="2"/>
  <c r="K136" i="2" s="1"/>
  <c r="K105" i="2"/>
  <c r="L136" i="2" s="1"/>
  <c r="F102" i="2"/>
  <c r="G133" i="2" s="1"/>
  <c r="I102" i="2"/>
  <c r="J133" i="2" s="1"/>
  <c r="J102" i="2"/>
  <c r="K133" i="2" s="1"/>
  <c r="K102" i="2"/>
  <c r="L133" i="2" s="1"/>
  <c r="G102" i="2"/>
  <c r="H133" i="2" s="1"/>
  <c r="E102" i="2"/>
  <c r="F133" i="2" s="1"/>
  <c r="H102" i="2"/>
  <c r="I133" i="2" s="1"/>
  <c r="D102" i="2"/>
  <c r="E133" i="2" s="1"/>
  <c r="I106" i="2"/>
  <c r="J137" i="2" s="1"/>
  <c r="J106" i="2"/>
  <c r="K137" i="2" s="1"/>
  <c r="E106" i="2"/>
  <c r="F137" i="2" s="1"/>
  <c r="C106" i="2"/>
  <c r="D137" i="2" s="1"/>
  <c r="H106" i="2"/>
  <c r="I137" i="2" s="1"/>
  <c r="K106" i="2"/>
  <c r="L137" i="2" s="1"/>
  <c r="D106" i="2"/>
  <c r="E137" i="2" s="1"/>
  <c r="F106" i="2"/>
  <c r="G137" i="2" s="1"/>
  <c r="G106" i="2"/>
  <c r="H137" i="2" s="1"/>
  <c r="C102" i="2"/>
  <c r="D133" i="2" s="1"/>
  <c r="C112" i="1"/>
  <c r="C239" i="9" s="1"/>
  <c r="D428" i="2"/>
  <c r="C428" i="2"/>
  <c r="J58" i="2"/>
  <c r="A115" i="1"/>
  <c r="B115" i="1" s="1"/>
  <c r="H60" i="2"/>
  <c r="C105" i="2"/>
  <c r="D136" i="2" s="1"/>
  <c r="K63" i="2"/>
  <c r="K28" i="2"/>
  <c r="Q490" i="9" l="1"/>
  <c r="D490" i="9"/>
  <c r="BG493" i="2" s="1"/>
  <c r="C171" i="1"/>
  <c r="K492" i="2"/>
  <c r="K550" i="2"/>
  <c r="BS492" i="2" s="1"/>
  <c r="N550" i="2"/>
  <c r="CA492" i="2" s="1"/>
  <c r="D492" i="2"/>
  <c r="E492" i="2" s="1"/>
  <c r="AN492" i="2" s="1"/>
  <c r="I428" i="2"/>
  <c r="J428" i="2" s="1"/>
  <c r="R428" i="2"/>
  <c r="S428" i="2" s="1"/>
  <c r="P550" i="2"/>
  <c r="L428" i="2"/>
  <c r="M428" i="2" s="1"/>
  <c r="T355" i="2"/>
  <c r="K429" i="2"/>
  <c r="W299" i="2"/>
  <c r="M299" i="2"/>
  <c r="L299" i="2"/>
  <c r="G550" i="2"/>
  <c r="H550" i="2" s="1"/>
  <c r="BK492" i="2" s="1"/>
  <c r="D550" i="2"/>
  <c r="BC492" i="2" s="1"/>
  <c r="J641" i="2"/>
  <c r="N641" i="2" s="1"/>
  <c r="I624" i="2"/>
  <c r="L624" i="2" s="1"/>
  <c r="E299" i="2"/>
  <c r="L368" i="9"/>
  <c r="O432" i="9" s="1"/>
  <c r="I368" i="9"/>
  <c r="J368" i="9" s="1"/>
  <c r="K368" i="9" s="1"/>
  <c r="L432" i="9"/>
  <c r="M432" i="9" s="1"/>
  <c r="D432" i="9"/>
  <c r="E432" i="9" s="1"/>
  <c r="J490" i="9" s="1"/>
  <c r="G428" i="2"/>
  <c r="M240" i="9"/>
  <c r="D433" i="9" s="1"/>
  <c r="E433" i="9" s="1"/>
  <c r="H240" i="9"/>
  <c r="I240" i="9" s="1"/>
  <c r="J240" i="9" s="1"/>
  <c r="D241" i="9"/>
  <c r="G241" i="9" s="1"/>
  <c r="B609" i="2"/>
  <c r="B626" i="2" s="1"/>
  <c r="B643" i="2" s="1"/>
  <c r="B667" i="2" s="1"/>
  <c r="G369" i="9"/>
  <c r="J239" i="9"/>
  <c r="D296" i="9" s="1"/>
  <c r="E296" i="9" s="1"/>
  <c r="AK429" i="2"/>
  <c r="N490" i="9"/>
  <c r="O490" i="9"/>
  <c r="G490" i="9"/>
  <c r="P490" i="9"/>
  <c r="H490" i="9"/>
  <c r="BO493" i="2" s="1"/>
  <c r="I490" i="9"/>
  <c r="K490" i="9"/>
  <c r="BW493" i="2" s="1"/>
  <c r="L490" i="9"/>
  <c r="A491" i="9"/>
  <c r="K297" i="9"/>
  <c r="E369" i="9"/>
  <c r="F369" i="9" s="1"/>
  <c r="AT430" i="2" s="1"/>
  <c r="D369" i="9"/>
  <c r="H369" i="9"/>
  <c r="B434" i="9"/>
  <c r="B492" i="9" s="1"/>
  <c r="B370" i="9"/>
  <c r="C370" i="9" s="1"/>
  <c r="B298" i="9"/>
  <c r="Q369" i="9"/>
  <c r="R369" i="9"/>
  <c r="J434" i="9"/>
  <c r="A434" i="9"/>
  <c r="I434" i="9"/>
  <c r="A370" i="9"/>
  <c r="A298" i="9"/>
  <c r="S370" i="9" s="1"/>
  <c r="K241" i="9"/>
  <c r="J298" i="9" s="1"/>
  <c r="L241" i="9"/>
  <c r="M298" i="9" s="1"/>
  <c r="N298" i="9" s="1"/>
  <c r="E241" i="9"/>
  <c r="F241" i="9" s="1"/>
  <c r="H625" i="2"/>
  <c r="I625" i="2" s="1"/>
  <c r="A626" i="2"/>
  <c r="A610" i="2"/>
  <c r="B610" i="2" s="1"/>
  <c r="G665" i="2"/>
  <c r="AE665" i="2" s="1"/>
  <c r="Q610" i="2"/>
  <c r="R610" i="2"/>
  <c r="A666" i="2"/>
  <c r="C642" i="2"/>
  <c r="D642" i="2" s="1"/>
  <c r="F642" i="2"/>
  <c r="G642" i="2"/>
  <c r="H642" i="2"/>
  <c r="AU493" i="2"/>
  <c r="O356" i="2"/>
  <c r="BH299" i="2" s="1"/>
  <c r="B493" i="2"/>
  <c r="B551" i="2" s="1"/>
  <c r="B356" i="2"/>
  <c r="B429" i="2"/>
  <c r="A356" i="2"/>
  <c r="A493" i="2"/>
  <c r="A429" i="2"/>
  <c r="U298" i="2"/>
  <c r="P355" i="2" s="1"/>
  <c r="Q355" i="2" s="1"/>
  <c r="P298" i="2"/>
  <c r="Q298" i="2" s="1"/>
  <c r="R298" i="2"/>
  <c r="S298" i="2" s="1"/>
  <c r="G355" i="2" s="1"/>
  <c r="AK298" i="2" s="1"/>
  <c r="AJ298" i="2"/>
  <c r="F181" i="9"/>
  <c r="H181" i="9" s="1"/>
  <c r="J181" i="9" s="1"/>
  <c r="F237" i="2"/>
  <c r="H237" i="2" s="1"/>
  <c r="J237" i="2" s="1"/>
  <c r="M237" i="2" s="1"/>
  <c r="N237" i="2" s="1"/>
  <c r="M180" i="9"/>
  <c r="C297" i="9" s="1"/>
  <c r="R665" i="2"/>
  <c r="BM300" i="2"/>
  <c r="BN300" i="2" s="1"/>
  <c r="BD300" i="2"/>
  <c r="AQ494" i="2"/>
  <c r="BL299" i="2"/>
  <c r="BN299" i="2" s="1"/>
  <c r="BL301" i="2"/>
  <c r="AY495" i="2"/>
  <c r="AQ625" i="2"/>
  <c r="AV624" i="2"/>
  <c r="AW624" i="2" s="1"/>
  <c r="AU625" i="2"/>
  <c r="K624" i="2"/>
  <c r="AN299" i="2"/>
  <c r="R238" i="2"/>
  <c r="S238" i="2"/>
  <c r="K367" i="9"/>
  <c r="M367" i="9" s="1"/>
  <c r="E431" i="9"/>
  <c r="AR492" i="2" s="1"/>
  <c r="AS492" i="2" s="1"/>
  <c r="J238" i="9"/>
  <c r="K238" i="9" s="1"/>
  <c r="J295" i="9" s="1"/>
  <c r="N181" i="9"/>
  <c r="O181" i="9" s="1"/>
  <c r="AV301" i="2" s="1"/>
  <c r="Q181" i="9"/>
  <c r="I298" i="9" s="1"/>
  <c r="D110" i="2"/>
  <c r="E141" i="2" s="1"/>
  <c r="C485" i="2"/>
  <c r="M431" i="9"/>
  <c r="C114" i="1"/>
  <c r="C241" i="9" s="1"/>
  <c r="A182" i="9"/>
  <c r="Q184" i="1"/>
  <c r="G110" i="2"/>
  <c r="H141" i="2" s="1"/>
  <c r="H110" i="2"/>
  <c r="I141" i="2" s="1"/>
  <c r="I110" i="2"/>
  <c r="J141" i="2" s="1"/>
  <c r="K110" i="2"/>
  <c r="L141" i="2" s="1"/>
  <c r="J110" i="2"/>
  <c r="K141" i="2" s="1"/>
  <c r="C110" i="2"/>
  <c r="D141" i="2" s="1"/>
  <c r="F110" i="2"/>
  <c r="G141" i="2" s="1"/>
  <c r="E110" i="2"/>
  <c r="F141" i="2" s="1"/>
  <c r="C135" i="2"/>
  <c r="D104" i="2"/>
  <c r="E104" i="2"/>
  <c r="C104" i="2"/>
  <c r="J104" i="2"/>
  <c r="I104" i="2"/>
  <c r="H104" i="2"/>
  <c r="G104" i="2"/>
  <c r="K104" i="2"/>
  <c r="F104" i="2"/>
  <c r="M624" i="2"/>
  <c r="A174" i="1"/>
  <c r="B173" i="1"/>
  <c r="C173" i="1" s="1"/>
  <c r="J665" i="2"/>
  <c r="D299" i="2"/>
  <c r="H299" i="2" s="1"/>
  <c r="C299" i="2"/>
  <c r="A300" i="2"/>
  <c r="B238" i="2"/>
  <c r="B300" i="2" s="1"/>
  <c r="T237" i="2"/>
  <c r="O237" i="2"/>
  <c r="P237" i="2" s="1"/>
  <c r="A239" i="2"/>
  <c r="I238" i="2"/>
  <c r="U238" i="2" s="1"/>
  <c r="K238" i="2"/>
  <c r="L238" i="2" s="1"/>
  <c r="C238" i="2"/>
  <c r="D238" i="2" s="1"/>
  <c r="V238" i="2"/>
  <c r="G238" i="2"/>
  <c r="E238" i="2"/>
  <c r="F299" i="2"/>
  <c r="G299" i="2" s="1"/>
  <c r="M607" i="2"/>
  <c r="AE624" i="2" s="1"/>
  <c r="E641" i="2"/>
  <c r="F428" i="2"/>
  <c r="N428" i="2" s="1"/>
  <c r="N298" i="2"/>
  <c r="F101" i="2"/>
  <c r="G132" i="2" s="1"/>
  <c r="D101" i="2"/>
  <c r="E132" i="2" s="1"/>
  <c r="G101" i="2"/>
  <c r="H132" i="2" s="1"/>
  <c r="J101" i="2"/>
  <c r="K132" i="2" s="1"/>
  <c r="K101" i="2"/>
  <c r="L132" i="2" s="1"/>
  <c r="H101" i="2"/>
  <c r="I132" i="2" s="1"/>
  <c r="I101" i="2"/>
  <c r="J132" i="2" s="1"/>
  <c r="E101" i="2"/>
  <c r="F132" i="2" s="1"/>
  <c r="L58" i="2"/>
  <c r="C138" i="2" s="1"/>
  <c r="K58" i="2"/>
  <c r="K61" i="2"/>
  <c r="A116" i="1"/>
  <c r="B116" i="1" s="1"/>
  <c r="A183" i="9" s="1"/>
  <c r="C101" i="2"/>
  <c r="K29" i="2"/>
  <c r="K60" i="2"/>
  <c r="Q491" i="9" l="1"/>
  <c r="D491" i="9"/>
  <c r="BG494" i="2" s="1"/>
  <c r="M368" i="9"/>
  <c r="N368" i="9" s="1"/>
  <c r="P368" i="9" s="1"/>
  <c r="AL429" i="2" s="1"/>
  <c r="I642" i="2"/>
  <c r="J642" i="2" s="1"/>
  <c r="N642" i="2" s="1"/>
  <c r="O428" i="2"/>
  <c r="P428" i="2"/>
  <c r="T428" i="2"/>
  <c r="U428" i="2" s="1"/>
  <c r="K430" i="2"/>
  <c r="L300" i="2"/>
  <c r="W300" i="2"/>
  <c r="M300" i="2"/>
  <c r="D665" i="2"/>
  <c r="AZ665" i="2" s="1"/>
  <c r="BA665" i="2" s="1"/>
  <c r="K641" i="2"/>
  <c r="T368" i="9"/>
  <c r="AJ624" i="2"/>
  <c r="AN624" i="2" s="1"/>
  <c r="AO624" i="2" s="1"/>
  <c r="AF624" i="2"/>
  <c r="AR624" i="2"/>
  <c r="AS624" i="2" s="1"/>
  <c r="E300" i="2"/>
  <c r="L369" i="9"/>
  <c r="O433" i="9" s="1"/>
  <c r="L433" i="9"/>
  <c r="M433" i="9" s="1"/>
  <c r="V299" i="2"/>
  <c r="D493" i="2" s="1"/>
  <c r="E493" i="2" s="1"/>
  <c r="I493" i="2" s="1"/>
  <c r="I369" i="9"/>
  <c r="J369" i="9" s="1"/>
  <c r="K369" i="9" s="1"/>
  <c r="K433" i="9"/>
  <c r="K299" i="2"/>
  <c r="AP428" i="2"/>
  <c r="I299" i="2"/>
  <c r="J299" i="2"/>
  <c r="M241" i="9"/>
  <c r="K434" i="9" s="1"/>
  <c r="H241" i="9"/>
  <c r="I241" i="9" s="1"/>
  <c r="J241" i="9" s="1"/>
  <c r="D626" i="2"/>
  <c r="E626" i="2" s="1"/>
  <c r="C626" i="2"/>
  <c r="G370" i="9"/>
  <c r="G296" i="9"/>
  <c r="H296" i="9" s="1"/>
  <c r="K298" i="9"/>
  <c r="AK430" i="2"/>
  <c r="J491" i="9"/>
  <c r="BX494" i="2" s="1"/>
  <c r="P183" i="9"/>
  <c r="F300" i="9" s="1"/>
  <c r="A243" i="9"/>
  <c r="E370" i="9"/>
  <c r="F370" i="9" s="1"/>
  <c r="H370" i="9"/>
  <c r="D370" i="9"/>
  <c r="G434" i="9"/>
  <c r="Q370" i="9"/>
  <c r="R370" i="9"/>
  <c r="P182" i="9"/>
  <c r="F299" i="9" s="1"/>
  <c r="A242" i="9"/>
  <c r="O368" i="9"/>
  <c r="G297" i="9"/>
  <c r="H297" i="9" s="1"/>
  <c r="D297" i="9"/>
  <c r="E297" i="9" s="1"/>
  <c r="A492" i="9"/>
  <c r="H491" i="9"/>
  <c r="BO494" i="2" s="1"/>
  <c r="L491" i="9"/>
  <c r="N491" i="9"/>
  <c r="O491" i="9"/>
  <c r="P491" i="9"/>
  <c r="I491" i="9"/>
  <c r="K491" i="9"/>
  <c r="G491" i="9"/>
  <c r="F626" i="2"/>
  <c r="K626" i="2"/>
  <c r="J625" i="2"/>
  <c r="L625" i="2"/>
  <c r="M626" i="2"/>
  <c r="G626" i="2"/>
  <c r="A643" i="2"/>
  <c r="N626" i="2"/>
  <c r="B627" i="2"/>
  <c r="B644" i="2" s="1"/>
  <c r="A627" i="2"/>
  <c r="A611" i="2"/>
  <c r="R611" i="2"/>
  <c r="Q611" i="2"/>
  <c r="J666" i="2"/>
  <c r="L666" i="2"/>
  <c r="R666" i="2"/>
  <c r="I666" i="2"/>
  <c r="T666" i="2"/>
  <c r="G666" i="2"/>
  <c r="F666" i="2"/>
  <c r="N666" i="2" s="1"/>
  <c r="O666" i="2"/>
  <c r="P666" i="2"/>
  <c r="Q666" i="2"/>
  <c r="S666" i="2"/>
  <c r="K666" i="2"/>
  <c r="I355" i="2"/>
  <c r="AR298" i="2" s="1"/>
  <c r="C355" i="2"/>
  <c r="AF298" i="2" s="1"/>
  <c r="C429" i="2"/>
  <c r="S356" i="2"/>
  <c r="T356" i="2" s="1"/>
  <c r="R356" i="2"/>
  <c r="B494" i="2"/>
  <c r="B552" i="2" s="1"/>
  <c r="B357" i="2"/>
  <c r="B430" i="2"/>
  <c r="AU494" i="2"/>
  <c r="O357" i="2"/>
  <c r="BH300" i="2" s="1"/>
  <c r="A357" i="2"/>
  <c r="A494" i="2"/>
  <c r="A430" i="2"/>
  <c r="AM493" i="2"/>
  <c r="L356" i="2"/>
  <c r="G493" i="2"/>
  <c r="AE493" i="2" s="1"/>
  <c r="E429" i="2"/>
  <c r="H429" i="2"/>
  <c r="D429" i="2"/>
  <c r="A551" i="2"/>
  <c r="Q551" i="2" s="1"/>
  <c r="W237" i="2"/>
  <c r="AK624" i="2"/>
  <c r="BI298" i="2"/>
  <c r="BJ298" i="2" s="1"/>
  <c r="U299" i="2"/>
  <c r="P356" i="2" s="1"/>
  <c r="Q356" i="2" s="1"/>
  <c r="H355" i="2"/>
  <c r="AL298" i="2"/>
  <c r="F238" i="2"/>
  <c r="H238" i="2" s="1"/>
  <c r="J238" i="2" s="1"/>
  <c r="M238" i="2" s="1"/>
  <c r="N238" i="2" s="1"/>
  <c r="M181" i="9"/>
  <c r="AU626" i="2"/>
  <c r="AV626" i="2" s="1"/>
  <c r="AW626" i="2" s="1"/>
  <c r="BD301" i="2"/>
  <c r="AQ495" i="2"/>
  <c r="CE493" i="2"/>
  <c r="BM301" i="2"/>
  <c r="BN301" i="2" s="1"/>
  <c r="AV625" i="2"/>
  <c r="AW625" i="2" s="1"/>
  <c r="AQ626" i="2"/>
  <c r="AI494" i="2"/>
  <c r="J624" i="2"/>
  <c r="BX493" i="2"/>
  <c r="BY493" i="2" s="1"/>
  <c r="AR493" i="2"/>
  <c r="AS493" i="2" s="1"/>
  <c r="AR494" i="2"/>
  <c r="AS494" i="2" s="1"/>
  <c r="BT492" i="2"/>
  <c r="BU492" i="2" s="1"/>
  <c r="AO492" i="2"/>
  <c r="N367" i="9"/>
  <c r="P367" i="9" s="1"/>
  <c r="BE299" i="2"/>
  <c r="BF299" i="2" s="1"/>
  <c r="K295" i="9"/>
  <c r="BE298" i="2"/>
  <c r="BF298" i="2" s="1"/>
  <c r="AN300" i="2"/>
  <c r="Q237" i="2"/>
  <c r="R239" i="2"/>
  <c r="S239" i="2"/>
  <c r="O298" i="2"/>
  <c r="J355" i="2" s="1"/>
  <c r="T298" i="2"/>
  <c r="M355" i="2" s="1"/>
  <c r="I431" i="9"/>
  <c r="G295" i="9"/>
  <c r="AW298" i="2" s="1"/>
  <c r="AX298" i="2" s="1"/>
  <c r="AO299" i="2"/>
  <c r="AP299" i="2" s="1"/>
  <c r="I182" i="9"/>
  <c r="R182" i="9" s="1"/>
  <c r="L299" i="9" s="1"/>
  <c r="C182" i="9"/>
  <c r="D182" i="9" s="1"/>
  <c r="G182" i="9"/>
  <c r="E182" i="9"/>
  <c r="K182" i="9"/>
  <c r="L182" i="9" s="1"/>
  <c r="I183" i="9"/>
  <c r="R183" i="9" s="1"/>
  <c r="L300" i="9" s="1"/>
  <c r="C183" i="9"/>
  <c r="D183" i="9" s="1"/>
  <c r="K183" i="9"/>
  <c r="L183" i="9" s="1"/>
  <c r="G183" i="9"/>
  <c r="E183" i="9"/>
  <c r="C90" i="2"/>
  <c r="D123" i="2" s="1"/>
  <c r="D85" i="9"/>
  <c r="C95" i="2"/>
  <c r="D127" i="2" s="1"/>
  <c r="B183" i="9"/>
  <c r="B243" i="9" s="1"/>
  <c r="B182" i="9"/>
  <c r="B242" i="9" s="1"/>
  <c r="D295" i="9"/>
  <c r="J489" i="9"/>
  <c r="J135" i="2"/>
  <c r="K135" i="2"/>
  <c r="L135" i="2"/>
  <c r="E135" i="2"/>
  <c r="F135" i="2"/>
  <c r="G135" i="2"/>
  <c r="H135" i="2"/>
  <c r="I135" i="2"/>
  <c r="D135" i="2"/>
  <c r="A175" i="1"/>
  <c r="B174" i="1"/>
  <c r="C174" i="1" s="1"/>
  <c r="AE642" i="2"/>
  <c r="C115" i="1"/>
  <c r="F300" i="2"/>
  <c r="G300" i="2" s="1"/>
  <c r="C300" i="2"/>
  <c r="A301" i="2"/>
  <c r="B239" i="2"/>
  <c r="B301" i="2" s="1"/>
  <c r="T238" i="2"/>
  <c r="O238" i="2"/>
  <c r="P238" i="2" s="1"/>
  <c r="D300" i="2"/>
  <c r="H300" i="2" s="1"/>
  <c r="A240" i="2"/>
  <c r="C239" i="2"/>
  <c r="D239" i="2" s="1"/>
  <c r="K239" i="2"/>
  <c r="L239" i="2" s="1"/>
  <c r="V239" i="2"/>
  <c r="I239" i="2"/>
  <c r="T239" i="2" s="1"/>
  <c r="G239" i="2"/>
  <c r="E239" i="2"/>
  <c r="I107" i="2"/>
  <c r="J138" i="2" s="1"/>
  <c r="E107" i="2"/>
  <c r="F138" i="2" s="1"/>
  <c r="F107" i="2"/>
  <c r="G138" i="2" s="1"/>
  <c r="H107" i="2"/>
  <c r="I138" i="2" s="1"/>
  <c r="J107" i="2"/>
  <c r="K138" i="2" s="1"/>
  <c r="D107" i="2"/>
  <c r="G107" i="2"/>
  <c r="H138" i="2" s="1"/>
  <c r="K107" i="2"/>
  <c r="L138" i="2" s="1"/>
  <c r="C107" i="2"/>
  <c r="D138" i="2" s="1"/>
  <c r="I108" i="2"/>
  <c r="J139" i="2" s="1"/>
  <c r="D108" i="2"/>
  <c r="E139" i="2" s="1"/>
  <c r="G108" i="2"/>
  <c r="H139" i="2" s="1"/>
  <c r="J108" i="2"/>
  <c r="K139" i="2" s="1"/>
  <c r="F108" i="2"/>
  <c r="G139" i="2" s="1"/>
  <c r="K108" i="2"/>
  <c r="L139" i="2" s="1"/>
  <c r="E108" i="2"/>
  <c r="F139" i="2" s="1"/>
  <c r="H108" i="2"/>
  <c r="I139" i="2" s="1"/>
  <c r="D90" i="2"/>
  <c r="E123" i="2" s="1"/>
  <c r="G90" i="2"/>
  <c r="H123" i="2" s="1"/>
  <c r="J90" i="2"/>
  <c r="K123" i="2" s="1"/>
  <c r="E90" i="2"/>
  <c r="F123" i="2" s="1"/>
  <c r="F90" i="2"/>
  <c r="G123" i="2" s="1"/>
  <c r="K90" i="2"/>
  <c r="L123" i="2" s="1"/>
  <c r="H90" i="2"/>
  <c r="I123" i="2" s="1"/>
  <c r="I90" i="2"/>
  <c r="J123" i="2" s="1"/>
  <c r="H95" i="2"/>
  <c r="I127" i="2" s="1"/>
  <c r="I95" i="2"/>
  <c r="J127" i="2" s="1"/>
  <c r="J95" i="2"/>
  <c r="K127" i="2" s="1"/>
  <c r="E95" i="2"/>
  <c r="F127" i="2" s="1"/>
  <c r="G95" i="2"/>
  <c r="H127" i="2" s="1"/>
  <c r="K95" i="2"/>
  <c r="L127" i="2" s="1"/>
  <c r="D95" i="2"/>
  <c r="E127" i="2" s="1"/>
  <c r="F95" i="2"/>
  <c r="G127" i="2" s="1"/>
  <c r="A117" i="1"/>
  <c r="B117" i="1" s="1"/>
  <c r="C108" i="2"/>
  <c r="D139" i="2" s="1"/>
  <c r="D132" i="2"/>
  <c r="Q492" i="9" l="1"/>
  <c r="D492" i="9"/>
  <c r="BG495" i="2" s="1"/>
  <c r="AF641" i="2"/>
  <c r="AJ665" i="2"/>
  <c r="AK665" i="2" s="1"/>
  <c r="Q428" i="2"/>
  <c r="AG624" i="2"/>
  <c r="L429" i="2"/>
  <c r="M429" i="2" s="1"/>
  <c r="I429" i="2"/>
  <c r="J429" i="2" s="1"/>
  <c r="R429" i="2"/>
  <c r="S429" i="2" s="1"/>
  <c r="M369" i="9"/>
  <c r="N369" i="9" s="1"/>
  <c r="P369" i="9" s="1"/>
  <c r="AL430" i="2" s="1"/>
  <c r="A667" i="2"/>
  <c r="I667" i="2" s="1"/>
  <c r="K431" i="2"/>
  <c r="L301" i="2"/>
  <c r="W301" i="2"/>
  <c r="M301" i="2"/>
  <c r="C627" i="2"/>
  <c r="T369" i="9"/>
  <c r="L641" i="2"/>
  <c r="D551" i="2"/>
  <c r="BC493" i="2" s="1"/>
  <c r="E301" i="2"/>
  <c r="L370" i="9"/>
  <c r="O434" i="9" s="1"/>
  <c r="F429" i="2"/>
  <c r="N429" i="2" s="1"/>
  <c r="I300" i="2"/>
  <c r="J300" i="2"/>
  <c r="K300" i="2"/>
  <c r="V300" i="2"/>
  <c r="D494" i="2" s="1"/>
  <c r="E494" i="2" s="1"/>
  <c r="I494" i="2" s="1"/>
  <c r="D434" i="9"/>
  <c r="E434" i="9" s="1"/>
  <c r="AR495" i="2" s="1"/>
  <c r="AS495" i="2" s="1"/>
  <c r="L434" i="9"/>
  <c r="M434" i="9" s="1"/>
  <c r="I370" i="9"/>
  <c r="J370" i="9" s="1"/>
  <c r="K370" i="9" s="1"/>
  <c r="D243" i="9"/>
  <c r="G243" i="9" s="1"/>
  <c r="D242" i="9"/>
  <c r="G242" i="9" s="1"/>
  <c r="B611" i="2"/>
  <c r="B628" i="2" s="1"/>
  <c r="B645" i="2" s="1"/>
  <c r="G429" i="2"/>
  <c r="E642" i="2"/>
  <c r="K642" i="2" s="1"/>
  <c r="AF642" i="2" s="1"/>
  <c r="AK431" i="2"/>
  <c r="AT431" i="2"/>
  <c r="AL428" i="2"/>
  <c r="AM428" i="2" s="1"/>
  <c r="R299" i="2"/>
  <c r="S299" i="2" s="1"/>
  <c r="AC428" i="2"/>
  <c r="B371" i="9"/>
  <c r="C371" i="9" s="1"/>
  <c r="B435" i="9"/>
  <c r="B493" i="9" s="1"/>
  <c r="B299" i="9"/>
  <c r="AI495" i="2"/>
  <c r="C298" i="9"/>
  <c r="AN301" i="2" s="1"/>
  <c r="B436" i="9"/>
  <c r="B494" i="9" s="1"/>
  <c r="B300" i="9"/>
  <c r="B372" i="9"/>
  <c r="C372" i="9" s="1"/>
  <c r="D298" i="9"/>
  <c r="G298" i="9"/>
  <c r="H298" i="9" s="1"/>
  <c r="N492" i="9"/>
  <c r="L492" i="9"/>
  <c r="P492" i="9"/>
  <c r="K492" i="9"/>
  <c r="O492" i="9"/>
  <c r="H492" i="9"/>
  <c r="I492" i="9"/>
  <c r="G492" i="9"/>
  <c r="I435" i="9"/>
  <c r="A371" i="9"/>
  <c r="A435" i="9"/>
  <c r="A299" i="9"/>
  <c r="S371" i="9" s="1"/>
  <c r="J435" i="9"/>
  <c r="C242" i="9"/>
  <c r="E242" i="9"/>
  <c r="F242" i="9" s="1"/>
  <c r="L242" i="9"/>
  <c r="M299" i="9" s="1"/>
  <c r="N299" i="9" s="1"/>
  <c r="K242" i="9"/>
  <c r="J299" i="9" s="1"/>
  <c r="A436" i="9"/>
  <c r="I436" i="9"/>
  <c r="J436" i="9"/>
  <c r="A372" i="9"/>
  <c r="A300" i="9"/>
  <c r="S372" i="9" s="1"/>
  <c r="E243" i="9"/>
  <c r="F243" i="9" s="1"/>
  <c r="L243" i="9"/>
  <c r="M300" i="9" s="1"/>
  <c r="N300" i="9" s="1"/>
  <c r="K243" i="9"/>
  <c r="J300" i="9" s="1"/>
  <c r="G643" i="2"/>
  <c r="F643" i="2"/>
  <c r="C643" i="2"/>
  <c r="D643" i="2" s="1"/>
  <c r="AE643" i="2" s="1"/>
  <c r="H626" i="2"/>
  <c r="I626" i="2" s="1"/>
  <c r="D666" i="2"/>
  <c r="H643" i="2"/>
  <c r="B668" i="2"/>
  <c r="G627" i="2"/>
  <c r="D627" i="2"/>
  <c r="E627" i="2" s="1"/>
  <c r="F627" i="2"/>
  <c r="M627" i="2"/>
  <c r="A644" i="2"/>
  <c r="K627" i="2"/>
  <c r="N627" i="2"/>
  <c r="A628" i="2"/>
  <c r="A612" i="2"/>
  <c r="B612" i="2" s="1"/>
  <c r="Q612" i="2"/>
  <c r="R612" i="2"/>
  <c r="E355" i="2"/>
  <c r="D355" i="2"/>
  <c r="K355" i="2"/>
  <c r="C430" i="2"/>
  <c r="J551" i="2"/>
  <c r="B495" i="2"/>
  <c r="B553" i="2" s="1"/>
  <c r="B431" i="2"/>
  <c r="B358" i="2"/>
  <c r="K551" i="2"/>
  <c r="BS493" i="2" s="1"/>
  <c r="N551" i="2"/>
  <c r="CA493" i="2" s="1"/>
  <c r="G551" i="2"/>
  <c r="H551" i="2" s="1"/>
  <c r="BK493" i="2" s="1"/>
  <c r="P551" i="2"/>
  <c r="AM494" i="2"/>
  <c r="L357" i="2"/>
  <c r="E430" i="2"/>
  <c r="H430" i="2"/>
  <c r="D430" i="2"/>
  <c r="R357" i="2"/>
  <c r="S357" i="2"/>
  <c r="T357" i="2" s="1"/>
  <c r="F356" i="2"/>
  <c r="K493" i="2"/>
  <c r="L493" i="2" s="1"/>
  <c r="G494" i="2"/>
  <c r="AE494" i="2" s="1"/>
  <c r="AZ299" i="2"/>
  <c r="A552" i="2"/>
  <c r="Q552" i="2" s="1"/>
  <c r="A358" i="2"/>
  <c r="A495" i="2"/>
  <c r="A431" i="2"/>
  <c r="AM495" i="2"/>
  <c r="L358" i="2"/>
  <c r="AZ301" i="2" s="1"/>
  <c r="P299" i="2"/>
  <c r="Q299" i="2" s="1"/>
  <c r="BI299" i="2"/>
  <c r="BJ299" i="2" s="1"/>
  <c r="U300" i="2"/>
  <c r="P357" i="2" s="1"/>
  <c r="Q357" i="2" s="1"/>
  <c r="N299" i="2"/>
  <c r="W238" i="2"/>
  <c r="F357" i="2" s="1"/>
  <c r="F183" i="9"/>
  <c r="H183" i="9" s="1"/>
  <c r="J183" i="9" s="1"/>
  <c r="G436" i="9" s="1"/>
  <c r="F182" i="9"/>
  <c r="H182" i="9" s="1"/>
  <c r="J182" i="9" s="1"/>
  <c r="G435" i="9" s="1"/>
  <c r="F239" i="2"/>
  <c r="H239" i="2" s="1"/>
  <c r="J239" i="2" s="1"/>
  <c r="M239" i="2" s="1"/>
  <c r="N239" i="2" s="1"/>
  <c r="AU627" i="2"/>
  <c r="AV627" i="2" s="1"/>
  <c r="AW627" i="2" s="1"/>
  <c r="AI642" i="2"/>
  <c r="BL303" i="2"/>
  <c r="AY497" i="2"/>
  <c r="BL302" i="2"/>
  <c r="AY496" i="2"/>
  <c r="CE494" i="2"/>
  <c r="AQ627" i="2"/>
  <c r="AR625" i="2"/>
  <c r="AS625" i="2" s="1"/>
  <c r="AF625" i="2"/>
  <c r="AG625" i="2" s="1"/>
  <c r="AJ625" i="2"/>
  <c r="AN625" i="2" s="1"/>
  <c r="AO625" i="2" s="1"/>
  <c r="BW494" i="2"/>
  <c r="BY494" i="2" s="1"/>
  <c r="L489" i="9"/>
  <c r="BX492" i="2"/>
  <c r="BY492" i="2" s="1"/>
  <c r="O367" i="9"/>
  <c r="BC429" i="2"/>
  <c r="BC428" i="2"/>
  <c r="T367" i="9"/>
  <c r="AM429" i="2"/>
  <c r="N355" i="2"/>
  <c r="BA298" i="2"/>
  <c r="BB298" i="2" s="1"/>
  <c r="BE300" i="2"/>
  <c r="BF300" i="2" s="1"/>
  <c r="AW299" i="2"/>
  <c r="AX299" i="2" s="1"/>
  <c r="AO298" i="2"/>
  <c r="AP298" i="2" s="1"/>
  <c r="AS298" i="2"/>
  <c r="AT298" i="2" s="1"/>
  <c r="Q238" i="2"/>
  <c r="R240" i="2"/>
  <c r="S240" i="2"/>
  <c r="C97" i="2"/>
  <c r="C149" i="2" s="1"/>
  <c r="AO300" i="2"/>
  <c r="AP300" i="2" s="1"/>
  <c r="N182" i="9"/>
  <c r="O182" i="9" s="1"/>
  <c r="AV302" i="2" s="1"/>
  <c r="N183" i="9"/>
  <c r="O183" i="9" s="1"/>
  <c r="AV303" i="2" s="1"/>
  <c r="Q182" i="9"/>
  <c r="I299" i="9" s="1"/>
  <c r="Q183" i="9"/>
  <c r="I300" i="9" s="1"/>
  <c r="D128" i="2"/>
  <c r="C96" i="2"/>
  <c r="C192" i="2" s="1"/>
  <c r="H77" i="9"/>
  <c r="F77" i="9"/>
  <c r="I77" i="9"/>
  <c r="J77" i="9"/>
  <c r="G77" i="9"/>
  <c r="E77" i="9"/>
  <c r="D77" i="9"/>
  <c r="C135" i="9"/>
  <c r="H295" i="9"/>
  <c r="E295" i="9"/>
  <c r="C116" i="1"/>
  <c r="C243" i="9" s="1"/>
  <c r="A184" i="9"/>
  <c r="AY666" i="2"/>
  <c r="AI666" i="2"/>
  <c r="AM666" i="2"/>
  <c r="A176" i="1"/>
  <c r="Q187" i="1" s="1"/>
  <c r="B175" i="1"/>
  <c r="C175" i="1" s="1"/>
  <c r="C301" i="2"/>
  <c r="U301" i="2" s="1"/>
  <c r="P358" i="2" s="1"/>
  <c r="B240" i="2"/>
  <c r="B302" i="2" s="1"/>
  <c r="A302" i="2"/>
  <c r="U239" i="2"/>
  <c r="O358" i="2" s="1"/>
  <c r="O239" i="2"/>
  <c r="P239" i="2" s="1"/>
  <c r="F301" i="2"/>
  <c r="G301" i="2" s="1"/>
  <c r="K240" i="2"/>
  <c r="L240" i="2" s="1"/>
  <c r="I240" i="2"/>
  <c r="U240" i="2" s="1"/>
  <c r="V240" i="2"/>
  <c r="C240" i="2"/>
  <c r="D240" i="2" s="1"/>
  <c r="G240" i="2"/>
  <c r="E240" i="2"/>
  <c r="A241" i="2"/>
  <c r="D301" i="2"/>
  <c r="H301" i="2" s="1"/>
  <c r="I492" i="2"/>
  <c r="J550" i="2"/>
  <c r="L550" i="2" s="1"/>
  <c r="L492" i="2"/>
  <c r="D111" i="2"/>
  <c r="D172" i="2" s="1"/>
  <c r="H128" i="2"/>
  <c r="F142" i="2"/>
  <c r="G142" i="2"/>
  <c r="J142" i="2"/>
  <c r="K142" i="2"/>
  <c r="L142" i="2"/>
  <c r="I142" i="2"/>
  <c r="H142" i="2"/>
  <c r="K128" i="2"/>
  <c r="D142" i="2"/>
  <c r="E138" i="2"/>
  <c r="E142" i="2" s="1"/>
  <c r="F128" i="2"/>
  <c r="H111" i="2"/>
  <c r="H172" i="2" s="1"/>
  <c r="J128" i="2"/>
  <c r="I128" i="2"/>
  <c r="E128" i="2"/>
  <c r="L128" i="2"/>
  <c r="G128" i="2"/>
  <c r="G111" i="2"/>
  <c r="G172" i="2" s="1"/>
  <c r="F111" i="2"/>
  <c r="F172" i="2" s="1"/>
  <c r="E111" i="2"/>
  <c r="E172" i="2" s="1"/>
  <c r="K111" i="2"/>
  <c r="K172" i="2" s="1"/>
  <c r="I111" i="2"/>
  <c r="I172" i="2" s="1"/>
  <c r="J111" i="2"/>
  <c r="J172" i="2" s="1"/>
  <c r="J97" i="2"/>
  <c r="J96" i="2"/>
  <c r="J192" i="2" s="1"/>
  <c r="D96" i="2"/>
  <c r="D192" i="2" s="1"/>
  <c r="D97" i="2"/>
  <c r="I97" i="2"/>
  <c r="I96" i="2"/>
  <c r="I192" i="2" s="1"/>
  <c r="K97" i="2"/>
  <c r="K96" i="2"/>
  <c r="K192" i="2" s="1"/>
  <c r="E97" i="2"/>
  <c r="E96" i="2"/>
  <c r="E192" i="2" s="1"/>
  <c r="G97" i="2"/>
  <c r="G96" i="2"/>
  <c r="G192" i="2" s="1"/>
  <c r="H97" i="2"/>
  <c r="H96" i="2"/>
  <c r="H192" i="2" s="1"/>
  <c r="F96" i="2"/>
  <c r="F192" i="2" s="1"/>
  <c r="F97" i="2"/>
  <c r="C111" i="2"/>
  <c r="C172" i="2" s="1"/>
  <c r="A118" i="1"/>
  <c r="B118" i="1" s="1"/>
  <c r="O644" i="2" l="1"/>
  <c r="N644" i="2"/>
  <c r="M644" i="2"/>
  <c r="S644" i="2"/>
  <c r="R644" i="2"/>
  <c r="I643" i="2"/>
  <c r="J643" i="2" s="1"/>
  <c r="N643" i="2" s="1"/>
  <c r="M370" i="9"/>
  <c r="N370" i="9" s="1"/>
  <c r="P370" i="9" s="1"/>
  <c r="AL431" i="2" s="1"/>
  <c r="R430" i="2"/>
  <c r="S430" i="2" s="1"/>
  <c r="L430" i="2"/>
  <c r="M430" i="2" s="1"/>
  <c r="O369" i="9"/>
  <c r="L667" i="2"/>
  <c r="K667" i="2"/>
  <c r="AM667" i="2" s="1"/>
  <c r="P667" i="2"/>
  <c r="O429" i="2"/>
  <c r="Q667" i="2"/>
  <c r="AY667" i="2" s="1"/>
  <c r="I430" i="2"/>
  <c r="J430" i="2" s="1"/>
  <c r="K644" i="2"/>
  <c r="I644" i="2"/>
  <c r="P644" i="2"/>
  <c r="K432" i="2"/>
  <c r="M302" i="2"/>
  <c r="L302" i="2"/>
  <c r="W302" i="2"/>
  <c r="J667" i="2"/>
  <c r="P429" i="2"/>
  <c r="O667" i="2"/>
  <c r="F667" i="2"/>
  <c r="N667" i="2" s="1"/>
  <c r="R667" i="2"/>
  <c r="C628" i="2"/>
  <c r="AP429" i="2"/>
  <c r="T429" i="2"/>
  <c r="U429" i="2" s="1"/>
  <c r="G667" i="2"/>
  <c r="T667" i="2"/>
  <c r="S667" i="2"/>
  <c r="U356" i="2"/>
  <c r="T370" i="9"/>
  <c r="D552" i="2"/>
  <c r="BC494" i="2" s="1"/>
  <c r="E302" i="2"/>
  <c r="G430" i="2"/>
  <c r="F430" i="2"/>
  <c r="V301" i="2"/>
  <c r="J301" i="2"/>
  <c r="J492" i="9"/>
  <c r="BX495" i="2" s="1"/>
  <c r="K301" i="2"/>
  <c r="I301" i="2"/>
  <c r="H242" i="9"/>
  <c r="I242" i="9" s="1"/>
  <c r="J242" i="9" s="1"/>
  <c r="G299" i="9" s="1"/>
  <c r="H299" i="9" s="1"/>
  <c r="M242" i="9"/>
  <c r="D435" i="9" s="1"/>
  <c r="E435" i="9" s="1"/>
  <c r="M243" i="9"/>
  <c r="K436" i="9" s="1"/>
  <c r="H243" i="9"/>
  <c r="I243" i="9" s="1"/>
  <c r="J243" i="9" s="1"/>
  <c r="G372" i="9"/>
  <c r="L642" i="2"/>
  <c r="E643" i="2"/>
  <c r="G371" i="9"/>
  <c r="G356" i="2"/>
  <c r="H356" i="2" s="1"/>
  <c r="AD428" i="2"/>
  <c r="AG428" i="2" s="1"/>
  <c r="R300" i="2"/>
  <c r="S300" i="2" s="1"/>
  <c r="G357" i="2" s="1"/>
  <c r="AK300" i="2" s="1"/>
  <c r="K299" i="9"/>
  <c r="K300" i="9"/>
  <c r="E371" i="9"/>
  <c r="F371" i="9" s="1"/>
  <c r="AT432" i="2" s="1"/>
  <c r="H371" i="9"/>
  <c r="D371" i="9"/>
  <c r="Q372" i="9"/>
  <c r="R372" i="9"/>
  <c r="D372" i="9"/>
  <c r="H372" i="9"/>
  <c r="E372" i="9"/>
  <c r="F372" i="9" s="1"/>
  <c r="AT433" i="2" s="1"/>
  <c r="A493" i="9"/>
  <c r="Q371" i="9"/>
  <c r="R371" i="9"/>
  <c r="P184" i="9"/>
  <c r="F301" i="9" s="1"/>
  <c r="A244" i="9"/>
  <c r="A494" i="9"/>
  <c r="E298" i="9"/>
  <c r="H627" i="2"/>
  <c r="I627" i="2" s="1"/>
  <c r="L626" i="2"/>
  <c r="J626" i="2"/>
  <c r="H644" i="2"/>
  <c r="A668" i="2"/>
  <c r="G644" i="2"/>
  <c r="F644" i="2"/>
  <c r="C644" i="2"/>
  <c r="D644" i="2" s="1"/>
  <c r="AE644" i="2" s="1"/>
  <c r="AF644" i="2" s="1"/>
  <c r="G628" i="2"/>
  <c r="M628" i="2"/>
  <c r="A645" i="2"/>
  <c r="K628" i="2"/>
  <c r="F628" i="2"/>
  <c r="H628" i="2" s="1"/>
  <c r="D628" i="2"/>
  <c r="E628" i="2" s="1"/>
  <c r="N628" i="2"/>
  <c r="B669" i="2"/>
  <c r="B629" i="2"/>
  <c r="B646" i="2" s="1"/>
  <c r="B670" i="2" s="1"/>
  <c r="A629" i="2"/>
  <c r="A613" i="2"/>
  <c r="Q613" i="2"/>
  <c r="R613" i="2"/>
  <c r="L551" i="2"/>
  <c r="K494" i="2"/>
  <c r="L494" i="2" s="1"/>
  <c r="G495" i="2"/>
  <c r="AE495" i="2" s="1"/>
  <c r="P300" i="2"/>
  <c r="Q300" i="2" s="1"/>
  <c r="Q358" i="2"/>
  <c r="R358" i="2"/>
  <c r="S358" i="2"/>
  <c r="T358" i="2" s="1"/>
  <c r="AU496" i="2"/>
  <c r="O359" i="2"/>
  <c r="A553" i="2"/>
  <c r="Q553" i="2" s="1"/>
  <c r="AZ300" i="2"/>
  <c r="A496" i="2"/>
  <c r="A359" i="2"/>
  <c r="A432" i="2"/>
  <c r="N552" i="2"/>
  <c r="CA494" i="2" s="1"/>
  <c r="G552" i="2"/>
  <c r="H552" i="2" s="1"/>
  <c r="BK494" i="2" s="1"/>
  <c r="P552" i="2"/>
  <c r="K552" i="2"/>
  <c r="BS494" i="2" s="1"/>
  <c r="B359" i="2"/>
  <c r="B432" i="2"/>
  <c r="B496" i="2"/>
  <c r="B554" i="2" s="1"/>
  <c r="C356" i="2"/>
  <c r="AF299" i="2" s="1"/>
  <c r="I356" i="2"/>
  <c r="AR299" i="2" s="1"/>
  <c r="AJ299" i="2"/>
  <c r="E431" i="2"/>
  <c r="H431" i="2"/>
  <c r="D431" i="2"/>
  <c r="J552" i="2"/>
  <c r="C431" i="2"/>
  <c r="BI300" i="2"/>
  <c r="BJ300" i="2" s="1"/>
  <c r="BI301" i="2"/>
  <c r="AK625" i="2"/>
  <c r="O299" i="2"/>
  <c r="K356" i="2" s="1"/>
  <c r="T299" i="2"/>
  <c r="M356" i="2" s="1"/>
  <c r="N356" i="2" s="1"/>
  <c r="AJ300" i="2"/>
  <c r="W239" i="2"/>
  <c r="F358" i="2" s="1"/>
  <c r="N300" i="2"/>
  <c r="M183" i="9"/>
  <c r="C300" i="9" s="1"/>
  <c r="F240" i="2"/>
  <c r="H240" i="2" s="1"/>
  <c r="J240" i="2" s="1"/>
  <c r="M182" i="9"/>
  <c r="BC666" i="2"/>
  <c r="AJ666" i="2"/>
  <c r="AK666" i="2" s="1"/>
  <c r="AZ666" i="2"/>
  <c r="BA666" i="2" s="1"/>
  <c r="AU628" i="2"/>
  <c r="AV628" i="2" s="1"/>
  <c r="AW628" i="2" s="1"/>
  <c r="AI643" i="2"/>
  <c r="BM302" i="2"/>
  <c r="BN302" i="2" s="1"/>
  <c r="BD303" i="2"/>
  <c r="AQ497" i="2"/>
  <c r="BM303" i="2"/>
  <c r="BN303" i="2" s="1"/>
  <c r="CE495" i="2"/>
  <c r="BD302" i="2"/>
  <c r="AQ496" i="2"/>
  <c r="AF626" i="2"/>
  <c r="AG626" i="2" s="1"/>
  <c r="AR626" i="2"/>
  <c r="AS626" i="2" s="1"/>
  <c r="AQ628" i="2"/>
  <c r="AI497" i="2"/>
  <c r="AI496" i="2"/>
  <c r="AJ626" i="2"/>
  <c r="AN626" i="2" s="1"/>
  <c r="AO626" i="2" s="1"/>
  <c r="AN493" i="2"/>
  <c r="AO493" i="2" s="1"/>
  <c r="BT493" i="2"/>
  <c r="BU493" i="2" s="1"/>
  <c r="BW495" i="2"/>
  <c r="BY495" i="2" s="1"/>
  <c r="BO495" i="2"/>
  <c r="BH301" i="2"/>
  <c r="AU495" i="2"/>
  <c r="BD428" i="2"/>
  <c r="BD429" i="2"/>
  <c r="BC430" i="2"/>
  <c r="AM430" i="2"/>
  <c r="V355" i="2"/>
  <c r="BE301" i="2"/>
  <c r="BF301" i="2" s="1"/>
  <c r="AW300" i="2"/>
  <c r="AX300" i="2" s="1"/>
  <c r="AG298" i="2"/>
  <c r="AH298" i="2" s="1"/>
  <c r="Q239" i="2"/>
  <c r="R241" i="2"/>
  <c r="S241" i="2"/>
  <c r="C168" i="2"/>
  <c r="AO301" i="2"/>
  <c r="AP301" i="2" s="1"/>
  <c r="I184" i="9"/>
  <c r="R184" i="9" s="1"/>
  <c r="L301" i="9" s="1"/>
  <c r="E184" i="9"/>
  <c r="G184" i="9"/>
  <c r="C184" i="9"/>
  <c r="D184" i="9" s="1"/>
  <c r="K184" i="9"/>
  <c r="N184" i="9" s="1"/>
  <c r="I136" i="9"/>
  <c r="I137" i="9" s="1"/>
  <c r="I138" i="9" s="1"/>
  <c r="I146" i="9" s="1"/>
  <c r="I93" i="9"/>
  <c r="I94" i="9" s="1"/>
  <c r="I96" i="9" s="1"/>
  <c r="H136" i="9"/>
  <c r="H137" i="9" s="1"/>
  <c r="H138" i="9" s="1"/>
  <c r="H146" i="9" s="1"/>
  <c r="H93" i="9"/>
  <c r="H94" i="9" s="1"/>
  <c r="H96" i="9" s="1"/>
  <c r="G136" i="9"/>
  <c r="G137" i="9" s="1"/>
  <c r="G138" i="9" s="1"/>
  <c r="G146" i="9" s="1"/>
  <c r="G93" i="9"/>
  <c r="G94" i="9" s="1"/>
  <c r="G96" i="9" s="1"/>
  <c r="C136" i="9"/>
  <c r="C137" i="9" s="1"/>
  <c r="C138" i="9" s="1"/>
  <c r="C146" i="9" s="1"/>
  <c r="C93" i="9"/>
  <c r="C94" i="9" s="1"/>
  <c r="C96" i="9" s="1"/>
  <c r="D136" i="9"/>
  <c r="D137" i="9" s="1"/>
  <c r="D138" i="9" s="1"/>
  <c r="D146" i="9" s="1"/>
  <c r="D93" i="9"/>
  <c r="D94" i="9" s="1"/>
  <c r="D96" i="9" s="1"/>
  <c r="E136" i="9"/>
  <c r="E137" i="9" s="1"/>
  <c r="E138" i="9" s="1"/>
  <c r="E146" i="9" s="1"/>
  <c r="E93" i="9"/>
  <c r="E94" i="9" s="1"/>
  <c r="E96" i="9" s="1"/>
  <c r="F136" i="9"/>
  <c r="F137" i="9" s="1"/>
  <c r="F138" i="9" s="1"/>
  <c r="F146" i="9" s="1"/>
  <c r="F93" i="9"/>
  <c r="F94" i="9" s="1"/>
  <c r="F96" i="9" s="1"/>
  <c r="C111" i="9"/>
  <c r="C117" i="1"/>
  <c r="A185" i="9"/>
  <c r="B184" i="9"/>
  <c r="B244" i="9" s="1"/>
  <c r="B373" i="9" s="1"/>
  <c r="C302" i="2"/>
  <c r="U302" i="2" s="1"/>
  <c r="P359" i="2" s="1"/>
  <c r="F302" i="2"/>
  <c r="G302" i="2" s="1"/>
  <c r="AI667" i="2"/>
  <c r="A177" i="1"/>
  <c r="B176" i="1"/>
  <c r="C176" i="1" s="1"/>
  <c r="AE666" i="2"/>
  <c r="D302" i="2"/>
  <c r="H302" i="2" s="1"/>
  <c r="A303" i="2"/>
  <c r="B241" i="2"/>
  <c r="B303" i="2" s="1"/>
  <c r="T240" i="2"/>
  <c r="L359" i="2" s="1"/>
  <c r="O240" i="2"/>
  <c r="P240" i="2" s="1"/>
  <c r="A242" i="2"/>
  <c r="V241" i="2"/>
  <c r="K241" i="2"/>
  <c r="L241" i="2" s="1"/>
  <c r="I241" i="2"/>
  <c r="U241" i="2" s="1"/>
  <c r="C241" i="2"/>
  <c r="D241" i="2" s="1"/>
  <c r="G241" i="2"/>
  <c r="E241" i="2"/>
  <c r="AY428" i="2"/>
  <c r="D168" i="2"/>
  <c r="D149" i="2"/>
  <c r="D150" i="2" s="1"/>
  <c r="D151" i="2" s="1"/>
  <c r="G168" i="2"/>
  <c r="G149" i="2"/>
  <c r="G150" i="2" s="1"/>
  <c r="G151" i="2" s="1"/>
  <c r="G153" i="2" s="1"/>
  <c r="I168" i="2"/>
  <c r="I149" i="2"/>
  <c r="I150" i="2" s="1"/>
  <c r="I151" i="2" s="1"/>
  <c r="E168" i="2"/>
  <c r="E149" i="2"/>
  <c r="E150" i="2" s="1"/>
  <c r="E151" i="2" s="1"/>
  <c r="F168" i="2"/>
  <c r="F149" i="2"/>
  <c r="F150" i="2" s="1"/>
  <c r="F151" i="2" s="1"/>
  <c r="K168" i="2"/>
  <c r="K149" i="2"/>
  <c r="K150" i="2" s="1"/>
  <c r="K151" i="2" s="1"/>
  <c r="K153" i="2" s="1"/>
  <c r="H168" i="2"/>
  <c r="H149" i="2"/>
  <c r="H150" i="2" s="1"/>
  <c r="H151" i="2" s="1"/>
  <c r="J168" i="2"/>
  <c r="J149" i="2"/>
  <c r="J150" i="2" s="1"/>
  <c r="J151" i="2" s="1"/>
  <c r="H193" i="2"/>
  <c r="H194" i="2" s="1"/>
  <c r="H195" i="2" s="1"/>
  <c r="H203" i="2" s="1"/>
  <c r="K193" i="2"/>
  <c r="K194" i="2" s="1"/>
  <c r="K195" i="2" s="1"/>
  <c r="K203" i="2" s="1"/>
  <c r="I193" i="2"/>
  <c r="D193" i="2"/>
  <c r="D194" i="2" s="1"/>
  <c r="D195" i="2" s="1"/>
  <c r="D203" i="2" s="1"/>
  <c r="F193" i="2"/>
  <c r="F194" i="2" s="1"/>
  <c r="F195" i="2" s="1"/>
  <c r="F203" i="2" s="1"/>
  <c r="C193" i="2"/>
  <c r="C194" i="2" s="1"/>
  <c r="C195" i="2" s="1"/>
  <c r="C203" i="2" s="1"/>
  <c r="C150" i="2"/>
  <c r="C151" i="2" s="1"/>
  <c r="C153" i="2" s="1"/>
  <c r="E193" i="2"/>
  <c r="J193" i="2"/>
  <c r="G193" i="2"/>
  <c r="G194" i="2" s="1"/>
  <c r="G195" i="2" s="1"/>
  <c r="G203" i="2" s="1"/>
  <c r="A119" i="1"/>
  <c r="B119" i="1" s="1"/>
  <c r="Q494" i="9" l="1"/>
  <c r="D494" i="9"/>
  <c r="BG497" i="2" s="1"/>
  <c r="Q493" i="9"/>
  <c r="D493" i="9"/>
  <c r="BG496" i="2" s="1"/>
  <c r="O370" i="9"/>
  <c r="O645" i="2"/>
  <c r="N645" i="2"/>
  <c r="M645" i="2"/>
  <c r="S645" i="2"/>
  <c r="R645" i="2"/>
  <c r="Q429" i="2"/>
  <c r="I431" i="2"/>
  <c r="J431" i="2" s="1"/>
  <c r="AD429" i="2"/>
  <c r="R431" i="2"/>
  <c r="S431" i="2" s="1"/>
  <c r="K433" i="2"/>
  <c r="L303" i="2"/>
  <c r="M303" i="2"/>
  <c r="W303" i="2"/>
  <c r="D667" i="2"/>
  <c r="AJ667" i="2" s="1"/>
  <c r="AK667" i="2" s="1"/>
  <c r="K643" i="2"/>
  <c r="C629" i="2"/>
  <c r="H645" i="2"/>
  <c r="P645" i="2"/>
  <c r="K645" i="2"/>
  <c r="I645" i="2"/>
  <c r="L431" i="2"/>
  <c r="M431" i="2" s="1"/>
  <c r="AP430" i="2"/>
  <c r="N430" i="2"/>
  <c r="T430" i="2" s="1"/>
  <c r="U430" i="2" s="1"/>
  <c r="U357" i="2"/>
  <c r="AY430" i="2" s="1"/>
  <c r="AZ430" i="2" s="1"/>
  <c r="BC431" i="2"/>
  <c r="BD431" i="2" s="1"/>
  <c r="V357" i="2"/>
  <c r="D553" i="2"/>
  <c r="BC495" i="2" s="1"/>
  <c r="E303" i="2"/>
  <c r="L371" i="9"/>
  <c r="O435" i="9" s="1"/>
  <c r="M244" i="9"/>
  <c r="K437" i="9" s="1"/>
  <c r="H244" i="9"/>
  <c r="A373" i="9"/>
  <c r="L372" i="9"/>
  <c r="O436" i="9" s="1"/>
  <c r="G431" i="2"/>
  <c r="F431" i="2"/>
  <c r="I371" i="9"/>
  <c r="J371" i="9" s="1"/>
  <c r="K371" i="9" s="1"/>
  <c r="K435" i="9"/>
  <c r="L435" i="9"/>
  <c r="M435" i="9" s="1"/>
  <c r="I302" i="2"/>
  <c r="J302" i="2"/>
  <c r="V302" i="2"/>
  <c r="D496" i="2" s="1"/>
  <c r="E496" i="2" s="1"/>
  <c r="I496" i="2" s="1"/>
  <c r="K302" i="2"/>
  <c r="I372" i="9"/>
  <c r="J372" i="9" s="1"/>
  <c r="K372" i="9" s="1"/>
  <c r="D436" i="9"/>
  <c r="E436" i="9" s="1"/>
  <c r="AR497" i="2" s="1"/>
  <c r="D244" i="9"/>
  <c r="G244" i="9"/>
  <c r="B613" i="2"/>
  <c r="B630" i="2" s="1"/>
  <c r="B647" i="2" s="1"/>
  <c r="E644" i="2"/>
  <c r="AK299" i="2"/>
  <c r="AL299" i="2" s="1"/>
  <c r="W428" i="2"/>
  <c r="AF428" i="2"/>
  <c r="AH428" i="2"/>
  <c r="AI428" i="2" s="1"/>
  <c r="H169" i="2"/>
  <c r="H170" i="2" s="1"/>
  <c r="H171" i="2" s="1"/>
  <c r="H175" i="2" s="1"/>
  <c r="H153" i="2"/>
  <c r="J169" i="2"/>
  <c r="J170" i="2" s="1"/>
  <c r="J171" i="2" s="1"/>
  <c r="J153" i="2"/>
  <c r="E169" i="2"/>
  <c r="E170" i="2" s="1"/>
  <c r="E171" i="2" s="1"/>
  <c r="E175" i="2" s="1"/>
  <c r="E153" i="2"/>
  <c r="I169" i="2"/>
  <c r="I170" i="2" s="1"/>
  <c r="I171" i="2" s="1"/>
  <c r="I175" i="2" s="1"/>
  <c r="I153" i="2"/>
  <c r="F169" i="2"/>
  <c r="F170" i="2" s="1"/>
  <c r="F171" i="2" s="1"/>
  <c r="F175" i="2" s="1"/>
  <c r="F153" i="2"/>
  <c r="D169" i="2"/>
  <c r="D170" i="2" s="1"/>
  <c r="D171" i="2" s="1"/>
  <c r="D175" i="2" s="1"/>
  <c r="D153" i="2"/>
  <c r="V428" i="2"/>
  <c r="AE428" i="2"/>
  <c r="R301" i="2"/>
  <c r="S301" i="2" s="1"/>
  <c r="G358" i="2" s="1"/>
  <c r="AK301" i="2" s="1"/>
  <c r="D299" i="9"/>
  <c r="J493" i="9"/>
  <c r="BX496" i="2" s="1"/>
  <c r="AK433" i="2"/>
  <c r="AK432" i="2"/>
  <c r="G493" i="9"/>
  <c r="K493" i="9"/>
  <c r="L493" i="9"/>
  <c r="N493" i="9"/>
  <c r="I493" i="9"/>
  <c r="H493" i="9"/>
  <c r="BO496" i="2" s="1"/>
  <c r="O493" i="9"/>
  <c r="P493" i="9"/>
  <c r="P185" i="9"/>
  <c r="F302" i="9" s="1"/>
  <c r="A245" i="9"/>
  <c r="L436" i="9"/>
  <c r="M436" i="9" s="1"/>
  <c r="D300" i="9"/>
  <c r="E300" i="9" s="1"/>
  <c r="G300" i="9"/>
  <c r="H300" i="9" s="1"/>
  <c r="H494" i="9"/>
  <c r="L494" i="9"/>
  <c r="O494" i="9"/>
  <c r="G494" i="9"/>
  <c r="I494" i="9"/>
  <c r="N494" i="9"/>
  <c r="K494" i="9"/>
  <c r="P494" i="9"/>
  <c r="A437" i="9"/>
  <c r="J437" i="9"/>
  <c r="A301" i="9"/>
  <c r="S373" i="9" s="1"/>
  <c r="I437" i="9"/>
  <c r="C244" i="9"/>
  <c r="E244" i="9"/>
  <c r="F244" i="9" s="1"/>
  <c r="L244" i="9"/>
  <c r="M301" i="9" s="1"/>
  <c r="N301" i="9" s="1"/>
  <c r="K244" i="9"/>
  <c r="J301" i="9" s="1"/>
  <c r="C373" i="9"/>
  <c r="B301" i="9"/>
  <c r="B437" i="9"/>
  <c r="B495" i="9" s="1"/>
  <c r="C299" i="9"/>
  <c r="J644" i="2"/>
  <c r="D668" i="2" s="1"/>
  <c r="I628" i="2"/>
  <c r="L627" i="2"/>
  <c r="J627" i="2"/>
  <c r="I668" i="2"/>
  <c r="AI668" i="2" s="1"/>
  <c r="S668" i="2"/>
  <c r="K668" i="2"/>
  <c r="AM668" i="2" s="1"/>
  <c r="J668" i="2"/>
  <c r="O668" i="2"/>
  <c r="P668" i="2"/>
  <c r="Q668" i="2"/>
  <c r="AY668" i="2" s="1"/>
  <c r="F668" i="2"/>
  <c r="N668" i="2" s="1"/>
  <c r="G668" i="2"/>
  <c r="T668" i="2"/>
  <c r="R668" i="2"/>
  <c r="L668" i="2"/>
  <c r="E645" i="2"/>
  <c r="A669" i="2"/>
  <c r="S669" i="2" s="1"/>
  <c r="F645" i="2"/>
  <c r="J645" i="2" s="1"/>
  <c r="C645" i="2"/>
  <c r="D645" i="2" s="1"/>
  <c r="G645" i="2"/>
  <c r="F629" i="2"/>
  <c r="M629" i="2"/>
  <c r="D629" i="2"/>
  <c r="E629" i="2" s="1"/>
  <c r="N629" i="2"/>
  <c r="G629" i="2"/>
  <c r="K629" i="2"/>
  <c r="A646" i="2"/>
  <c r="L552" i="2"/>
  <c r="A630" i="2"/>
  <c r="A614" i="2"/>
  <c r="Q614" i="2"/>
  <c r="R614" i="2"/>
  <c r="H357" i="2"/>
  <c r="C432" i="2"/>
  <c r="Q359" i="2"/>
  <c r="K495" i="2"/>
  <c r="L495" i="2" s="1"/>
  <c r="BH302" i="2"/>
  <c r="P301" i="2"/>
  <c r="Q301" i="2" s="1"/>
  <c r="J356" i="2"/>
  <c r="AS299" i="2" s="1"/>
  <c r="AT299" i="2" s="1"/>
  <c r="D495" i="2"/>
  <c r="E495" i="2" s="1"/>
  <c r="C357" i="2"/>
  <c r="AF300" i="2" s="1"/>
  <c r="I357" i="2"/>
  <c r="AR300" i="2" s="1"/>
  <c r="E356" i="2"/>
  <c r="D356" i="2"/>
  <c r="AG299" i="2" s="1"/>
  <c r="AH299" i="2" s="1"/>
  <c r="H432" i="2"/>
  <c r="E432" i="2"/>
  <c r="D432" i="2"/>
  <c r="B360" i="2"/>
  <c r="B433" i="2"/>
  <c r="B497" i="2"/>
  <c r="B555" i="2" s="1"/>
  <c r="R359" i="2"/>
  <c r="S359" i="2"/>
  <c r="T359" i="2" s="1"/>
  <c r="A554" i="2"/>
  <c r="Q554" i="2" s="1"/>
  <c r="N553" i="2"/>
  <c r="CA495" i="2" s="1"/>
  <c r="P553" i="2"/>
  <c r="G553" i="2"/>
  <c r="H553" i="2" s="1"/>
  <c r="BK495" i="2" s="1"/>
  <c r="K553" i="2"/>
  <c r="BS495" i="2" s="1"/>
  <c r="AU497" i="2"/>
  <c r="O360" i="2"/>
  <c r="A360" i="2"/>
  <c r="A433" i="2"/>
  <c r="A497" i="2"/>
  <c r="G496" i="2"/>
  <c r="AE496" i="2" s="1"/>
  <c r="W240" i="2"/>
  <c r="BJ301" i="2"/>
  <c r="BI302" i="2"/>
  <c r="O300" i="2"/>
  <c r="E357" i="2" s="1"/>
  <c r="T300" i="2"/>
  <c r="M357" i="2" s="1"/>
  <c r="N357" i="2" s="1"/>
  <c r="AJ301" i="2"/>
  <c r="N301" i="2"/>
  <c r="AL300" i="2"/>
  <c r="F184" i="9"/>
  <c r="H184" i="9" s="1"/>
  <c r="J184" i="9" s="1"/>
  <c r="G437" i="9" s="1"/>
  <c r="F241" i="2"/>
  <c r="H241" i="2" s="1"/>
  <c r="J241" i="2" s="1"/>
  <c r="G497" i="2" s="1"/>
  <c r="AU666" i="2"/>
  <c r="AK626" i="2"/>
  <c r="BC667" i="2"/>
  <c r="AU629" i="2"/>
  <c r="AW629" i="2" s="1"/>
  <c r="AI644" i="2"/>
  <c r="AS497" i="2"/>
  <c r="BL304" i="2"/>
  <c r="AY498" i="2"/>
  <c r="AQ629" i="2"/>
  <c r="AS629" i="2" s="1"/>
  <c r="AR627" i="2"/>
  <c r="AS627" i="2" s="1"/>
  <c r="AF627" i="2"/>
  <c r="AG627" i="2" s="1"/>
  <c r="AJ627" i="2"/>
  <c r="AN627" i="2" s="1"/>
  <c r="AO627" i="2" s="1"/>
  <c r="AN494" i="2"/>
  <c r="AO494" i="2" s="1"/>
  <c r="BT494" i="2"/>
  <c r="BU494" i="2" s="1"/>
  <c r="AR496" i="2"/>
  <c r="AS496" i="2" s="1"/>
  <c r="AZ302" i="2"/>
  <c r="AM496" i="2"/>
  <c r="BD430" i="2"/>
  <c r="AZ428" i="2"/>
  <c r="AM431" i="2"/>
  <c r="BA299" i="2"/>
  <c r="BB299" i="2" s="1"/>
  <c r="AW301" i="2"/>
  <c r="AX301" i="2" s="1"/>
  <c r="AN303" i="2"/>
  <c r="Q240" i="2"/>
  <c r="R242" i="2"/>
  <c r="S242" i="2"/>
  <c r="O184" i="9"/>
  <c r="AV304" i="2" s="1"/>
  <c r="L184" i="9"/>
  <c r="K185" i="9"/>
  <c r="N185" i="9" s="1"/>
  <c r="I185" i="9"/>
  <c r="Q185" i="9" s="1"/>
  <c r="I302" i="9" s="1"/>
  <c r="E185" i="9"/>
  <c r="G185" i="9"/>
  <c r="C185" i="9"/>
  <c r="D185" i="9" s="1"/>
  <c r="Q184" i="9"/>
  <c r="E112" i="9"/>
  <c r="F112" i="9"/>
  <c r="C139" i="9"/>
  <c r="C145" i="9"/>
  <c r="C144" i="9" s="1"/>
  <c r="F141" i="9"/>
  <c r="F145" i="9"/>
  <c r="F143" i="9" s="1"/>
  <c r="F139" i="9"/>
  <c r="F140" i="9"/>
  <c r="F151" i="9"/>
  <c r="G112" i="9"/>
  <c r="G145" i="9"/>
  <c r="G143" i="9" s="1"/>
  <c r="G141" i="9"/>
  <c r="G139" i="9"/>
  <c r="G140" i="9"/>
  <c r="G151" i="9"/>
  <c r="H112" i="9"/>
  <c r="D139" i="9"/>
  <c r="D140" i="9"/>
  <c r="D145" i="9"/>
  <c r="D144" i="9" s="1"/>
  <c r="D141" i="9"/>
  <c r="D151" i="9"/>
  <c r="H140" i="9"/>
  <c r="H145" i="9"/>
  <c r="H141" i="9"/>
  <c r="H139" i="9"/>
  <c r="H151" i="9"/>
  <c r="C112" i="9"/>
  <c r="C98" i="9"/>
  <c r="I112" i="9"/>
  <c r="E139" i="9"/>
  <c r="E140" i="9"/>
  <c r="E145" i="9"/>
  <c r="E143" i="9" s="1"/>
  <c r="E141" i="9"/>
  <c r="E151" i="9"/>
  <c r="D112" i="9"/>
  <c r="I140" i="9"/>
  <c r="I145" i="9"/>
  <c r="I143" i="9" s="1"/>
  <c r="I139" i="9"/>
  <c r="I141" i="9"/>
  <c r="I151" i="9"/>
  <c r="G98" i="9"/>
  <c r="I98" i="9"/>
  <c r="H98" i="9"/>
  <c r="E98" i="9"/>
  <c r="F98" i="9"/>
  <c r="C140" i="9"/>
  <c r="C141" i="9"/>
  <c r="C151" i="9"/>
  <c r="D98" i="9"/>
  <c r="C118" i="1"/>
  <c r="A186" i="9"/>
  <c r="B185" i="9"/>
  <c r="B245" i="9" s="1"/>
  <c r="AE667" i="2"/>
  <c r="A178" i="1"/>
  <c r="B178" i="1" s="1"/>
  <c r="C178" i="1" s="1"/>
  <c r="B177" i="1"/>
  <c r="C177" i="1" s="1"/>
  <c r="F303" i="2"/>
  <c r="G303" i="2" s="1"/>
  <c r="C303" i="2"/>
  <c r="B242" i="2"/>
  <c r="B304" i="2" s="1"/>
  <c r="A304" i="2"/>
  <c r="M240" i="2"/>
  <c r="D303" i="2"/>
  <c r="H303" i="2" s="1"/>
  <c r="T241" i="2"/>
  <c r="O241" i="2"/>
  <c r="P241" i="2" s="1"/>
  <c r="A243" i="2"/>
  <c r="V242" i="2"/>
  <c r="C242" i="2"/>
  <c r="D242" i="2" s="1"/>
  <c r="K242" i="2"/>
  <c r="L242" i="2" s="1"/>
  <c r="I242" i="2"/>
  <c r="U242" i="2" s="1"/>
  <c r="G242" i="2"/>
  <c r="E242" i="2"/>
  <c r="K208" i="2"/>
  <c r="D208" i="2"/>
  <c r="D202" i="2"/>
  <c r="D200" i="2" s="1"/>
  <c r="D197" i="2"/>
  <c r="D196" i="2"/>
  <c r="D198" i="2"/>
  <c r="K202" i="2"/>
  <c r="K198" i="2"/>
  <c r="K196" i="2"/>
  <c r="K197" i="2"/>
  <c r="F202" i="2"/>
  <c r="F201" i="2" s="1"/>
  <c r="F198" i="2"/>
  <c r="F197" i="2"/>
  <c r="F196" i="2"/>
  <c r="G202" i="2"/>
  <c r="G198" i="2"/>
  <c r="G197" i="2"/>
  <c r="G196" i="2"/>
  <c r="H196" i="2"/>
  <c r="H202" i="2"/>
  <c r="H198" i="2"/>
  <c r="H197" i="2"/>
  <c r="C208" i="2"/>
  <c r="C202" i="2"/>
  <c r="C197" i="2"/>
  <c r="C196" i="2"/>
  <c r="C198" i="2"/>
  <c r="I194" i="2"/>
  <c r="I195" i="2" s="1"/>
  <c r="J194" i="2"/>
  <c r="J195" i="2" s="1"/>
  <c r="E194" i="2"/>
  <c r="E195" i="2" s="1"/>
  <c r="H208" i="2"/>
  <c r="G208" i="2"/>
  <c r="F208" i="2"/>
  <c r="H155" i="2"/>
  <c r="I155" i="2"/>
  <c r="E155" i="2"/>
  <c r="F155" i="2"/>
  <c r="K169" i="2"/>
  <c r="C155" i="2"/>
  <c r="C169" i="2"/>
  <c r="K155" i="2"/>
  <c r="G169" i="2"/>
  <c r="G155" i="2"/>
  <c r="J155" i="2"/>
  <c r="D155" i="2"/>
  <c r="A120" i="1"/>
  <c r="B120" i="1" s="1"/>
  <c r="P437" i="9" l="1"/>
  <c r="M373" i="9"/>
  <c r="O646" i="2"/>
  <c r="N646" i="2"/>
  <c r="M646" i="2"/>
  <c r="R646" i="2"/>
  <c r="S646" i="2"/>
  <c r="AF643" i="2"/>
  <c r="M372" i="9"/>
  <c r="N372" i="9" s="1"/>
  <c r="P372" i="9" s="1"/>
  <c r="AL433" i="2" s="1"/>
  <c r="L432" i="2"/>
  <c r="M432" i="2" s="1"/>
  <c r="AZ667" i="2"/>
  <c r="BA667" i="2" s="1"/>
  <c r="I432" i="2"/>
  <c r="J432" i="2" s="1"/>
  <c r="O430" i="2"/>
  <c r="AP431" i="2"/>
  <c r="R432" i="2"/>
  <c r="S432" i="2" s="1"/>
  <c r="I646" i="2"/>
  <c r="P646" i="2"/>
  <c r="K646" i="2"/>
  <c r="N431" i="2"/>
  <c r="P431" i="2" s="1"/>
  <c r="L434" i="2"/>
  <c r="K434" i="2"/>
  <c r="M304" i="2"/>
  <c r="W304" i="2"/>
  <c r="L304" i="2"/>
  <c r="M371" i="9"/>
  <c r="O371" i="9" s="1"/>
  <c r="P430" i="2"/>
  <c r="AD430" i="2" s="1"/>
  <c r="U358" i="2"/>
  <c r="AC429" i="2"/>
  <c r="AG429" i="2" s="1"/>
  <c r="AH429" i="2" s="1"/>
  <c r="AI429" i="2" s="1"/>
  <c r="W429" i="2"/>
  <c r="T371" i="9"/>
  <c r="V356" i="2"/>
  <c r="AY429" i="2"/>
  <c r="AZ429" i="2" s="1"/>
  <c r="T372" i="9"/>
  <c r="D554" i="2"/>
  <c r="BC496" i="2" s="1"/>
  <c r="E304" i="2"/>
  <c r="J304" i="2"/>
  <c r="J494" i="9"/>
  <c r="BX497" i="2" s="1"/>
  <c r="L373" i="9"/>
  <c r="O437" i="9" s="1"/>
  <c r="M245" i="9"/>
  <c r="K438" i="9" s="1"/>
  <c r="H245" i="9"/>
  <c r="G432" i="2"/>
  <c r="F432" i="2"/>
  <c r="I303" i="2"/>
  <c r="K303" i="2"/>
  <c r="J303" i="2"/>
  <c r="V304" i="2"/>
  <c r="K304" i="2"/>
  <c r="I304" i="2"/>
  <c r="V303" i="2"/>
  <c r="D245" i="9"/>
  <c r="G245" i="9"/>
  <c r="G630" i="2"/>
  <c r="C630" i="2"/>
  <c r="B614" i="2"/>
  <c r="B631" i="2" s="1"/>
  <c r="B648" i="2" s="1"/>
  <c r="B672" i="2" s="1"/>
  <c r="G373" i="9"/>
  <c r="L643" i="2"/>
  <c r="E299" i="9"/>
  <c r="R302" i="2"/>
  <c r="S302" i="2" s="1"/>
  <c r="V429" i="2"/>
  <c r="C143" i="9"/>
  <c r="E144" i="9"/>
  <c r="E142" i="9" s="1"/>
  <c r="F113" i="9"/>
  <c r="F114" i="9" s="1"/>
  <c r="E113" i="9"/>
  <c r="E114" i="9" s="1"/>
  <c r="D142" i="9"/>
  <c r="F144" i="9"/>
  <c r="F142" i="9" s="1"/>
  <c r="C142" i="9"/>
  <c r="C147" i="9" s="1"/>
  <c r="H144" i="9"/>
  <c r="H142" i="9" s="1"/>
  <c r="H147" i="9" s="1"/>
  <c r="H113" i="9"/>
  <c r="H114" i="9" s="1"/>
  <c r="I113" i="9"/>
  <c r="I114" i="9" s="1"/>
  <c r="C113" i="9"/>
  <c r="C114" i="9" s="1"/>
  <c r="H143" i="9"/>
  <c r="D113" i="9"/>
  <c r="D114" i="9" s="1"/>
  <c r="G113" i="9"/>
  <c r="G114" i="9" s="1"/>
  <c r="G144" i="9"/>
  <c r="G142" i="9" s="1"/>
  <c r="G147" i="9" s="1"/>
  <c r="D143" i="9"/>
  <c r="D147" i="9" s="1"/>
  <c r="I144" i="9"/>
  <c r="I142" i="9" s="1"/>
  <c r="I244" i="9"/>
  <c r="J244" i="9" s="1"/>
  <c r="D301" i="9" s="1"/>
  <c r="A495" i="9"/>
  <c r="D437" i="9"/>
  <c r="E437" i="9" s="1"/>
  <c r="B438" i="9"/>
  <c r="B496" i="9" s="1"/>
  <c r="B302" i="9"/>
  <c r="B374" i="9"/>
  <c r="C374" i="9" s="1"/>
  <c r="T373" i="9"/>
  <c r="Q373" i="9"/>
  <c r="R373" i="9"/>
  <c r="P186" i="9"/>
  <c r="F303" i="9" s="1"/>
  <c r="A246" i="9"/>
  <c r="AN302" i="2"/>
  <c r="D373" i="9"/>
  <c r="I373" i="9"/>
  <c r="H373" i="9"/>
  <c r="L437" i="9" s="1"/>
  <c r="M437" i="9" s="1"/>
  <c r="E373" i="9"/>
  <c r="F373" i="9" s="1"/>
  <c r="AQ498" i="2"/>
  <c r="I301" i="9"/>
  <c r="K301" i="9" s="1"/>
  <c r="I438" i="9"/>
  <c r="A374" i="9"/>
  <c r="A438" i="9"/>
  <c r="J438" i="9"/>
  <c r="A302" i="9"/>
  <c r="S374" i="9" s="1"/>
  <c r="E245" i="9"/>
  <c r="F245" i="9" s="1"/>
  <c r="K245" i="9"/>
  <c r="J302" i="9" s="1"/>
  <c r="K302" i="9" s="1"/>
  <c r="C245" i="9"/>
  <c r="L245" i="9"/>
  <c r="M302" i="9" s="1"/>
  <c r="BM305" i="2" s="1"/>
  <c r="C170" i="2"/>
  <c r="C171" i="2" s="1"/>
  <c r="K170" i="2"/>
  <c r="K171" i="2" s="1"/>
  <c r="G170" i="2"/>
  <c r="G171" i="2" s="1"/>
  <c r="E203" i="2"/>
  <c r="C200" i="2"/>
  <c r="C201" i="2"/>
  <c r="C199" i="2" s="1"/>
  <c r="G201" i="2"/>
  <c r="G199" i="2" s="1"/>
  <c r="K200" i="2"/>
  <c r="K201" i="2"/>
  <c r="K199" i="2" s="1"/>
  <c r="J203" i="2"/>
  <c r="I203" i="2"/>
  <c r="G200" i="2"/>
  <c r="H200" i="2"/>
  <c r="H201" i="2"/>
  <c r="H199" i="2" s="1"/>
  <c r="F199" i="2"/>
  <c r="D201" i="2"/>
  <c r="D199" i="2" s="1"/>
  <c r="D204" i="2" s="1"/>
  <c r="D206" i="2" s="1"/>
  <c r="F200" i="2"/>
  <c r="H629" i="2"/>
  <c r="I629" i="2" s="1"/>
  <c r="AJ629" i="2" s="1"/>
  <c r="AN629" i="2" s="1"/>
  <c r="AE645" i="2"/>
  <c r="AF645" i="2" s="1"/>
  <c r="J628" i="2"/>
  <c r="L628" i="2"/>
  <c r="G669" i="2"/>
  <c r="D669" i="2"/>
  <c r="J630" i="2"/>
  <c r="I669" i="2"/>
  <c r="AI669" i="2" s="1"/>
  <c r="J669" i="2"/>
  <c r="R669" i="2"/>
  <c r="Q669" i="2"/>
  <c r="AY669" i="2" s="1"/>
  <c r="L669" i="2"/>
  <c r="P669" i="2"/>
  <c r="T669" i="2"/>
  <c r="O669" i="2"/>
  <c r="K669" i="2"/>
  <c r="AM669" i="2" s="1"/>
  <c r="F669" i="2"/>
  <c r="N669" i="2" s="1"/>
  <c r="E630" i="2"/>
  <c r="F646" i="2"/>
  <c r="C646" i="2"/>
  <c r="D646" i="2" s="1"/>
  <c r="K630" i="2"/>
  <c r="E646" i="2"/>
  <c r="H630" i="2"/>
  <c r="A670" i="2"/>
  <c r="Q670" i="2" s="1"/>
  <c r="G646" i="2"/>
  <c r="L630" i="2"/>
  <c r="M630" i="2"/>
  <c r="A647" i="2"/>
  <c r="H646" i="2"/>
  <c r="B671" i="2"/>
  <c r="BT495" i="2"/>
  <c r="BU495" i="2" s="1"/>
  <c r="I495" i="2"/>
  <c r="F630" i="2"/>
  <c r="N630" i="2"/>
  <c r="I630" i="2"/>
  <c r="D630" i="2"/>
  <c r="A631" i="2"/>
  <c r="A616" i="2"/>
  <c r="Q186" i="1"/>
  <c r="A615" i="2"/>
  <c r="R615" i="2"/>
  <c r="Q615" i="2"/>
  <c r="R616" i="2"/>
  <c r="Q616" i="2"/>
  <c r="D357" i="2"/>
  <c r="AG300" i="2" s="1"/>
  <c r="AH300" i="2" s="1"/>
  <c r="H358" i="2"/>
  <c r="J357" i="2"/>
  <c r="AS300" i="2" s="1"/>
  <c r="AT300" i="2" s="1"/>
  <c r="BJ302" i="2"/>
  <c r="C433" i="2"/>
  <c r="J554" i="2"/>
  <c r="R360" i="2"/>
  <c r="S360" i="2"/>
  <c r="T360" i="2" s="1"/>
  <c r="I358" i="2"/>
  <c r="AR301" i="2" s="1"/>
  <c r="C358" i="2"/>
  <c r="AF301" i="2" s="1"/>
  <c r="A555" i="2"/>
  <c r="Q555" i="2" s="1"/>
  <c r="P554" i="2"/>
  <c r="N554" i="2"/>
  <c r="CA496" i="2" s="1"/>
  <c r="G554" i="2"/>
  <c r="H554" i="2" s="1"/>
  <c r="K554" i="2"/>
  <c r="BS496" i="2" s="1"/>
  <c r="AU498" i="2"/>
  <c r="O361" i="2"/>
  <c r="BH304" i="2" s="1"/>
  <c r="AM497" i="2"/>
  <c r="L360" i="2"/>
  <c r="AZ303" i="2" s="1"/>
  <c r="AE497" i="2"/>
  <c r="BH303" i="2"/>
  <c r="BT496" i="2"/>
  <c r="F359" i="2"/>
  <c r="P302" i="2"/>
  <c r="Q302" i="2" s="1"/>
  <c r="K496" i="2"/>
  <c r="L496" i="2" s="1"/>
  <c r="A498" i="2"/>
  <c r="A434" i="2"/>
  <c r="A361" i="2"/>
  <c r="U361" i="2" s="1"/>
  <c r="B361" i="2"/>
  <c r="B498" i="2"/>
  <c r="B556" i="2" s="1"/>
  <c r="B434" i="2"/>
  <c r="E433" i="2"/>
  <c r="H433" i="2"/>
  <c r="D433" i="2"/>
  <c r="J553" i="2"/>
  <c r="L553" i="2" s="1"/>
  <c r="W241" i="2"/>
  <c r="K357" i="2"/>
  <c r="U303" i="2"/>
  <c r="P360" i="2" s="1"/>
  <c r="Q360" i="2" s="1"/>
  <c r="O301" i="2"/>
  <c r="J358" i="2" s="1"/>
  <c r="T301" i="2"/>
  <c r="M358" i="2" s="1"/>
  <c r="N358" i="2" s="1"/>
  <c r="N302" i="2"/>
  <c r="AL301" i="2"/>
  <c r="F242" i="2"/>
  <c r="H242" i="2" s="1"/>
  <c r="J242" i="2" s="1"/>
  <c r="G498" i="2" s="1"/>
  <c r="F185" i="9"/>
  <c r="H185" i="9" s="1"/>
  <c r="J185" i="9" s="1"/>
  <c r="G438" i="9" s="1"/>
  <c r="AU667" i="2"/>
  <c r="BC668" i="2"/>
  <c r="AV629" i="2"/>
  <c r="AU630" i="2"/>
  <c r="AW630" i="2" s="1"/>
  <c r="M184" i="9"/>
  <c r="BM304" i="2"/>
  <c r="BN304" i="2" s="1"/>
  <c r="CE496" i="2"/>
  <c r="CE497" i="2"/>
  <c r="BD305" i="2"/>
  <c r="AQ499" i="2"/>
  <c r="AK627" i="2"/>
  <c r="AQ630" i="2"/>
  <c r="AS630" i="2" s="1"/>
  <c r="AF628" i="2"/>
  <c r="AG628" i="2" s="1"/>
  <c r="AH630" i="2" s="1"/>
  <c r="AR628" i="2"/>
  <c r="AS628" i="2" s="1"/>
  <c r="AJ628" i="2"/>
  <c r="AN628" i="2" s="1"/>
  <c r="AO628" i="2" s="1"/>
  <c r="BW497" i="2"/>
  <c r="BY497" i="2" s="1"/>
  <c r="BO497" i="2"/>
  <c r="BW496" i="2"/>
  <c r="BY496" i="2" s="1"/>
  <c r="AN495" i="2"/>
  <c r="AO495" i="2" s="1"/>
  <c r="AN496" i="2"/>
  <c r="AO496" i="2" s="1"/>
  <c r="BE303" i="2"/>
  <c r="BF303" i="2" s="1"/>
  <c r="BA300" i="2"/>
  <c r="BB300" i="2" s="1"/>
  <c r="BE302" i="2"/>
  <c r="BF302" i="2" s="1"/>
  <c r="M241" i="2"/>
  <c r="N241" i="2" s="1"/>
  <c r="Q241" i="2"/>
  <c r="R243" i="2"/>
  <c r="S243" i="2"/>
  <c r="N240" i="2"/>
  <c r="AO302" i="2"/>
  <c r="AO303" i="2"/>
  <c r="AP303" i="2" s="1"/>
  <c r="L185" i="9"/>
  <c r="O185" i="9"/>
  <c r="AV305" i="2" s="1"/>
  <c r="R185" i="9"/>
  <c r="L302" i="9" s="1"/>
  <c r="K186" i="9"/>
  <c r="L186" i="9" s="1"/>
  <c r="G186" i="9"/>
  <c r="I186" i="9"/>
  <c r="Q186" i="9" s="1"/>
  <c r="I303" i="9" s="1"/>
  <c r="E186" i="9"/>
  <c r="C186" i="9"/>
  <c r="D186" i="9" s="1"/>
  <c r="F154" i="2"/>
  <c r="I97" i="9"/>
  <c r="J154" i="2"/>
  <c r="K154" i="2"/>
  <c r="G97" i="9"/>
  <c r="I154" i="2"/>
  <c r="D97" i="9"/>
  <c r="F97" i="9"/>
  <c r="H154" i="2"/>
  <c r="C97" i="9"/>
  <c r="C154" i="2"/>
  <c r="D154" i="2"/>
  <c r="E97" i="9"/>
  <c r="E154" i="2"/>
  <c r="G154" i="2"/>
  <c r="J173" i="2"/>
  <c r="J175" i="2"/>
  <c r="H97" i="9"/>
  <c r="C119" i="1"/>
  <c r="A187" i="9"/>
  <c r="B186" i="9"/>
  <c r="B246" i="9" s="1"/>
  <c r="AK629" i="2"/>
  <c r="C304" i="2"/>
  <c r="U304" i="2" s="1"/>
  <c r="P361" i="2" s="1"/>
  <c r="AE668" i="2"/>
  <c r="B243" i="2"/>
  <c r="B305" i="2" s="1"/>
  <c r="A305" i="2"/>
  <c r="T242" i="2"/>
  <c r="D304" i="2"/>
  <c r="H304" i="2" s="1"/>
  <c r="O242" i="2"/>
  <c r="P242" i="2" s="1"/>
  <c r="F304" i="2"/>
  <c r="G304" i="2" s="1"/>
  <c r="A244" i="2"/>
  <c r="K243" i="2"/>
  <c r="O243" i="2" s="1"/>
  <c r="V243" i="2"/>
  <c r="I243" i="2"/>
  <c r="T243" i="2" s="1"/>
  <c r="C243" i="2"/>
  <c r="D243" i="2" s="1"/>
  <c r="G243" i="2"/>
  <c r="E243" i="2"/>
  <c r="I208" i="2"/>
  <c r="I197" i="2"/>
  <c r="I196" i="2"/>
  <c r="I202" i="2"/>
  <c r="I198" i="2"/>
  <c r="E208" i="2"/>
  <c r="E198" i="2"/>
  <c r="E197" i="2"/>
  <c r="E196" i="2"/>
  <c r="E202" i="2"/>
  <c r="E201" i="2" s="1"/>
  <c r="J198" i="2"/>
  <c r="J197" i="2"/>
  <c r="J196" i="2"/>
  <c r="J202" i="2"/>
  <c r="J201" i="2" s="1"/>
  <c r="J208" i="2"/>
  <c r="D173" i="2"/>
  <c r="I173" i="2"/>
  <c r="F173" i="2"/>
  <c r="E173" i="2"/>
  <c r="H173" i="2"/>
  <c r="A121" i="1"/>
  <c r="B121" i="1" s="1"/>
  <c r="G149" i="9" l="1"/>
  <c r="AH632" i="2"/>
  <c r="E147" i="9"/>
  <c r="E149" i="9" s="1"/>
  <c r="E150" i="9" s="1"/>
  <c r="E152" i="9" s="1"/>
  <c r="F149" i="9"/>
  <c r="AH625" i="2"/>
  <c r="I147" i="9"/>
  <c r="I149" i="9" s="1"/>
  <c r="I150" i="9" s="1"/>
  <c r="F147" i="9"/>
  <c r="AH631" i="2"/>
  <c r="P438" i="9"/>
  <c r="M374" i="9"/>
  <c r="Q495" i="9"/>
  <c r="E495" i="9"/>
  <c r="D495" i="9"/>
  <c r="BG498" i="2" s="1"/>
  <c r="AH628" i="2"/>
  <c r="AH633" i="2"/>
  <c r="AH626" i="2"/>
  <c r="AH629" i="2"/>
  <c r="AH624" i="2"/>
  <c r="AH627" i="2"/>
  <c r="N647" i="2"/>
  <c r="O647" i="2"/>
  <c r="M647" i="2"/>
  <c r="R647" i="2"/>
  <c r="S647" i="2"/>
  <c r="L433" i="2"/>
  <c r="M433" i="2" s="1"/>
  <c r="R433" i="2"/>
  <c r="S433" i="2" s="1"/>
  <c r="Q430" i="2"/>
  <c r="V430" i="2" s="1"/>
  <c r="N371" i="9"/>
  <c r="P371" i="9" s="1"/>
  <c r="AL432" i="2" s="1"/>
  <c r="AM432" i="2" s="1"/>
  <c r="I433" i="2"/>
  <c r="J433" i="2" s="1"/>
  <c r="K435" i="2"/>
  <c r="L435" i="2"/>
  <c r="W305" i="2"/>
  <c r="M305" i="2"/>
  <c r="L305" i="2"/>
  <c r="O431" i="2"/>
  <c r="Q431" i="2" s="1"/>
  <c r="R434" i="2"/>
  <c r="U434" i="2"/>
  <c r="I434" i="2"/>
  <c r="S434" i="2"/>
  <c r="T434" i="2"/>
  <c r="Q434" i="2"/>
  <c r="N498" i="2"/>
  <c r="O434" i="2"/>
  <c r="J434" i="2"/>
  <c r="P434" i="2"/>
  <c r="N434" i="2"/>
  <c r="AP432" i="2"/>
  <c r="N432" i="2"/>
  <c r="O432" i="2" s="1"/>
  <c r="T431" i="2"/>
  <c r="U431" i="2" s="1"/>
  <c r="F647" i="2"/>
  <c r="I647" i="2"/>
  <c r="P647" i="2"/>
  <c r="AJ647" i="2" s="1"/>
  <c r="K647" i="2"/>
  <c r="U359" i="2"/>
  <c r="AE429" i="2"/>
  <c r="AF429" i="2"/>
  <c r="O372" i="9"/>
  <c r="V358" i="2"/>
  <c r="D555" i="2"/>
  <c r="BC497" i="2" s="1"/>
  <c r="E305" i="2"/>
  <c r="J305" i="2"/>
  <c r="AC430" i="2"/>
  <c r="AG430" i="2" s="1"/>
  <c r="AH430" i="2" s="1"/>
  <c r="AI430" i="2" s="1"/>
  <c r="L374" i="9"/>
  <c r="O438" i="9" s="1"/>
  <c r="M246" i="9"/>
  <c r="K439" i="9" s="1"/>
  <c r="H246" i="9"/>
  <c r="G433" i="2"/>
  <c r="AD431" i="2"/>
  <c r="F433" i="2"/>
  <c r="K305" i="2"/>
  <c r="I305" i="2"/>
  <c r="V305" i="2"/>
  <c r="D246" i="9"/>
  <c r="G246" i="9"/>
  <c r="B615" i="2"/>
  <c r="B632" i="2" s="1"/>
  <c r="B649" i="2" s="1"/>
  <c r="A648" i="2"/>
  <c r="C631" i="2"/>
  <c r="B616" i="2"/>
  <c r="B633" i="2" s="1"/>
  <c r="B650" i="2" s="1"/>
  <c r="B674" i="2" s="1"/>
  <c r="G374" i="9"/>
  <c r="L644" i="2"/>
  <c r="AK434" i="2"/>
  <c r="AT434" i="2"/>
  <c r="AI645" i="2"/>
  <c r="C149" i="9"/>
  <c r="C150" i="9" s="1"/>
  <c r="D149" i="9"/>
  <c r="D150" i="9" s="1"/>
  <c r="R303" i="2"/>
  <c r="S303" i="2" s="1"/>
  <c r="G359" i="2"/>
  <c r="H359" i="2" s="1"/>
  <c r="H149" i="9"/>
  <c r="H150" i="9" s="1"/>
  <c r="H152" i="9" s="1"/>
  <c r="F116" i="9"/>
  <c r="F118" i="9"/>
  <c r="I116" i="9"/>
  <c r="I118" i="9"/>
  <c r="H118" i="9"/>
  <c r="H116" i="9"/>
  <c r="D116" i="9"/>
  <c r="D118" i="9"/>
  <c r="C118" i="9"/>
  <c r="C116" i="9"/>
  <c r="E118" i="9"/>
  <c r="E116" i="9"/>
  <c r="G116" i="9"/>
  <c r="G118" i="9"/>
  <c r="G301" i="9"/>
  <c r="H301" i="9" s="1"/>
  <c r="AP302" i="2"/>
  <c r="I245" i="9"/>
  <c r="J245" i="9" s="1"/>
  <c r="G302" i="9" s="1"/>
  <c r="H302" i="9" s="1"/>
  <c r="J373" i="9"/>
  <c r="K373" i="9" s="1"/>
  <c r="O373" i="9" s="1"/>
  <c r="P187" i="9"/>
  <c r="F304" i="9" s="1"/>
  <c r="A247" i="9"/>
  <c r="Q374" i="9"/>
  <c r="R374" i="9"/>
  <c r="T374" i="9"/>
  <c r="J495" i="9"/>
  <c r="BX498" i="2" s="1"/>
  <c r="I495" i="9"/>
  <c r="G495" i="9"/>
  <c r="H495" i="9"/>
  <c r="L495" i="9"/>
  <c r="O495" i="9"/>
  <c r="P495" i="9"/>
  <c r="R495" i="9"/>
  <c r="K495" i="9"/>
  <c r="N495" i="9"/>
  <c r="CE498" i="2" s="1"/>
  <c r="A496" i="9"/>
  <c r="D438" i="9"/>
  <c r="E438" i="9" s="1"/>
  <c r="E246" i="9"/>
  <c r="F246" i="9" s="1"/>
  <c r="A439" i="9"/>
  <c r="I439" i="9"/>
  <c r="J439" i="9"/>
  <c r="A375" i="9"/>
  <c r="A303" i="9"/>
  <c r="S375" i="9" s="1"/>
  <c r="C246" i="9"/>
  <c r="L246" i="9"/>
  <c r="M303" i="9" s="1"/>
  <c r="BM306" i="2" s="1"/>
  <c r="K246" i="9"/>
  <c r="J303" i="9" s="1"/>
  <c r="K303" i="9" s="1"/>
  <c r="C301" i="9"/>
  <c r="E301" i="9" s="1"/>
  <c r="BD304" i="2"/>
  <c r="N302" i="9"/>
  <c r="AR498" i="2"/>
  <c r="AS498" i="2" s="1"/>
  <c r="B439" i="9"/>
  <c r="B497" i="9" s="1"/>
  <c r="B375" i="9"/>
  <c r="C375" i="9" s="1"/>
  <c r="B303" i="9"/>
  <c r="H374" i="9"/>
  <c r="D374" i="9"/>
  <c r="E374" i="9"/>
  <c r="F374" i="9" s="1"/>
  <c r="AT435" i="2" s="1"/>
  <c r="I374" i="9"/>
  <c r="G175" i="2"/>
  <c r="G173" i="2"/>
  <c r="K175" i="2"/>
  <c r="K173" i="2"/>
  <c r="C175" i="2"/>
  <c r="C173" i="2"/>
  <c r="G204" i="2"/>
  <c r="G206" i="2" s="1"/>
  <c r="G207" i="2" s="1"/>
  <c r="H204" i="2"/>
  <c r="H206" i="2" s="1"/>
  <c r="F204" i="2"/>
  <c r="F206" i="2" s="1"/>
  <c r="F207" i="2" s="1"/>
  <c r="F211" i="2" s="1"/>
  <c r="K204" i="2"/>
  <c r="K206" i="2" s="1"/>
  <c r="J199" i="2"/>
  <c r="E199" i="2"/>
  <c r="I200" i="2"/>
  <c r="E200" i="2"/>
  <c r="J200" i="2"/>
  <c r="I201" i="2"/>
  <c r="I199" i="2" s="1"/>
  <c r="C204" i="2"/>
  <c r="C206" i="2" s="1"/>
  <c r="C207" i="2" s="1"/>
  <c r="C209" i="2" s="1"/>
  <c r="AR629" i="2"/>
  <c r="AF629" i="2"/>
  <c r="J646" i="2"/>
  <c r="L646" i="2"/>
  <c r="AE646" i="2"/>
  <c r="AF646" i="2" s="1"/>
  <c r="J629" i="2"/>
  <c r="L629" i="2"/>
  <c r="L645" i="2"/>
  <c r="G150" i="9"/>
  <c r="F150" i="9"/>
  <c r="J647" i="2"/>
  <c r="F631" i="2"/>
  <c r="O670" i="2"/>
  <c r="J631" i="2"/>
  <c r="A671" i="2"/>
  <c r="S671" i="2" s="1"/>
  <c r="E631" i="2"/>
  <c r="L647" i="2"/>
  <c r="I631" i="2"/>
  <c r="P670" i="2"/>
  <c r="G647" i="2"/>
  <c r="T670" i="2"/>
  <c r="I670" i="2"/>
  <c r="AI670" i="2" s="1"/>
  <c r="AK670" i="2" s="1"/>
  <c r="F670" i="2"/>
  <c r="N670" i="2" s="1"/>
  <c r="H647" i="2"/>
  <c r="C647" i="2"/>
  <c r="D647" i="2"/>
  <c r="AE647" i="2" s="1"/>
  <c r="AF647" i="2" s="1"/>
  <c r="M631" i="2"/>
  <c r="G670" i="2"/>
  <c r="D670" i="2"/>
  <c r="J670" i="2"/>
  <c r="K670" i="2"/>
  <c r="AM670" i="2" s="1"/>
  <c r="AO670" i="2" s="1"/>
  <c r="A633" i="2"/>
  <c r="Q647" i="2"/>
  <c r="E647" i="2"/>
  <c r="H631" i="2"/>
  <c r="S670" i="2"/>
  <c r="R670" i="2"/>
  <c r="L670" i="2"/>
  <c r="L554" i="2"/>
  <c r="BK496" i="2"/>
  <c r="BU496" i="2"/>
  <c r="N631" i="2"/>
  <c r="G631" i="2"/>
  <c r="L631" i="2"/>
  <c r="D631" i="2"/>
  <c r="K631" i="2"/>
  <c r="A632" i="2"/>
  <c r="K358" i="2"/>
  <c r="Q361" i="2"/>
  <c r="K497" i="2"/>
  <c r="L497" i="2" s="1"/>
  <c r="C434" i="2"/>
  <c r="G434" i="2" s="1"/>
  <c r="A556" i="2"/>
  <c r="Q556" i="2" s="1"/>
  <c r="AM498" i="2"/>
  <c r="L361" i="2"/>
  <c r="AS301" i="2"/>
  <c r="AT301" i="2" s="1"/>
  <c r="D358" i="2"/>
  <c r="AG301" i="2" s="1"/>
  <c r="AH301" i="2" s="1"/>
  <c r="A362" i="2"/>
  <c r="U362" i="2" s="1"/>
  <c r="A435" i="2"/>
  <c r="A499" i="2"/>
  <c r="B499" i="2"/>
  <c r="B557" i="2" s="1"/>
  <c r="B362" i="2"/>
  <c r="B435" i="2"/>
  <c r="E358" i="2"/>
  <c r="S361" i="2"/>
  <c r="T361" i="2" s="1"/>
  <c r="V361" i="2"/>
  <c r="R361" i="2"/>
  <c r="AE498" i="2"/>
  <c r="N555" i="2"/>
  <c r="CA497" i="2" s="1"/>
  <c r="P555" i="2"/>
  <c r="K555" i="2"/>
  <c r="BS497" i="2" s="1"/>
  <c r="G555" i="2"/>
  <c r="H555" i="2" s="1"/>
  <c r="AM499" i="2"/>
  <c r="L362" i="2"/>
  <c r="AZ305" i="2" s="1"/>
  <c r="AJ302" i="2"/>
  <c r="D497" i="2"/>
  <c r="E497" i="2" s="1"/>
  <c r="I359" i="2"/>
  <c r="AR302" i="2" s="1"/>
  <c r="C359" i="2"/>
  <c r="AF302" i="2" s="1"/>
  <c r="F360" i="2"/>
  <c r="AJ303" i="2" s="1"/>
  <c r="E434" i="2"/>
  <c r="F434" i="2" s="1"/>
  <c r="AP434" i="2" s="1"/>
  <c r="H434" i="2"/>
  <c r="D434" i="2"/>
  <c r="P303" i="2"/>
  <c r="Q303" i="2" s="1"/>
  <c r="BI303" i="2"/>
  <c r="BJ303" i="2" s="1"/>
  <c r="BI304" i="2"/>
  <c r="BJ304" i="2" s="1"/>
  <c r="O302" i="2"/>
  <c r="E359" i="2" s="1"/>
  <c r="T302" i="2"/>
  <c r="M359" i="2" s="1"/>
  <c r="N359" i="2" s="1"/>
  <c r="W242" i="2"/>
  <c r="F361" i="2" s="1"/>
  <c r="N303" i="2"/>
  <c r="D498" i="2"/>
  <c r="E498" i="2" s="1"/>
  <c r="I498" i="2" s="1"/>
  <c r="F186" i="9"/>
  <c r="H186" i="9" s="1"/>
  <c r="J186" i="9" s="1"/>
  <c r="G439" i="9" s="1"/>
  <c r="F243" i="2"/>
  <c r="H243" i="2" s="1"/>
  <c r="J243" i="2" s="1"/>
  <c r="L154" i="2"/>
  <c r="AU668" i="2"/>
  <c r="AJ669" i="2"/>
  <c r="AZ669" i="2"/>
  <c r="BA669" i="2" s="1"/>
  <c r="BC669" i="2"/>
  <c r="AK669" i="2"/>
  <c r="AZ668" i="2"/>
  <c r="BA668" i="2" s="1"/>
  <c r="AJ668" i="2"/>
  <c r="AK668" i="2" s="1"/>
  <c r="AV630" i="2"/>
  <c r="AU631" i="2"/>
  <c r="AW631" i="2" s="1"/>
  <c r="BD306" i="2"/>
  <c r="AQ500" i="2"/>
  <c r="BL305" i="2"/>
  <c r="BN305" i="2" s="1"/>
  <c r="AY499" i="2"/>
  <c r="AQ631" i="2"/>
  <c r="AS631" i="2" s="1"/>
  <c r="AK628" i="2"/>
  <c r="AI498" i="2"/>
  <c r="AN429" i="2"/>
  <c r="BC433" i="2"/>
  <c r="BC432" i="2"/>
  <c r="AM433" i="2"/>
  <c r="BA301" i="2"/>
  <c r="BB301" i="2" s="1"/>
  <c r="AW303" i="2"/>
  <c r="AX303" i="2" s="1"/>
  <c r="AW302" i="2"/>
  <c r="AX302" i="2" s="1"/>
  <c r="M242" i="2"/>
  <c r="N242" i="2" s="1"/>
  <c r="N11" i="3" a="1"/>
  <c r="N11" i="3" s="1"/>
  <c r="G12" i="3" a="1"/>
  <c r="G12" i="3" s="1"/>
  <c r="G11" i="3" a="1"/>
  <c r="G11" i="3" s="1"/>
  <c r="Q242" i="2"/>
  <c r="R244" i="2"/>
  <c r="S244" i="2"/>
  <c r="M185" i="9"/>
  <c r="C302" i="9" s="1"/>
  <c r="K187" i="9"/>
  <c r="L187" i="9" s="1"/>
  <c r="G187" i="9"/>
  <c r="I187" i="9"/>
  <c r="R187" i="9" s="1"/>
  <c r="L304" i="9" s="1"/>
  <c r="E187" i="9"/>
  <c r="C187" i="9"/>
  <c r="D187" i="9" s="1"/>
  <c r="R186" i="9"/>
  <c r="N186" i="9"/>
  <c r="O186" i="9" s="1"/>
  <c r="AV306" i="2" s="1"/>
  <c r="C120" i="1"/>
  <c r="A188" i="9"/>
  <c r="B187" i="9"/>
  <c r="B247" i="9" s="1"/>
  <c r="AY670" i="2"/>
  <c r="BA670" i="2" s="1"/>
  <c r="C305" i="2"/>
  <c r="U305" i="2" s="1"/>
  <c r="P362" i="2" s="1"/>
  <c r="AE669" i="2"/>
  <c r="A306" i="2"/>
  <c r="B244" i="2"/>
  <c r="B306" i="2" s="1"/>
  <c r="P243" i="2"/>
  <c r="U243" i="2"/>
  <c r="O362" i="2" s="1"/>
  <c r="L243" i="2"/>
  <c r="D305" i="2"/>
  <c r="H305" i="2" s="1"/>
  <c r="K244" i="2"/>
  <c r="O244" i="2" s="1"/>
  <c r="V244" i="2"/>
  <c r="I244" i="2"/>
  <c r="U244" i="2" s="1"/>
  <c r="C244" i="2"/>
  <c r="D244" i="2" s="1"/>
  <c r="G244" i="2"/>
  <c r="E244" i="2"/>
  <c r="A245" i="2"/>
  <c r="F305" i="2"/>
  <c r="G305" i="2" s="1"/>
  <c r="A122" i="1"/>
  <c r="B122" i="1" s="1"/>
  <c r="A189" i="9" s="1"/>
  <c r="I152" i="9" l="1"/>
  <c r="I154" i="9"/>
  <c r="Q496" i="9"/>
  <c r="E496" i="9"/>
  <c r="D496" i="9"/>
  <c r="BG499" i="2" s="1"/>
  <c r="P439" i="9"/>
  <c r="M375" i="9"/>
  <c r="G64" i="3" a="1"/>
  <c r="G64" i="3" s="1"/>
  <c r="N63" i="3" a="1"/>
  <c r="N63" i="3" s="1"/>
  <c r="N648" i="2"/>
  <c r="O648" i="2"/>
  <c r="M648" i="2"/>
  <c r="S648" i="2"/>
  <c r="R648" i="2"/>
  <c r="T432" i="2"/>
  <c r="U432" i="2" s="1"/>
  <c r="P432" i="2"/>
  <c r="Q432" i="2" s="1"/>
  <c r="AP433" i="2"/>
  <c r="N433" i="2"/>
  <c r="T433" i="2" s="1"/>
  <c r="U433" i="2" s="1"/>
  <c r="N499" i="2"/>
  <c r="S435" i="2"/>
  <c r="Q435" i="2"/>
  <c r="P435" i="2"/>
  <c r="U435" i="2"/>
  <c r="J435" i="2"/>
  <c r="I435" i="2"/>
  <c r="T435" i="2"/>
  <c r="O435" i="2"/>
  <c r="R435" i="2"/>
  <c r="N435" i="2"/>
  <c r="K648" i="2"/>
  <c r="P648" i="2"/>
  <c r="AJ648" i="2" s="1"/>
  <c r="I648" i="2"/>
  <c r="K436" i="2"/>
  <c r="L436" i="2"/>
  <c r="W306" i="2"/>
  <c r="M306" i="2"/>
  <c r="L306" i="2"/>
  <c r="U360" i="2"/>
  <c r="AC431" i="2"/>
  <c r="AF431" i="2" s="1"/>
  <c r="W430" i="2"/>
  <c r="AY431" i="2"/>
  <c r="V359" i="2"/>
  <c r="C648" i="2"/>
  <c r="J648" i="2"/>
  <c r="E556" i="2"/>
  <c r="D556" i="2"/>
  <c r="BC498" i="2" s="1"/>
  <c r="E306" i="2"/>
  <c r="J306" i="2"/>
  <c r="AF430" i="2"/>
  <c r="AE430" i="2"/>
  <c r="L375" i="9"/>
  <c r="O439" i="9" s="1"/>
  <c r="M247" i="9"/>
  <c r="K440" i="9" s="1"/>
  <c r="H247" i="9"/>
  <c r="V431" i="2"/>
  <c r="Q648" i="2"/>
  <c r="E648" i="2"/>
  <c r="V306" i="2"/>
  <c r="K306" i="2"/>
  <c r="I306" i="2"/>
  <c r="D247" i="9"/>
  <c r="G247" i="9"/>
  <c r="B673" i="2"/>
  <c r="H648" i="2"/>
  <c r="D648" i="2"/>
  <c r="AE648" i="2" s="1"/>
  <c r="AF648" i="2" s="1"/>
  <c r="C632" i="2"/>
  <c r="L648" i="2"/>
  <c r="G648" i="2"/>
  <c r="A672" i="2"/>
  <c r="I672" i="2" s="1"/>
  <c r="A650" i="2"/>
  <c r="C633" i="2"/>
  <c r="F648" i="2"/>
  <c r="G375" i="9"/>
  <c r="H154" i="9"/>
  <c r="K11" i="3"/>
  <c r="AI646" i="2"/>
  <c r="AK302" i="2"/>
  <c r="AL302" i="2" s="1"/>
  <c r="R304" i="2"/>
  <c r="S304" i="2" s="1"/>
  <c r="G361" i="2" s="1"/>
  <c r="H361" i="2" s="1"/>
  <c r="N373" i="9"/>
  <c r="P373" i="9" s="1"/>
  <c r="AL434" i="2" s="1"/>
  <c r="D302" i="9"/>
  <c r="E302" i="9" s="1"/>
  <c r="F117" i="9"/>
  <c r="I117" i="9"/>
  <c r="C117" i="9"/>
  <c r="H117" i="9"/>
  <c r="J374" i="9"/>
  <c r="K374" i="9" s="1"/>
  <c r="N374" i="9" s="1"/>
  <c r="P374" i="9" s="1"/>
  <c r="AL435" i="2" s="1"/>
  <c r="I246" i="9"/>
  <c r="J246" i="9" s="1"/>
  <c r="AK435" i="2"/>
  <c r="J496" i="9"/>
  <c r="BX499" i="2" s="1"/>
  <c r="AR499" i="2"/>
  <c r="AS499" i="2" s="1"/>
  <c r="AY500" i="2"/>
  <c r="L303" i="9"/>
  <c r="N303" i="9" s="1"/>
  <c r="I440" i="9"/>
  <c r="J440" i="9"/>
  <c r="A376" i="9"/>
  <c r="A304" i="9"/>
  <c r="S376" i="9" s="1"/>
  <c r="A440" i="9"/>
  <c r="C247" i="9"/>
  <c r="E247" i="9"/>
  <c r="F247" i="9" s="1"/>
  <c r="K247" i="9"/>
  <c r="J304" i="9" s="1"/>
  <c r="L247" i="9"/>
  <c r="M304" i="9" s="1"/>
  <c r="N304" i="9" s="1"/>
  <c r="K496" i="9"/>
  <c r="BW499" i="2" s="1"/>
  <c r="G496" i="9"/>
  <c r="P496" i="9"/>
  <c r="N496" i="9"/>
  <c r="O496" i="9"/>
  <c r="L496" i="9"/>
  <c r="H496" i="9"/>
  <c r="BO499" i="2" s="1"/>
  <c r="I496" i="9"/>
  <c r="R496" i="9"/>
  <c r="AN304" i="2"/>
  <c r="Q375" i="9"/>
  <c r="T375" i="9"/>
  <c r="R375" i="9"/>
  <c r="D439" i="9"/>
  <c r="E439" i="9" s="1"/>
  <c r="A497" i="9"/>
  <c r="B440" i="9"/>
  <c r="B498" i="9" s="1"/>
  <c r="B376" i="9"/>
  <c r="C376" i="9" s="1"/>
  <c r="B304" i="9"/>
  <c r="P189" i="9"/>
  <c r="F306" i="9" s="1"/>
  <c r="A249" i="9"/>
  <c r="H375" i="9"/>
  <c r="I375" i="9"/>
  <c r="E375" i="9"/>
  <c r="F375" i="9" s="1"/>
  <c r="AT436" i="2" s="1"/>
  <c r="D375" i="9"/>
  <c r="P188" i="9"/>
  <c r="F305" i="9" s="1"/>
  <c r="A248" i="9"/>
  <c r="L438" i="9"/>
  <c r="M438" i="9" s="1"/>
  <c r="E174" i="2"/>
  <c r="H174" i="2"/>
  <c r="C174" i="2"/>
  <c r="D174" i="2"/>
  <c r="K174" i="2"/>
  <c r="J174" i="2"/>
  <c r="E117" i="9"/>
  <c r="F174" i="2"/>
  <c r="G117" i="9"/>
  <c r="I174" i="2"/>
  <c r="D117" i="9"/>
  <c r="G174" i="2"/>
  <c r="I204" i="2"/>
  <c r="I206" i="2" s="1"/>
  <c r="I207" i="2" s="1"/>
  <c r="I209" i="2" s="1"/>
  <c r="J633" i="2"/>
  <c r="J204" i="2"/>
  <c r="J206" i="2" s="1"/>
  <c r="J207" i="2" s="1"/>
  <c r="E204" i="2"/>
  <c r="E206" i="2" s="1"/>
  <c r="E207" i="2" s="1"/>
  <c r="E211" i="2" s="1"/>
  <c r="AG646" i="2"/>
  <c r="G632" i="2"/>
  <c r="R671" i="2"/>
  <c r="E154" i="9"/>
  <c r="G154" i="9"/>
  <c r="G152" i="9"/>
  <c r="F154" i="9"/>
  <c r="F152" i="9"/>
  <c r="D152" i="9"/>
  <c r="D154" i="9"/>
  <c r="J671" i="2"/>
  <c r="H632" i="2"/>
  <c r="L632" i="2"/>
  <c r="C671" i="2"/>
  <c r="N632" i="2"/>
  <c r="K671" i="2"/>
  <c r="AM671" i="2" s="1"/>
  <c r="AO671" i="2" s="1"/>
  <c r="H671" i="2"/>
  <c r="M671" i="2"/>
  <c r="Q671" i="2"/>
  <c r="AY671" i="2" s="1"/>
  <c r="BA671" i="2" s="1"/>
  <c r="I671" i="2"/>
  <c r="AI671" i="2" s="1"/>
  <c r="AK671" i="2" s="1"/>
  <c r="G671" i="2"/>
  <c r="L671" i="2"/>
  <c r="E671" i="2"/>
  <c r="F671" i="2"/>
  <c r="N671" i="2" s="1"/>
  <c r="T671" i="2"/>
  <c r="P671" i="2"/>
  <c r="D671" i="2"/>
  <c r="O671" i="2"/>
  <c r="M632" i="2"/>
  <c r="F632" i="2"/>
  <c r="N633" i="2"/>
  <c r="D632" i="2"/>
  <c r="E632" i="2"/>
  <c r="I633" i="2"/>
  <c r="M633" i="2"/>
  <c r="K632" i="2"/>
  <c r="A649" i="2"/>
  <c r="K633" i="2"/>
  <c r="G633" i="2"/>
  <c r="F633" i="2"/>
  <c r="E633" i="2"/>
  <c r="I632" i="2"/>
  <c r="J632" i="2"/>
  <c r="D633" i="2"/>
  <c r="L633" i="2"/>
  <c r="H633" i="2"/>
  <c r="BK497" i="2"/>
  <c r="W243" i="2"/>
  <c r="F362" i="2" s="1"/>
  <c r="BT497" i="2"/>
  <c r="BU497" i="2" s="1"/>
  <c r="I497" i="2"/>
  <c r="M434" i="2"/>
  <c r="G499" i="2"/>
  <c r="AE499" i="2" s="1"/>
  <c r="J556" i="2"/>
  <c r="K498" i="2"/>
  <c r="L498" i="2" s="1"/>
  <c r="AU500" i="2"/>
  <c r="O363" i="2"/>
  <c r="BH306" i="2" s="1"/>
  <c r="B363" i="2"/>
  <c r="B500" i="2"/>
  <c r="B558" i="2" s="1"/>
  <c r="B436" i="2"/>
  <c r="D359" i="2"/>
  <c r="AG302" i="2" s="1"/>
  <c r="AH302" i="2" s="1"/>
  <c r="H435" i="2"/>
  <c r="E435" i="2"/>
  <c r="F435" i="2" s="1"/>
  <c r="AP435" i="2" s="1"/>
  <c r="D435" i="2"/>
  <c r="C360" i="2"/>
  <c r="AF303" i="2" s="1"/>
  <c r="I360" i="2"/>
  <c r="AR303" i="2" s="1"/>
  <c r="K359" i="2"/>
  <c r="P304" i="2"/>
  <c r="Q304" i="2" s="1"/>
  <c r="R362" i="2"/>
  <c r="V362" i="2"/>
  <c r="S362" i="2"/>
  <c r="T362" i="2" s="1"/>
  <c r="Q362" i="2"/>
  <c r="J359" i="2"/>
  <c r="AS302" i="2" s="1"/>
  <c r="AT302" i="2" s="1"/>
  <c r="A363" i="2"/>
  <c r="U363" i="2" s="1"/>
  <c r="A500" i="2"/>
  <c r="A436" i="2"/>
  <c r="N556" i="2"/>
  <c r="CA498" i="2" s="1"/>
  <c r="G556" i="2"/>
  <c r="H556" i="2" s="1"/>
  <c r="K556" i="2"/>
  <c r="BS498" i="2" s="1"/>
  <c r="R556" i="2"/>
  <c r="P556" i="2"/>
  <c r="BT498" i="2"/>
  <c r="AZ304" i="2"/>
  <c r="G360" i="2"/>
  <c r="AK303" i="2" s="1"/>
  <c r="AL303" i="2" s="1"/>
  <c r="J555" i="2"/>
  <c r="L555" i="2" s="1"/>
  <c r="C435" i="2"/>
  <c r="G435" i="2" s="1"/>
  <c r="A557" i="2"/>
  <c r="Q557" i="2" s="1"/>
  <c r="BI305" i="2"/>
  <c r="O303" i="2"/>
  <c r="K360" i="2" s="1"/>
  <c r="T303" i="2"/>
  <c r="M360" i="2" s="1"/>
  <c r="N360" i="2" s="1"/>
  <c r="D499" i="2"/>
  <c r="E499" i="2" s="1"/>
  <c r="I499" i="2" s="1"/>
  <c r="AJ304" i="2"/>
  <c r="AI500" i="2"/>
  <c r="M186" i="9"/>
  <c r="N304" i="2"/>
  <c r="F187" i="9"/>
  <c r="H187" i="9" s="1"/>
  <c r="J187" i="9" s="1"/>
  <c r="G440" i="9" s="1"/>
  <c r="F244" i="2"/>
  <c r="H244" i="2" s="1"/>
  <c r="J244" i="2" s="1"/>
  <c r="AV631" i="2"/>
  <c r="AZ670" i="2"/>
  <c r="AJ670" i="2"/>
  <c r="BC670" i="2"/>
  <c r="BE670" i="2" s="1"/>
  <c r="AU669" i="2"/>
  <c r="AQ633" i="2"/>
  <c r="AS633" i="2" s="1"/>
  <c r="AU632" i="2"/>
  <c r="AV632" i="2" s="1"/>
  <c r="AU633" i="2"/>
  <c r="AW633" i="2" s="1"/>
  <c r="AG647" i="2"/>
  <c r="AI647" i="2"/>
  <c r="BL307" i="2"/>
  <c r="AY501" i="2"/>
  <c r="AQ632" i="2"/>
  <c r="AS632" i="2" s="1"/>
  <c r="AR630" i="2"/>
  <c r="AF630" i="2"/>
  <c r="AI499" i="2"/>
  <c r="AJ630" i="2"/>
  <c r="AN630" i="2" s="1"/>
  <c r="BO498" i="2"/>
  <c r="BW498" i="2"/>
  <c r="BY498" i="2" s="1"/>
  <c r="AU499" i="2"/>
  <c r="AN498" i="2"/>
  <c r="AO498" i="2" s="1"/>
  <c r="AN497" i="2"/>
  <c r="AO497" i="2" s="1"/>
  <c r="BD433" i="2"/>
  <c r="BD432" i="2"/>
  <c r="AZ431" i="2"/>
  <c r="AY432" i="2"/>
  <c r="BE304" i="2"/>
  <c r="BF304" i="2" s="1"/>
  <c r="BA302" i="2"/>
  <c r="BB302" i="2" s="1"/>
  <c r="AN305" i="2"/>
  <c r="Q243" i="2"/>
  <c r="R245" i="2"/>
  <c r="S245" i="2"/>
  <c r="AO304" i="2"/>
  <c r="Q187" i="9"/>
  <c r="I304" i="9" s="1"/>
  <c r="I188" i="9"/>
  <c r="Q188" i="9" s="1"/>
  <c r="I305" i="9" s="1"/>
  <c r="G188" i="9"/>
  <c r="E188" i="9"/>
  <c r="K188" i="9"/>
  <c r="N188" i="9" s="1"/>
  <c r="C188" i="9"/>
  <c r="D188" i="9" s="1"/>
  <c r="N187" i="9"/>
  <c r="O187" i="9" s="1"/>
  <c r="AV307" i="2" s="1"/>
  <c r="C189" i="9"/>
  <c r="D189" i="9" s="1"/>
  <c r="K189" i="9"/>
  <c r="N189" i="9" s="1"/>
  <c r="I189" i="9"/>
  <c r="R189" i="9" s="1"/>
  <c r="L306" i="9" s="1"/>
  <c r="G189" i="9"/>
  <c r="E189" i="9"/>
  <c r="C154" i="9"/>
  <c r="C152" i="9"/>
  <c r="B188" i="9"/>
  <c r="B248" i="9" s="1"/>
  <c r="B189" i="9"/>
  <c r="B249" i="9" s="1"/>
  <c r="AK630" i="2"/>
  <c r="AE670" i="2"/>
  <c r="AG670" i="2" s="1"/>
  <c r="C121" i="1"/>
  <c r="C306" i="2"/>
  <c r="B245" i="2"/>
  <c r="B307" i="2" s="1"/>
  <c r="A307" i="2"/>
  <c r="M243" i="2"/>
  <c r="T244" i="2"/>
  <c r="L363" i="2" s="1"/>
  <c r="P244" i="2"/>
  <c r="L244" i="2"/>
  <c r="A246" i="2"/>
  <c r="D306" i="2"/>
  <c r="H306" i="2" s="1"/>
  <c r="I245" i="2"/>
  <c r="U245" i="2" s="1"/>
  <c r="K245" i="2"/>
  <c r="L245" i="2" s="1"/>
  <c r="C245" i="2"/>
  <c r="D245" i="2" s="1"/>
  <c r="G245" i="2"/>
  <c r="V245" i="2"/>
  <c r="E245" i="2"/>
  <c r="F306" i="2"/>
  <c r="G306" i="2" s="1"/>
  <c r="G211" i="2"/>
  <c r="G209" i="2"/>
  <c r="D207" i="2"/>
  <c r="K207" i="2"/>
  <c r="F209" i="2"/>
  <c r="H207" i="2"/>
  <c r="I11" i="3"/>
  <c r="A123" i="1"/>
  <c r="B123" i="1" s="1"/>
  <c r="A190" i="9" s="1"/>
  <c r="AB71" i="1"/>
  <c r="AB72" i="1" s="1"/>
  <c r="AB73" i="1" s="1"/>
  <c r="AB74" i="1" s="1"/>
  <c r="AB75" i="1" s="1"/>
  <c r="AB76" i="1" s="1"/>
  <c r="AB77" i="1" s="1"/>
  <c r="AB78" i="1" s="1"/>
  <c r="AB79" i="1" s="1"/>
  <c r="AB80" i="1" s="1"/>
  <c r="AB81" i="1" s="1"/>
  <c r="AB82" i="1" s="1"/>
  <c r="AB83" i="1" s="1"/>
  <c r="AB84" i="1" s="1"/>
  <c r="AB85" i="1" s="1"/>
  <c r="AB86" i="1" s="1"/>
  <c r="AB87" i="1" s="1"/>
  <c r="AB88" i="1" s="1"/>
  <c r="AB89" i="1" s="1"/>
  <c r="AB90" i="1" s="1"/>
  <c r="AB91" i="1" s="1"/>
  <c r="AB92" i="1" s="1"/>
  <c r="AB93" i="1" s="1"/>
  <c r="AB94" i="1" s="1"/>
  <c r="AB95" i="1" s="1"/>
  <c r="P440" i="9" l="1"/>
  <c r="M376" i="9"/>
  <c r="Q497" i="9"/>
  <c r="E497" i="9"/>
  <c r="D497" i="9"/>
  <c r="BG500" i="2" s="1"/>
  <c r="AC432" i="2"/>
  <c r="O649" i="2"/>
  <c r="N649" i="2"/>
  <c r="O650" i="2"/>
  <c r="N650" i="2"/>
  <c r="AD432" i="2"/>
  <c r="M649" i="2"/>
  <c r="M650" i="2"/>
  <c r="S649" i="2"/>
  <c r="R649" i="2"/>
  <c r="S650" i="2"/>
  <c r="R650" i="2"/>
  <c r="H672" i="2"/>
  <c r="O672" i="2"/>
  <c r="Q672" i="2"/>
  <c r="AY672" i="2" s="1"/>
  <c r="BA672" i="2" s="1"/>
  <c r="D672" i="2"/>
  <c r="O436" i="2"/>
  <c r="S436" i="2"/>
  <c r="P436" i="2"/>
  <c r="T436" i="2"/>
  <c r="U436" i="2"/>
  <c r="I436" i="2"/>
  <c r="Q436" i="2"/>
  <c r="R436" i="2"/>
  <c r="N500" i="2"/>
  <c r="J436" i="2"/>
  <c r="N436" i="2"/>
  <c r="P650" i="2"/>
  <c r="AJ650" i="2" s="1"/>
  <c r="K650" i="2"/>
  <c r="I650" i="2"/>
  <c r="O433" i="2"/>
  <c r="P433" i="2"/>
  <c r="AD433" i="2" s="1"/>
  <c r="L437" i="2"/>
  <c r="K437" i="2"/>
  <c r="M307" i="2"/>
  <c r="L307" i="2"/>
  <c r="W307" i="2"/>
  <c r="D649" i="2"/>
  <c r="AE649" i="2" s="1"/>
  <c r="AF649" i="2" s="1"/>
  <c r="I649" i="2"/>
  <c r="P649" i="2"/>
  <c r="AJ649" i="2" s="1"/>
  <c r="K649" i="2"/>
  <c r="AE431" i="2"/>
  <c r="AG431" i="2"/>
  <c r="AH431" i="2" s="1"/>
  <c r="AI431" i="2" s="1"/>
  <c r="V360" i="2"/>
  <c r="V432" i="2"/>
  <c r="M672" i="2"/>
  <c r="S672" i="2"/>
  <c r="F672" i="2"/>
  <c r="N672" i="2" s="1"/>
  <c r="E672" i="2"/>
  <c r="D557" i="2"/>
  <c r="BC499" i="2" s="1"/>
  <c r="E557" i="2"/>
  <c r="P672" i="2"/>
  <c r="R672" i="2"/>
  <c r="T672" i="2"/>
  <c r="J672" i="2"/>
  <c r="C672" i="2"/>
  <c r="G672" i="2"/>
  <c r="C650" i="2"/>
  <c r="E307" i="2"/>
  <c r="J307" i="2"/>
  <c r="L672" i="2"/>
  <c r="K672" i="2"/>
  <c r="AM672" i="2" s="1"/>
  <c r="AO672" i="2" s="1"/>
  <c r="L376" i="9"/>
  <c r="O440" i="9" s="1"/>
  <c r="H248" i="9"/>
  <c r="M248" i="9"/>
  <c r="K441" i="9" s="1"/>
  <c r="H249" i="9"/>
  <c r="M249" i="9"/>
  <c r="K442" i="9" s="1"/>
  <c r="W431" i="2"/>
  <c r="F650" i="2"/>
  <c r="A674" i="2"/>
  <c r="I674" i="2" s="1"/>
  <c r="G650" i="2"/>
  <c r="V307" i="2"/>
  <c r="K307" i="2"/>
  <c r="I307" i="2"/>
  <c r="D249" i="9"/>
  <c r="G249" i="9"/>
  <c r="D248" i="9"/>
  <c r="G248" i="9"/>
  <c r="Q650" i="2"/>
  <c r="H650" i="2"/>
  <c r="J650" i="2"/>
  <c r="E650" i="2"/>
  <c r="D650" i="2"/>
  <c r="AE650" i="2" s="1"/>
  <c r="AF650" i="2" s="1"/>
  <c r="L650" i="2"/>
  <c r="G376" i="9"/>
  <c r="R305" i="2"/>
  <c r="S305" i="2" s="1"/>
  <c r="G362" i="2" s="1"/>
  <c r="H362" i="2" s="1"/>
  <c r="O374" i="9"/>
  <c r="AP304" i="2"/>
  <c r="I247" i="9"/>
  <c r="J247" i="9" s="1"/>
  <c r="G304" i="9" s="1"/>
  <c r="H304" i="9" s="1"/>
  <c r="J375" i="9"/>
  <c r="K375" i="9" s="1"/>
  <c r="L439" i="9"/>
  <c r="M439" i="9" s="1"/>
  <c r="K304" i="9"/>
  <c r="AK436" i="2"/>
  <c r="A442" i="9"/>
  <c r="I442" i="9"/>
  <c r="J442" i="9"/>
  <c r="A306" i="9"/>
  <c r="S378" i="9" s="1"/>
  <c r="A378" i="9"/>
  <c r="L249" i="9"/>
  <c r="M306" i="9" s="1"/>
  <c r="N306" i="9" s="1"/>
  <c r="E249" i="9"/>
  <c r="F249" i="9" s="1"/>
  <c r="K249" i="9"/>
  <c r="J306" i="9" s="1"/>
  <c r="J497" i="9"/>
  <c r="BX500" i="2" s="1"/>
  <c r="E376" i="9"/>
  <c r="F376" i="9" s="1"/>
  <c r="I376" i="9"/>
  <c r="D376" i="9"/>
  <c r="H376" i="9"/>
  <c r="C303" i="9"/>
  <c r="I441" i="9"/>
  <c r="A441" i="9"/>
  <c r="J441" i="9"/>
  <c r="A305" i="9"/>
  <c r="S377" i="9" s="1"/>
  <c r="A377" i="9"/>
  <c r="C248" i="9"/>
  <c r="K248" i="9"/>
  <c r="J305" i="9" s="1"/>
  <c r="K305" i="9" s="1"/>
  <c r="E248" i="9"/>
  <c r="F248" i="9" s="1"/>
  <c r="L248" i="9"/>
  <c r="M305" i="9" s="1"/>
  <c r="BM308" i="2" s="1"/>
  <c r="G303" i="9"/>
  <c r="H303" i="9" s="1"/>
  <c r="D303" i="9"/>
  <c r="T376" i="9"/>
  <c r="Q376" i="9"/>
  <c r="R376" i="9"/>
  <c r="P190" i="9"/>
  <c r="F307" i="9" s="1"/>
  <c r="A250" i="9"/>
  <c r="B442" i="9"/>
  <c r="B500" i="9" s="1"/>
  <c r="B378" i="9"/>
  <c r="C378" i="9" s="1"/>
  <c r="B306" i="9"/>
  <c r="B441" i="9"/>
  <c r="B499" i="9" s="1"/>
  <c r="B305" i="9"/>
  <c r="B377" i="9"/>
  <c r="AI501" i="2"/>
  <c r="AR500" i="2"/>
  <c r="AS500" i="2" s="1"/>
  <c r="I497" i="9"/>
  <c r="H497" i="9"/>
  <c r="BO500" i="2" s="1"/>
  <c r="R497" i="9"/>
  <c r="K497" i="9"/>
  <c r="L497" i="9"/>
  <c r="N497" i="9"/>
  <c r="CE500" i="2" s="1"/>
  <c r="G497" i="9"/>
  <c r="O497" i="9"/>
  <c r="P497" i="9"/>
  <c r="A498" i="9"/>
  <c r="D440" i="9"/>
  <c r="E440" i="9" s="1"/>
  <c r="J498" i="9" s="1"/>
  <c r="G14" i="3" a="1"/>
  <c r="G14" i="3" s="1"/>
  <c r="N13" i="3" a="1"/>
  <c r="N13" i="3" s="1"/>
  <c r="I13" i="3" s="1"/>
  <c r="G13" i="3" a="1"/>
  <c r="G13" i="3" s="1"/>
  <c r="F649" i="2"/>
  <c r="H649" i="2"/>
  <c r="L649" i="2"/>
  <c r="A673" i="2"/>
  <c r="S673" i="2" s="1"/>
  <c r="Q649" i="2"/>
  <c r="J649" i="2"/>
  <c r="E649" i="2"/>
  <c r="G649" i="2"/>
  <c r="C649" i="2"/>
  <c r="BK498" i="2"/>
  <c r="BU498" i="2"/>
  <c r="G500" i="2"/>
  <c r="AE500" i="2" s="1"/>
  <c r="L556" i="2"/>
  <c r="AD434" i="2"/>
  <c r="M435" i="2"/>
  <c r="J360" i="2"/>
  <c r="AS303" i="2" s="1"/>
  <c r="AT303" i="2" s="1"/>
  <c r="K499" i="2"/>
  <c r="L499" i="2" s="1"/>
  <c r="AC434" i="2"/>
  <c r="P305" i="2"/>
  <c r="Q305" i="2" s="1"/>
  <c r="AK304" i="2"/>
  <c r="AL304" i="2" s="1"/>
  <c r="I361" i="2"/>
  <c r="AR304" i="2" s="1"/>
  <c r="C361" i="2"/>
  <c r="AF304" i="2" s="1"/>
  <c r="J557" i="2"/>
  <c r="A364" i="2"/>
  <c r="U364" i="2" s="1"/>
  <c r="A501" i="2"/>
  <c r="A437" i="2"/>
  <c r="H360" i="2"/>
  <c r="H436" i="2"/>
  <c r="E436" i="2"/>
  <c r="F436" i="2" s="1"/>
  <c r="AP436" i="2" s="1"/>
  <c r="D436" i="2"/>
  <c r="N557" i="2"/>
  <c r="CA499" i="2" s="1"/>
  <c r="H557" i="2"/>
  <c r="BK499" i="2" s="1"/>
  <c r="P557" i="2"/>
  <c r="R557" i="2"/>
  <c r="G557" i="2"/>
  <c r="K557" i="2"/>
  <c r="BS499" i="2" s="1"/>
  <c r="AJ305" i="2"/>
  <c r="A558" i="2"/>
  <c r="Q558" i="2" s="1"/>
  <c r="AU501" i="2"/>
  <c r="O364" i="2"/>
  <c r="BH307" i="2" s="1"/>
  <c r="E360" i="2"/>
  <c r="B364" i="2"/>
  <c r="B501" i="2"/>
  <c r="B559" i="2" s="1"/>
  <c r="B437" i="2"/>
  <c r="C436" i="2"/>
  <c r="G436" i="2" s="1"/>
  <c r="BT499" i="2"/>
  <c r="R363" i="2"/>
  <c r="S363" i="2"/>
  <c r="T363" i="2" s="1"/>
  <c r="V363" i="2"/>
  <c r="D360" i="2"/>
  <c r="AG303" i="2" s="1"/>
  <c r="AH303" i="2" s="1"/>
  <c r="W244" i="2"/>
  <c r="U306" i="2"/>
  <c r="P363" i="2" s="1"/>
  <c r="Q363" i="2" s="1"/>
  <c r="O304" i="2"/>
  <c r="J361" i="2" s="1"/>
  <c r="T304" i="2"/>
  <c r="M361" i="2" s="1"/>
  <c r="N361" i="2" s="1"/>
  <c r="N305" i="2"/>
  <c r="D500" i="2"/>
  <c r="E500" i="2" s="1"/>
  <c r="I500" i="2" s="1"/>
  <c r="F245" i="2"/>
  <c r="H245" i="2" s="1"/>
  <c r="J245" i="2" s="1"/>
  <c r="G501" i="2" s="1"/>
  <c r="F188" i="9"/>
  <c r="H188" i="9" s="1"/>
  <c r="J188" i="9" s="1"/>
  <c r="G441" i="9" s="1"/>
  <c r="F189" i="9"/>
  <c r="H189" i="9" s="1"/>
  <c r="J189" i="9" s="1"/>
  <c r="G442" i="9" s="1"/>
  <c r="BC671" i="2"/>
  <c r="BE671" i="2" s="1"/>
  <c r="AZ671" i="2"/>
  <c r="AJ671" i="2"/>
  <c r="AU670" i="2"/>
  <c r="AW670" i="2" s="1"/>
  <c r="AV633" i="2"/>
  <c r="AW632" i="2"/>
  <c r="AX633" i="2" s="1"/>
  <c r="AT633" i="2"/>
  <c r="AG648" i="2"/>
  <c r="AI648" i="2"/>
  <c r="AK647" i="2"/>
  <c r="M187" i="9"/>
  <c r="BM307" i="2"/>
  <c r="BN307" i="2" s="1"/>
  <c r="BL309" i="2"/>
  <c r="AY503" i="2"/>
  <c r="BD308" i="2"/>
  <c r="AQ502" i="2"/>
  <c r="BL306" i="2"/>
  <c r="BN306" i="2" s="1"/>
  <c r="BD307" i="2"/>
  <c r="AQ501" i="2"/>
  <c r="CE499" i="2"/>
  <c r="AT627" i="2"/>
  <c r="AT632" i="2"/>
  <c r="AT630" i="2"/>
  <c r="AT629" i="2"/>
  <c r="AT626" i="2"/>
  <c r="AT628" i="2"/>
  <c r="AT625" i="2"/>
  <c r="AR631" i="2"/>
  <c r="AF631" i="2"/>
  <c r="AT631" i="2"/>
  <c r="AT624" i="2"/>
  <c r="AJ631" i="2"/>
  <c r="AN631" i="2" s="1"/>
  <c r="BY499" i="2"/>
  <c r="AZ306" i="2"/>
  <c r="AM500" i="2"/>
  <c r="AN499" i="2"/>
  <c r="AO499" i="2" s="1"/>
  <c r="AZ432" i="2"/>
  <c r="AY433" i="2"/>
  <c r="BC434" i="2"/>
  <c r="AM434" i="2"/>
  <c r="BH305" i="2"/>
  <c r="BJ305" i="2" s="1"/>
  <c r="BA303" i="2"/>
  <c r="BB303" i="2" s="1"/>
  <c r="BE305" i="2"/>
  <c r="BF305" i="2" s="1"/>
  <c r="AW304" i="2"/>
  <c r="AX304" i="2" s="1"/>
  <c r="Q244" i="2"/>
  <c r="R246" i="2"/>
  <c r="S246" i="2"/>
  <c r="N243" i="2"/>
  <c r="AO305" i="2"/>
  <c r="AP305" i="2" s="1"/>
  <c r="O189" i="9"/>
  <c r="AV309" i="2" s="1"/>
  <c r="L189" i="9"/>
  <c r="Q189" i="9"/>
  <c r="O188" i="9"/>
  <c r="AV308" i="2" s="1"/>
  <c r="R188" i="9"/>
  <c r="L188" i="9"/>
  <c r="C190" i="9"/>
  <c r="D190" i="9" s="1"/>
  <c r="K190" i="9"/>
  <c r="N190" i="9" s="1"/>
  <c r="I190" i="9"/>
  <c r="R190" i="9" s="1"/>
  <c r="L307" i="9" s="1"/>
  <c r="G190" i="9"/>
  <c r="E190" i="9"/>
  <c r="B190" i="9"/>
  <c r="B250" i="9" s="1"/>
  <c r="AE671" i="2"/>
  <c r="AG671" i="2" s="1"/>
  <c r="AK631" i="2"/>
  <c r="C307" i="2"/>
  <c r="U307" i="2" s="1"/>
  <c r="P364" i="2" s="1"/>
  <c r="F307" i="2"/>
  <c r="G307" i="2" s="1"/>
  <c r="AI672" i="2"/>
  <c r="AK672" i="2" s="1"/>
  <c r="C122" i="1"/>
  <c r="C249" i="9" s="1"/>
  <c r="A308" i="2"/>
  <c r="B246" i="2"/>
  <c r="B308" i="2" s="1"/>
  <c r="M244" i="2"/>
  <c r="D307" i="2"/>
  <c r="H307" i="2" s="1"/>
  <c r="T245" i="2"/>
  <c r="O245" i="2"/>
  <c r="P245" i="2" s="1"/>
  <c r="V246" i="2"/>
  <c r="I246" i="2"/>
  <c r="U246" i="2" s="1"/>
  <c r="G246" i="2"/>
  <c r="C246" i="2"/>
  <c r="D246" i="2" s="1"/>
  <c r="K246" i="2"/>
  <c r="L246" i="2" s="1"/>
  <c r="E246" i="2"/>
  <c r="A247" i="2"/>
  <c r="I211" i="2"/>
  <c r="E209" i="2"/>
  <c r="D209" i="2"/>
  <c r="D211" i="2"/>
  <c r="J211" i="2"/>
  <c r="J209" i="2"/>
  <c r="K209" i="2"/>
  <c r="K211" i="2"/>
  <c r="H209" i="2"/>
  <c r="H211" i="2"/>
  <c r="C211" i="2"/>
  <c r="L11" i="3"/>
  <c r="A124" i="1"/>
  <c r="B124" i="1" s="1"/>
  <c r="A191" i="9" s="1"/>
  <c r="AE432" i="2" l="1"/>
  <c r="P442" i="9"/>
  <c r="M378" i="9"/>
  <c r="P441" i="9"/>
  <c r="M377" i="9"/>
  <c r="AG432" i="2"/>
  <c r="AH432" i="2" s="1"/>
  <c r="AI432" i="2" s="1"/>
  <c r="Q498" i="9"/>
  <c r="E498" i="9"/>
  <c r="D498" i="9"/>
  <c r="BG501" i="2" s="1"/>
  <c r="AF432" i="2"/>
  <c r="T437" i="2"/>
  <c r="I437" i="2"/>
  <c r="R437" i="2"/>
  <c r="N501" i="2"/>
  <c r="J437" i="2"/>
  <c r="S437" i="2"/>
  <c r="P437" i="2"/>
  <c r="U437" i="2"/>
  <c r="Q437" i="2"/>
  <c r="O437" i="2"/>
  <c r="N437" i="2"/>
  <c r="R674" i="2"/>
  <c r="Q433" i="2"/>
  <c r="V433" i="2" s="1"/>
  <c r="L438" i="2"/>
  <c r="K438" i="2"/>
  <c r="W308" i="2"/>
  <c r="M308" i="2"/>
  <c r="L308" i="2"/>
  <c r="Q674" i="2"/>
  <c r="AY674" i="2" s="1"/>
  <c r="BA674" i="2" s="1"/>
  <c r="W432" i="2"/>
  <c r="AC433" i="2"/>
  <c r="AG433" i="2" s="1"/>
  <c r="AH433" i="2" s="1"/>
  <c r="AI433" i="2" s="1"/>
  <c r="D558" i="2"/>
  <c r="BC500" i="2" s="1"/>
  <c r="E558" i="2"/>
  <c r="O674" i="2"/>
  <c r="C674" i="2"/>
  <c r="T674" i="2"/>
  <c r="H674" i="2"/>
  <c r="S674" i="2"/>
  <c r="L674" i="2"/>
  <c r="E674" i="2"/>
  <c r="E308" i="2"/>
  <c r="J308" i="2"/>
  <c r="K674" i="2"/>
  <c r="J674" i="2"/>
  <c r="L378" i="9"/>
  <c r="O442" i="9" s="1"/>
  <c r="L377" i="9"/>
  <c r="O441" i="9" s="1"/>
  <c r="H250" i="9"/>
  <c r="M250" i="9"/>
  <c r="K443" i="9" s="1"/>
  <c r="D674" i="2"/>
  <c r="G674" i="2"/>
  <c r="P674" i="2"/>
  <c r="M674" i="2"/>
  <c r="F674" i="2"/>
  <c r="N674" i="2" s="1"/>
  <c r="V308" i="2"/>
  <c r="I308" i="2"/>
  <c r="K308" i="2"/>
  <c r="D250" i="9"/>
  <c r="G250" i="9"/>
  <c r="G378" i="9"/>
  <c r="AK437" i="2"/>
  <c r="AT437" i="2"/>
  <c r="AE434" i="2"/>
  <c r="AG434" i="2"/>
  <c r="AF434" i="2"/>
  <c r="D304" i="9"/>
  <c r="K13" i="3"/>
  <c r="L13" i="3" s="1"/>
  <c r="I248" i="9"/>
  <c r="J248" i="9" s="1"/>
  <c r="G305" i="9" s="1"/>
  <c r="H305" i="9" s="1"/>
  <c r="E303" i="9"/>
  <c r="J376" i="9"/>
  <c r="K376" i="9" s="1"/>
  <c r="O376" i="9" s="1"/>
  <c r="E377" i="9"/>
  <c r="F377" i="9" s="1"/>
  <c r="C377" i="9"/>
  <c r="G377" i="9" s="1"/>
  <c r="C304" i="9"/>
  <c r="L440" i="9"/>
  <c r="M440" i="9" s="1"/>
  <c r="B379" i="9"/>
  <c r="C379" i="9" s="1"/>
  <c r="B307" i="9"/>
  <c r="B443" i="9"/>
  <c r="B501" i="9" s="1"/>
  <c r="A499" i="9"/>
  <c r="D441" i="9"/>
  <c r="E441" i="9" s="1"/>
  <c r="I249" i="9"/>
  <c r="J249" i="9" s="1"/>
  <c r="T377" i="9"/>
  <c r="Q377" i="9"/>
  <c r="R377" i="9"/>
  <c r="H378" i="9"/>
  <c r="L442" i="9" s="1"/>
  <c r="M442" i="9" s="1"/>
  <c r="I378" i="9"/>
  <c r="E378" i="9"/>
  <c r="F378" i="9" s="1"/>
  <c r="AT439" i="2" s="1"/>
  <c r="D378" i="9"/>
  <c r="O375" i="9"/>
  <c r="N375" i="9"/>
  <c r="P375" i="9" s="1"/>
  <c r="AL436" i="2" s="1"/>
  <c r="R378" i="9"/>
  <c r="Q378" i="9"/>
  <c r="T378" i="9"/>
  <c r="AR501" i="2"/>
  <c r="AQ503" i="2"/>
  <c r="I306" i="9"/>
  <c r="K306" i="9" s="1"/>
  <c r="D377" i="9"/>
  <c r="I377" i="9"/>
  <c r="H377" i="9"/>
  <c r="L441" i="9" s="1"/>
  <c r="M441" i="9" s="1"/>
  <c r="D442" i="9"/>
  <c r="E442" i="9" s="1"/>
  <c r="A500" i="9"/>
  <c r="N498" i="9"/>
  <c r="L498" i="9"/>
  <c r="O498" i="9"/>
  <c r="I498" i="9"/>
  <c r="K498" i="9"/>
  <c r="BW501" i="2" s="1"/>
  <c r="P498" i="9"/>
  <c r="G498" i="9"/>
  <c r="H498" i="9"/>
  <c r="BO501" i="2" s="1"/>
  <c r="R498" i="9"/>
  <c r="AN306" i="2"/>
  <c r="AY502" i="2"/>
  <c r="L305" i="9"/>
  <c r="N305" i="9" s="1"/>
  <c r="P191" i="9"/>
  <c r="F308" i="9" s="1"/>
  <c r="A251" i="9"/>
  <c r="I443" i="9"/>
  <c r="A443" i="9"/>
  <c r="J443" i="9"/>
  <c r="A379" i="9"/>
  <c r="A307" i="9"/>
  <c r="S379" i="9" s="1"/>
  <c r="K250" i="9"/>
  <c r="J307" i="9" s="1"/>
  <c r="L250" i="9"/>
  <c r="M307" i="9" s="1"/>
  <c r="N307" i="9" s="1"/>
  <c r="E250" i="9"/>
  <c r="F250" i="9" s="1"/>
  <c r="I673" i="2"/>
  <c r="AI673" i="2" s="1"/>
  <c r="AK673" i="2" s="1"/>
  <c r="H673" i="2"/>
  <c r="R673" i="2"/>
  <c r="J673" i="2"/>
  <c r="D673" i="2"/>
  <c r="P673" i="2"/>
  <c r="F673" i="2"/>
  <c r="N673" i="2" s="1"/>
  <c r="T673" i="2"/>
  <c r="M673" i="2"/>
  <c r="K673" i="2"/>
  <c r="AM673" i="2" s="1"/>
  <c r="AO673" i="2" s="1"/>
  <c r="E673" i="2"/>
  <c r="G673" i="2"/>
  <c r="AE673" i="2" s="1"/>
  <c r="AG673" i="2" s="1"/>
  <c r="L673" i="2"/>
  <c r="Q673" i="2"/>
  <c r="AY673" i="2" s="1"/>
  <c r="BA673" i="2" s="1"/>
  <c r="C673" i="2"/>
  <c r="O673" i="2"/>
  <c r="BU499" i="2"/>
  <c r="L557" i="2"/>
  <c r="AD435" i="2"/>
  <c r="M436" i="2"/>
  <c r="P306" i="2"/>
  <c r="Q306" i="2" s="1"/>
  <c r="Q364" i="2"/>
  <c r="C437" i="2"/>
  <c r="G437" i="2" s="1"/>
  <c r="K500" i="2"/>
  <c r="L500" i="2" s="1"/>
  <c r="B502" i="2"/>
  <c r="B560" i="2" s="1"/>
  <c r="B365" i="2"/>
  <c r="B438" i="2"/>
  <c r="F363" i="2"/>
  <c r="A559" i="2"/>
  <c r="Q559" i="2" s="1"/>
  <c r="E361" i="2"/>
  <c r="AU502" i="2"/>
  <c r="O365" i="2"/>
  <c r="BH308" i="2" s="1"/>
  <c r="A365" i="2"/>
  <c r="U365" i="2" s="1"/>
  <c r="A438" i="2"/>
  <c r="A502" i="2"/>
  <c r="I362" i="2"/>
  <c r="AR305" i="2" s="1"/>
  <c r="C362" i="2"/>
  <c r="AF305" i="2" s="1"/>
  <c r="K361" i="2"/>
  <c r="J558" i="2"/>
  <c r="D361" i="2"/>
  <c r="AG304" i="2" s="1"/>
  <c r="AH304" i="2" s="1"/>
  <c r="AM501" i="2"/>
  <c r="L364" i="2"/>
  <c r="AZ307" i="2" s="1"/>
  <c r="AE501" i="2"/>
  <c r="R558" i="2"/>
  <c r="K558" i="2"/>
  <c r="BS500" i="2" s="1"/>
  <c r="P558" i="2"/>
  <c r="N558" i="2"/>
  <c r="CA500" i="2" s="1"/>
  <c r="G558" i="2"/>
  <c r="H558" i="2" s="1"/>
  <c r="H437" i="2"/>
  <c r="E437" i="2"/>
  <c r="F437" i="2" s="1"/>
  <c r="AP437" i="2" s="1"/>
  <c r="D437" i="2"/>
  <c r="R364" i="2"/>
  <c r="S364" i="2"/>
  <c r="T364" i="2" s="1"/>
  <c r="V364" i="2"/>
  <c r="W245" i="2"/>
  <c r="BA304" i="2"/>
  <c r="BB304" i="2" s="1"/>
  <c r="AS304" i="2"/>
  <c r="AT304" i="2" s="1"/>
  <c r="BI306" i="2"/>
  <c r="BJ306" i="2" s="1"/>
  <c r="BI307" i="2"/>
  <c r="BJ307" i="2" s="1"/>
  <c r="R306" i="2"/>
  <c r="S306" i="2" s="1"/>
  <c r="O305" i="2"/>
  <c r="E362" i="2" s="1"/>
  <c r="T305" i="2"/>
  <c r="M362" i="2" s="1"/>
  <c r="N362" i="2" s="1"/>
  <c r="AK305" i="2"/>
  <c r="AL305" i="2" s="1"/>
  <c r="D501" i="2"/>
  <c r="E501" i="2" s="1"/>
  <c r="I501" i="2" s="1"/>
  <c r="N306" i="2"/>
  <c r="F190" i="9"/>
  <c r="H190" i="9" s="1"/>
  <c r="J190" i="9" s="1"/>
  <c r="G443" i="9" s="1"/>
  <c r="F246" i="2"/>
  <c r="H246" i="2" s="1"/>
  <c r="J246" i="2" s="1"/>
  <c r="G502" i="2" s="1"/>
  <c r="M189" i="9"/>
  <c r="C306" i="9" s="1"/>
  <c r="AX629" i="2"/>
  <c r="AX626" i="2"/>
  <c r="AX628" i="2"/>
  <c r="AX632" i="2"/>
  <c r="AX630" i="2"/>
  <c r="AX631" i="2"/>
  <c r="AX625" i="2"/>
  <c r="AX627" i="2"/>
  <c r="AX624" i="2"/>
  <c r="AZ672" i="2"/>
  <c r="AJ672" i="2"/>
  <c r="AU672" i="2"/>
  <c r="AW672" i="2" s="1"/>
  <c r="N79" i="3" a="1"/>
  <c r="N79" i="3" s="1"/>
  <c r="G80" i="3" a="1"/>
  <c r="G80" i="3" s="1"/>
  <c r="BC672" i="2"/>
  <c r="BE672" i="2" s="1"/>
  <c r="AU671" i="2"/>
  <c r="AW671" i="2" s="1"/>
  <c r="AG649" i="2"/>
  <c r="AI649" i="2"/>
  <c r="AK649" i="2" s="1"/>
  <c r="AG650" i="2"/>
  <c r="AI650" i="2"/>
  <c r="AK650" i="2" s="1"/>
  <c r="AK648" i="2"/>
  <c r="BL310" i="2"/>
  <c r="AY504" i="2"/>
  <c r="M188" i="9"/>
  <c r="BM309" i="2"/>
  <c r="BN309" i="2" s="1"/>
  <c r="AS501" i="2"/>
  <c r="AR632" i="2"/>
  <c r="AF632" i="2"/>
  <c r="AJ633" i="2"/>
  <c r="AN633" i="2" s="1"/>
  <c r="AO633" i="2" s="1"/>
  <c r="AF633" i="2"/>
  <c r="AR633" i="2"/>
  <c r="AJ632" i="2"/>
  <c r="AN632" i="2" s="1"/>
  <c r="BW500" i="2"/>
  <c r="BY500" i="2" s="1"/>
  <c r="AY435" i="2"/>
  <c r="AZ433" i="2"/>
  <c r="BD434" i="2"/>
  <c r="AY434" i="2"/>
  <c r="BC435" i="2"/>
  <c r="AM435" i="2"/>
  <c r="BE306" i="2"/>
  <c r="BF306" i="2" s="1"/>
  <c r="AW305" i="2"/>
  <c r="AX305" i="2" s="1"/>
  <c r="M245" i="2"/>
  <c r="N245" i="2" s="1"/>
  <c r="Q245" i="2"/>
  <c r="R247" i="2"/>
  <c r="S247" i="2"/>
  <c r="N244" i="2"/>
  <c r="I153" i="9"/>
  <c r="C153" i="9"/>
  <c r="E153" i="9"/>
  <c r="H153" i="9"/>
  <c r="BX501" i="2"/>
  <c r="BE309" i="2"/>
  <c r="AO306" i="2"/>
  <c r="O190" i="9"/>
  <c r="AV310" i="2" s="1"/>
  <c r="Q190" i="9"/>
  <c r="L190" i="9"/>
  <c r="I191" i="9"/>
  <c r="Q191" i="9" s="1"/>
  <c r="I308" i="9" s="1"/>
  <c r="K191" i="9"/>
  <c r="L191" i="9" s="1"/>
  <c r="C191" i="9"/>
  <c r="D191" i="9" s="1"/>
  <c r="E191" i="9"/>
  <c r="G191" i="9"/>
  <c r="F153" i="9"/>
  <c r="G153" i="9"/>
  <c r="D153" i="9"/>
  <c r="F210" i="2"/>
  <c r="K210" i="2"/>
  <c r="I210" i="2"/>
  <c r="H210" i="2"/>
  <c r="J210" i="2"/>
  <c r="E210" i="2"/>
  <c r="C210" i="2"/>
  <c r="G210" i="2"/>
  <c r="D210" i="2"/>
  <c r="B191" i="9"/>
  <c r="B251" i="9" s="1"/>
  <c r="AE672" i="2"/>
  <c r="AG672" i="2" s="1"/>
  <c r="AK633" i="2"/>
  <c r="AK632" i="2"/>
  <c r="C308" i="2"/>
  <c r="U308" i="2" s="1"/>
  <c r="P365" i="2" s="1"/>
  <c r="C659" i="2"/>
  <c r="C670" i="2" s="1"/>
  <c r="AM674" i="2"/>
  <c r="AO674" i="2" s="1"/>
  <c r="AI674" i="2"/>
  <c r="AK674" i="2" s="1"/>
  <c r="C123" i="1"/>
  <c r="C250" i="9" s="1"/>
  <c r="A309" i="2"/>
  <c r="B247" i="2"/>
  <c r="B309" i="2" s="1"/>
  <c r="D308" i="2"/>
  <c r="H308" i="2" s="1"/>
  <c r="T246" i="2"/>
  <c r="O246" i="2"/>
  <c r="P246" i="2" s="1"/>
  <c r="F308" i="2"/>
  <c r="G308" i="2" s="1"/>
  <c r="A248" i="2"/>
  <c r="V247" i="2"/>
  <c r="I247" i="2"/>
  <c r="T247" i="2" s="1"/>
  <c r="G247" i="2"/>
  <c r="K247" i="2"/>
  <c r="L247" i="2" s="1"/>
  <c r="C247" i="2"/>
  <c r="D247" i="2" s="1"/>
  <c r="E247" i="2"/>
  <c r="BT500" i="2"/>
  <c r="A125" i="1"/>
  <c r="G63" i="3" l="1" a="1"/>
  <c r="G63" i="3" s="1"/>
  <c r="Q500" i="9"/>
  <c r="E500" i="9"/>
  <c r="D500" i="9"/>
  <c r="BG503" i="2" s="1"/>
  <c r="Q499" i="9"/>
  <c r="D499" i="9"/>
  <c r="BG502" i="2" s="1"/>
  <c r="E499" i="9"/>
  <c r="P443" i="9"/>
  <c r="M379" i="9"/>
  <c r="P438" i="2"/>
  <c r="N502" i="2"/>
  <c r="S438" i="2"/>
  <c r="J438" i="2"/>
  <c r="U438" i="2"/>
  <c r="O438" i="2"/>
  <c r="R438" i="2"/>
  <c r="Q438" i="2"/>
  <c r="T438" i="2"/>
  <c r="I438" i="2"/>
  <c r="N438" i="2"/>
  <c r="L439" i="2"/>
  <c r="K439" i="2"/>
  <c r="W309" i="2"/>
  <c r="M309" i="2"/>
  <c r="L309" i="2"/>
  <c r="AF433" i="2"/>
  <c r="AE433" i="2"/>
  <c r="W433" i="2"/>
  <c r="E559" i="2"/>
  <c r="D559" i="2"/>
  <c r="BC501" i="2" s="1"/>
  <c r="E309" i="2"/>
  <c r="J309" i="2"/>
  <c r="G379" i="9"/>
  <c r="L379" i="9"/>
  <c r="O443" i="9" s="1"/>
  <c r="H251" i="9"/>
  <c r="M251" i="9"/>
  <c r="K444" i="9" s="1"/>
  <c r="V309" i="2"/>
  <c r="I309" i="2"/>
  <c r="K309" i="2"/>
  <c r="D251" i="9"/>
  <c r="G251" i="9"/>
  <c r="AC435" i="2"/>
  <c r="AE435" i="2" s="1"/>
  <c r="AK438" i="2"/>
  <c r="AT438" i="2"/>
  <c r="AH434" i="2"/>
  <c r="AI434" i="2" s="1"/>
  <c r="AN433" i="2"/>
  <c r="E304" i="9"/>
  <c r="J378" i="9"/>
  <c r="K378" i="9" s="1"/>
  <c r="O378" i="9" s="1"/>
  <c r="R307" i="2"/>
  <c r="S307" i="2" s="1"/>
  <c r="D305" i="9"/>
  <c r="M437" i="2"/>
  <c r="W434" i="2"/>
  <c r="V434" i="2"/>
  <c r="I250" i="9"/>
  <c r="J250" i="9" s="1"/>
  <c r="D307" i="9" s="1"/>
  <c r="N376" i="9"/>
  <c r="P376" i="9" s="1"/>
  <c r="AL437" i="2" s="1"/>
  <c r="J377" i="9"/>
  <c r="K377" i="9" s="1"/>
  <c r="O377" i="9" s="1"/>
  <c r="AP306" i="2"/>
  <c r="J499" i="9"/>
  <c r="BX502" i="2" s="1"/>
  <c r="AR502" i="2"/>
  <c r="AS502" i="2" s="1"/>
  <c r="G306" i="9"/>
  <c r="H306" i="9" s="1"/>
  <c r="D306" i="9"/>
  <c r="E306" i="9" s="1"/>
  <c r="L499" i="9"/>
  <c r="H499" i="9"/>
  <c r="BO502" i="2" s="1"/>
  <c r="N499" i="9"/>
  <c r="K499" i="9"/>
  <c r="O499" i="9"/>
  <c r="I499" i="9"/>
  <c r="G499" i="9"/>
  <c r="P499" i="9"/>
  <c r="R499" i="9"/>
  <c r="AQ504" i="2"/>
  <c r="I307" i="9"/>
  <c r="K307" i="9" s="1"/>
  <c r="C305" i="9"/>
  <c r="E379" i="9"/>
  <c r="F379" i="9" s="1"/>
  <c r="AT440" i="2" s="1"/>
  <c r="H379" i="9"/>
  <c r="L443" i="9" s="1"/>
  <c r="M443" i="9" s="1"/>
  <c r="I379" i="9"/>
  <c r="D379" i="9"/>
  <c r="J444" i="9"/>
  <c r="A444" i="9"/>
  <c r="A380" i="9"/>
  <c r="A308" i="9"/>
  <c r="S380" i="9" s="1"/>
  <c r="I444" i="9"/>
  <c r="E251" i="9"/>
  <c r="F251" i="9" s="1"/>
  <c r="L251" i="9"/>
  <c r="M308" i="9" s="1"/>
  <c r="BM311" i="2" s="1"/>
  <c r="K251" i="9"/>
  <c r="J308" i="9" s="1"/>
  <c r="K308" i="9" s="1"/>
  <c r="AN307" i="2"/>
  <c r="T379" i="9"/>
  <c r="R379" i="9"/>
  <c r="Q379" i="9"/>
  <c r="J500" i="9"/>
  <c r="BX503" i="2" s="1"/>
  <c r="BD309" i="2"/>
  <c r="BF309" i="2" s="1"/>
  <c r="N500" i="9"/>
  <c r="R500" i="9"/>
  <c r="L500" i="9"/>
  <c r="P500" i="9"/>
  <c r="K500" i="9"/>
  <c r="I500" i="9"/>
  <c r="O500" i="9"/>
  <c r="H500" i="9"/>
  <c r="BO503" i="2" s="1"/>
  <c r="G500" i="9"/>
  <c r="B444" i="9"/>
  <c r="B502" i="9" s="1"/>
  <c r="B380" i="9"/>
  <c r="C380" i="9" s="1"/>
  <c r="B308" i="9"/>
  <c r="AK439" i="2"/>
  <c r="A501" i="9"/>
  <c r="D443" i="9"/>
  <c r="E443" i="9" s="1"/>
  <c r="J501" i="9" s="1"/>
  <c r="E670" i="2"/>
  <c r="C668" i="2"/>
  <c r="E668" i="2" s="1"/>
  <c r="C669" i="2"/>
  <c r="C666" i="2"/>
  <c r="M642" i="2" s="1"/>
  <c r="O642" i="2" s="1"/>
  <c r="C667" i="2"/>
  <c r="M643" i="2" s="1"/>
  <c r="O643" i="2" s="1"/>
  <c r="L558" i="2"/>
  <c r="BK500" i="2"/>
  <c r="AD436" i="2"/>
  <c r="AC436" i="2"/>
  <c r="Q365" i="2"/>
  <c r="BU500" i="2"/>
  <c r="K501" i="2"/>
  <c r="L501" i="2" s="1"/>
  <c r="C438" i="2"/>
  <c r="G438" i="2" s="1"/>
  <c r="J559" i="2"/>
  <c r="AM503" i="2"/>
  <c r="L366" i="2"/>
  <c r="AZ309" i="2" s="1"/>
  <c r="J362" i="2"/>
  <c r="AS305" i="2" s="1"/>
  <c r="AT305" i="2" s="1"/>
  <c r="P307" i="2"/>
  <c r="Q307" i="2" s="1"/>
  <c r="S365" i="2"/>
  <c r="T365" i="2" s="1"/>
  <c r="R365" i="2"/>
  <c r="V365" i="2"/>
  <c r="K362" i="2"/>
  <c r="F364" i="2"/>
  <c r="D362" i="2"/>
  <c r="AG305" i="2" s="1"/>
  <c r="AH305" i="2" s="1"/>
  <c r="A366" i="2"/>
  <c r="U366" i="2" s="1"/>
  <c r="A503" i="2"/>
  <c r="A439" i="2"/>
  <c r="A560" i="2"/>
  <c r="Q560" i="2" s="1"/>
  <c r="K559" i="2"/>
  <c r="BS501" i="2" s="1"/>
  <c r="G559" i="2"/>
  <c r="H559" i="2" s="1"/>
  <c r="BK501" i="2" s="1"/>
  <c r="N559" i="2"/>
  <c r="CA501" i="2" s="1"/>
  <c r="P559" i="2"/>
  <c r="R559" i="2"/>
  <c r="AM502" i="2"/>
  <c r="L365" i="2"/>
  <c r="AZ308" i="2" s="1"/>
  <c r="I363" i="2"/>
  <c r="AR306" i="2" s="1"/>
  <c r="C363" i="2"/>
  <c r="AF306" i="2" s="1"/>
  <c r="G363" i="2"/>
  <c r="AK306" i="2" s="1"/>
  <c r="B439" i="2"/>
  <c r="B366" i="2"/>
  <c r="B503" i="2"/>
  <c r="B561" i="2" s="1"/>
  <c r="AE502" i="2"/>
  <c r="H438" i="2"/>
  <c r="E438" i="2"/>
  <c r="F438" i="2" s="1"/>
  <c r="AP438" i="2" s="1"/>
  <c r="D438" i="2"/>
  <c r="AJ306" i="2"/>
  <c r="BI308" i="2"/>
  <c r="BJ308" i="2" s="1"/>
  <c r="O306" i="2"/>
  <c r="K363" i="2" s="1"/>
  <c r="T306" i="2"/>
  <c r="M363" i="2" s="1"/>
  <c r="N363" i="2" s="1"/>
  <c r="N307" i="2"/>
  <c r="W246" i="2"/>
  <c r="F365" i="2" s="1"/>
  <c r="D502" i="2"/>
  <c r="E502" i="2" s="1"/>
  <c r="I502" i="2" s="1"/>
  <c r="F191" i="9"/>
  <c r="H191" i="9" s="1"/>
  <c r="J191" i="9" s="1"/>
  <c r="G444" i="9" s="1"/>
  <c r="F247" i="2"/>
  <c r="H247" i="2" s="1"/>
  <c r="J247" i="2" s="1"/>
  <c r="M247" i="2" s="1"/>
  <c r="BB668" i="2"/>
  <c r="G81" i="3" a="1"/>
  <c r="G81" i="3" s="1"/>
  <c r="K81" i="3" s="1"/>
  <c r="AL632" i="2"/>
  <c r="G82" i="3" a="1"/>
  <c r="G82" i="3" s="1"/>
  <c r="G79" i="3" a="1"/>
  <c r="G79" i="3" s="1"/>
  <c r="BB666" i="2"/>
  <c r="N81" i="3" a="1"/>
  <c r="N81" i="3" s="1"/>
  <c r="AL669" i="2"/>
  <c r="AL672" i="2"/>
  <c r="BB672" i="2"/>
  <c r="BB670" i="2"/>
  <c r="BC674" i="2"/>
  <c r="BE674" i="2" s="1"/>
  <c r="AJ673" i="2"/>
  <c r="AZ673" i="2"/>
  <c r="BB667" i="2"/>
  <c r="AL666" i="2"/>
  <c r="AL667" i="2"/>
  <c r="AL668" i="2"/>
  <c r="BB674" i="2"/>
  <c r="BB665" i="2"/>
  <c r="BD673" i="2"/>
  <c r="AN673" i="2"/>
  <c r="BC673" i="2"/>
  <c r="BE673" i="2" s="1"/>
  <c r="AL673" i="2"/>
  <c r="AL671" i="2"/>
  <c r="AL674" i="2"/>
  <c r="AL665" i="2"/>
  <c r="AN674" i="2"/>
  <c r="BD674" i="2"/>
  <c r="AJ674" i="2"/>
  <c r="AZ674" i="2"/>
  <c r="BB673" i="2"/>
  <c r="BB669" i="2"/>
  <c r="BB671" i="2"/>
  <c r="AL670" i="2"/>
  <c r="BL308" i="2"/>
  <c r="BN308" i="2" s="1"/>
  <c r="M246" i="2"/>
  <c r="N246" i="2" s="1"/>
  <c r="BM310" i="2"/>
  <c r="BN310" i="2" s="1"/>
  <c r="BD311" i="2"/>
  <c r="AQ505" i="2"/>
  <c r="AP633" i="2"/>
  <c r="AP624" i="2"/>
  <c r="AP632" i="2"/>
  <c r="AP625" i="2"/>
  <c r="AP630" i="2"/>
  <c r="AP631" i="2"/>
  <c r="AP629" i="2"/>
  <c r="AP627" i="2"/>
  <c r="AP628" i="2"/>
  <c r="AP626" i="2"/>
  <c r="AL627" i="2"/>
  <c r="CE501" i="2"/>
  <c r="AL628" i="2"/>
  <c r="AL630" i="2"/>
  <c r="AL629" i="2"/>
  <c r="AL633" i="2"/>
  <c r="AL624" i="2"/>
  <c r="AL625" i="2"/>
  <c r="AL626" i="2"/>
  <c r="AL631" i="2"/>
  <c r="AI502" i="2"/>
  <c r="AI503" i="2"/>
  <c r="BY501" i="2"/>
  <c r="AR503" i="2"/>
  <c r="AS503" i="2" s="1"/>
  <c r="AN500" i="2"/>
  <c r="AO500" i="2" s="1"/>
  <c r="AM436" i="2"/>
  <c r="AZ434" i="2"/>
  <c r="BD435" i="2"/>
  <c r="AZ435" i="2"/>
  <c r="AY436" i="2"/>
  <c r="BC436" i="2"/>
  <c r="BE307" i="2"/>
  <c r="BF307" i="2" s="1"/>
  <c r="BA305" i="2"/>
  <c r="BB305" i="2" s="1"/>
  <c r="AW306" i="2"/>
  <c r="AX306" i="2" s="1"/>
  <c r="M190" i="9"/>
  <c r="C307" i="9" s="1"/>
  <c r="AN309" i="2"/>
  <c r="N15" i="3" a="1"/>
  <c r="N15" i="3" s="1"/>
  <c r="I15" i="3" s="1"/>
  <c r="G16" i="3" a="1"/>
  <c r="G16" i="3" s="1"/>
  <c r="G15" i="3" a="1"/>
  <c r="G15" i="3" s="1"/>
  <c r="Q246" i="2"/>
  <c r="R248" i="2"/>
  <c r="S248" i="2"/>
  <c r="BE310" i="2"/>
  <c r="AO307" i="2"/>
  <c r="N191" i="9"/>
  <c r="O191" i="9" s="1"/>
  <c r="AV311" i="2" s="1"/>
  <c r="R191" i="9"/>
  <c r="L308" i="9" s="1"/>
  <c r="AE674" i="2"/>
  <c r="AG674" i="2" s="1"/>
  <c r="B125" i="1"/>
  <c r="A192" i="9" s="1"/>
  <c r="C665" i="2"/>
  <c r="M641" i="2" s="1"/>
  <c r="O641" i="2" s="1"/>
  <c r="B248" i="2"/>
  <c r="B310" i="2" s="1"/>
  <c r="A310" i="2"/>
  <c r="C309" i="2"/>
  <c r="U247" i="2"/>
  <c r="D309" i="2"/>
  <c r="H309" i="2" s="1"/>
  <c r="O247" i="2"/>
  <c r="P247" i="2" s="1"/>
  <c r="F309" i="2"/>
  <c r="G309" i="2" s="1"/>
  <c r="A249" i="2"/>
  <c r="V248" i="2"/>
  <c r="K248" i="2"/>
  <c r="L248" i="2" s="1"/>
  <c r="G248" i="2"/>
  <c r="I248" i="2"/>
  <c r="U248" i="2" s="1"/>
  <c r="C248" i="2"/>
  <c r="D248" i="2" s="1"/>
  <c r="E248" i="2"/>
  <c r="A126" i="1"/>
  <c r="P444" i="9" l="1"/>
  <c r="M380" i="9"/>
  <c r="Q501" i="9"/>
  <c r="D501" i="9"/>
  <c r="BG504" i="2" s="1"/>
  <c r="E501" i="9"/>
  <c r="U439" i="2"/>
  <c r="J439" i="2"/>
  <c r="O439" i="2"/>
  <c r="N503" i="2"/>
  <c r="R439" i="2"/>
  <c r="S439" i="2"/>
  <c r="Q439" i="2"/>
  <c r="T439" i="2"/>
  <c r="I439" i="2"/>
  <c r="P439" i="2"/>
  <c r="N439" i="2"/>
  <c r="K440" i="2"/>
  <c r="L440" i="2"/>
  <c r="L310" i="2"/>
  <c r="W310" i="2"/>
  <c r="M310" i="2"/>
  <c r="E560" i="2"/>
  <c r="D560" i="2"/>
  <c r="BC502" i="2" s="1"/>
  <c r="E310" i="2"/>
  <c r="J310" i="2"/>
  <c r="L380" i="9"/>
  <c r="O444" i="9" s="1"/>
  <c r="I310" i="2"/>
  <c r="K310" i="2"/>
  <c r="V310" i="2"/>
  <c r="AG435" i="2"/>
  <c r="AH435" i="2" s="1"/>
  <c r="AI435" i="2" s="1"/>
  <c r="G380" i="9"/>
  <c r="AF435" i="2"/>
  <c r="AE436" i="2"/>
  <c r="AG436" i="2"/>
  <c r="G364" i="2"/>
  <c r="H364" i="2" s="1"/>
  <c r="AF436" i="2"/>
  <c r="AN434" i="2"/>
  <c r="E305" i="9"/>
  <c r="AD437" i="2"/>
  <c r="R308" i="2"/>
  <c r="S308" i="2" s="1"/>
  <c r="G365" i="2" s="1"/>
  <c r="AK308" i="2" s="1"/>
  <c r="AO309" i="2"/>
  <c r="N378" i="9"/>
  <c r="P378" i="9" s="1"/>
  <c r="AL439" i="2" s="1"/>
  <c r="G307" i="9"/>
  <c r="H307" i="9" s="1"/>
  <c r="V435" i="2"/>
  <c r="W435" i="2"/>
  <c r="N308" i="9"/>
  <c r="N377" i="9"/>
  <c r="P377" i="9" s="1"/>
  <c r="AL438" i="2" s="1"/>
  <c r="E307" i="9"/>
  <c r="AP307" i="2"/>
  <c r="Q380" i="9"/>
  <c r="R380" i="9"/>
  <c r="T380" i="9"/>
  <c r="I380" i="9"/>
  <c r="E380" i="9"/>
  <c r="F380" i="9" s="1"/>
  <c r="AT441" i="2" s="1"/>
  <c r="D380" i="9"/>
  <c r="H380" i="9"/>
  <c r="L444" i="9" s="1"/>
  <c r="AN308" i="2"/>
  <c r="A502" i="9"/>
  <c r="D444" i="9"/>
  <c r="BD310" i="2"/>
  <c r="BF310" i="2" s="1"/>
  <c r="I251" i="9"/>
  <c r="G501" i="9"/>
  <c r="R501" i="9"/>
  <c r="N501" i="9"/>
  <c r="CE504" i="2" s="1"/>
  <c r="K501" i="9"/>
  <c r="L501" i="9"/>
  <c r="I501" i="9"/>
  <c r="H501" i="9"/>
  <c r="BO504" i="2" s="1"/>
  <c r="P501" i="9"/>
  <c r="O501" i="9"/>
  <c r="J379" i="9"/>
  <c r="K379" i="9" s="1"/>
  <c r="P192" i="9"/>
  <c r="F309" i="9" s="1"/>
  <c r="A252" i="9"/>
  <c r="AK440" i="2"/>
  <c r="M670" i="2"/>
  <c r="H670" i="2"/>
  <c r="E669" i="2"/>
  <c r="H668" i="2"/>
  <c r="M668" i="2"/>
  <c r="P643" i="2"/>
  <c r="E667" i="2"/>
  <c r="E666" i="2"/>
  <c r="P642" i="2"/>
  <c r="L559" i="2"/>
  <c r="M438" i="2"/>
  <c r="K502" i="2"/>
  <c r="L502" i="2" s="1"/>
  <c r="G503" i="2"/>
  <c r="AE503" i="2" s="1"/>
  <c r="H363" i="2"/>
  <c r="C439" i="2"/>
  <c r="G439" i="2" s="1"/>
  <c r="P308" i="2"/>
  <c r="Q308" i="2" s="1"/>
  <c r="A561" i="2"/>
  <c r="Q561" i="2" s="1"/>
  <c r="A504" i="2"/>
  <c r="A367" i="2"/>
  <c r="U367" i="2" s="1"/>
  <c r="A440" i="2"/>
  <c r="J560" i="2"/>
  <c r="B367" i="2"/>
  <c r="B440" i="2"/>
  <c r="B504" i="2"/>
  <c r="B562" i="2" s="1"/>
  <c r="AU504" i="2"/>
  <c r="O367" i="2"/>
  <c r="D363" i="2"/>
  <c r="AG306" i="2" s="1"/>
  <c r="AH306" i="2" s="1"/>
  <c r="AL306" i="2"/>
  <c r="E363" i="2"/>
  <c r="BT502" i="2"/>
  <c r="R560" i="2"/>
  <c r="K560" i="2"/>
  <c r="BS502" i="2" s="1"/>
  <c r="L560" i="2"/>
  <c r="G560" i="2"/>
  <c r="H560" i="2" s="1"/>
  <c r="BK502" i="2" s="1"/>
  <c r="N560" i="2"/>
  <c r="CA502" i="2" s="1"/>
  <c r="P560" i="2"/>
  <c r="E439" i="2"/>
  <c r="F439" i="2" s="1"/>
  <c r="AP439" i="2" s="1"/>
  <c r="H439" i="2"/>
  <c r="D439" i="2"/>
  <c r="AJ307" i="2"/>
  <c r="BA306" i="2"/>
  <c r="BB306" i="2" s="1"/>
  <c r="J363" i="2"/>
  <c r="AS306" i="2" s="1"/>
  <c r="AT306" i="2" s="1"/>
  <c r="V366" i="2"/>
  <c r="R366" i="2"/>
  <c r="S366" i="2"/>
  <c r="T366" i="2" s="1"/>
  <c r="AU503" i="2"/>
  <c r="O366" i="2"/>
  <c r="C364" i="2"/>
  <c r="AF307" i="2" s="1"/>
  <c r="I364" i="2"/>
  <c r="AR307" i="2" s="1"/>
  <c r="U309" i="2"/>
  <c r="O307" i="2"/>
  <c r="J364" i="2" s="1"/>
  <c r="AS307" i="2" s="1"/>
  <c r="T307" i="2"/>
  <c r="M364" i="2" s="1"/>
  <c r="N364" i="2" s="1"/>
  <c r="W247" i="2"/>
  <c r="F366" i="2" s="1"/>
  <c r="AJ308" i="2"/>
  <c r="N308" i="2"/>
  <c r="D503" i="2"/>
  <c r="E503" i="2" s="1"/>
  <c r="I503" i="2" s="1"/>
  <c r="M191" i="9"/>
  <c r="AI505" i="2"/>
  <c r="F248" i="2"/>
  <c r="H248" i="2" s="1"/>
  <c r="J248" i="2" s="1"/>
  <c r="M248" i="2" s="1"/>
  <c r="N248" i="2" s="1"/>
  <c r="N95" i="3" a="1"/>
  <c r="N95" i="3" s="1"/>
  <c r="G96" i="3" a="1"/>
  <c r="G96" i="3" s="1"/>
  <c r="G95" i="3" a="1"/>
  <c r="G95" i="3" s="1"/>
  <c r="AN668" i="2"/>
  <c r="AO668" i="2" s="1"/>
  <c r="BD668" i="2"/>
  <c r="BE668" i="2" s="1"/>
  <c r="AR673" i="2"/>
  <c r="AF673" i="2"/>
  <c r="AU673" i="2"/>
  <c r="AW673" i="2" s="1"/>
  <c r="BD666" i="2"/>
  <c r="BE666" i="2" s="1"/>
  <c r="AN666" i="2"/>
  <c r="AO666" i="2" s="1"/>
  <c r="AR674" i="2"/>
  <c r="AF674" i="2"/>
  <c r="AN667" i="2"/>
  <c r="AO667" i="2" s="1"/>
  <c r="BD667" i="2"/>
  <c r="BE667" i="2" s="1"/>
  <c r="N83" i="3" a="1"/>
  <c r="N83" i="3" s="1"/>
  <c r="G84" i="3" a="1"/>
  <c r="G84" i="3" s="1"/>
  <c r="G83" i="3" a="1"/>
  <c r="G83" i="3" s="1"/>
  <c r="AU674" i="2"/>
  <c r="AW674" i="2" s="1"/>
  <c r="G78" i="3" a="1"/>
  <c r="G78" i="3" s="1"/>
  <c r="N77" i="3" a="1"/>
  <c r="N77" i="3" s="1"/>
  <c r="G77" i="3" a="1"/>
  <c r="G77" i="3" s="1"/>
  <c r="BD672" i="2"/>
  <c r="AN672" i="2"/>
  <c r="G89" i="3" a="1"/>
  <c r="G89" i="3" s="1"/>
  <c r="N89" i="3" a="1"/>
  <c r="N89" i="3" s="1"/>
  <c r="G90" i="3" a="1"/>
  <c r="G90" i="3" s="1"/>
  <c r="BD670" i="2"/>
  <c r="AN670" i="2"/>
  <c r="AN665" i="2"/>
  <c r="AO665" i="2" s="1"/>
  <c r="BD665" i="2"/>
  <c r="BE665" i="2" s="1"/>
  <c r="BD669" i="2"/>
  <c r="BE669" i="2" s="1"/>
  <c r="AN669" i="2"/>
  <c r="AO669" i="2" s="1"/>
  <c r="AN671" i="2"/>
  <c r="BD671" i="2"/>
  <c r="N65" i="3" a="1"/>
  <c r="N65" i="3" s="1"/>
  <c r="G66" i="3" a="1"/>
  <c r="G66" i="3" s="1"/>
  <c r="G65" i="3" a="1"/>
  <c r="G65" i="3" s="1"/>
  <c r="CE502" i="2"/>
  <c r="CE503" i="2"/>
  <c r="BL311" i="2"/>
  <c r="BN311" i="2" s="1"/>
  <c r="AY505" i="2"/>
  <c r="AI504" i="2"/>
  <c r="AN501" i="2"/>
  <c r="AO501" i="2" s="1"/>
  <c r="BT501" i="2"/>
  <c r="BU501" i="2" s="1"/>
  <c r="BW502" i="2"/>
  <c r="BY502" i="2" s="1"/>
  <c r="BW503" i="2"/>
  <c r="BY503" i="2" s="1"/>
  <c r="BX504" i="2"/>
  <c r="AR504" i="2"/>
  <c r="AS504" i="2" s="1"/>
  <c r="AN502" i="2"/>
  <c r="AO502" i="2" s="1"/>
  <c r="BD436" i="2"/>
  <c r="AZ436" i="2"/>
  <c r="BC437" i="2"/>
  <c r="AM437" i="2"/>
  <c r="AP309" i="2"/>
  <c r="BE308" i="2"/>
  <c r="BF308" i="2" s="1"/>
  <c r="AW307" i="2"/>
  <c r="AX307" i="2" s="1"/>
  <c r="AW309" i="2"/>
  <c r="AX309" i="2" s="1"/>
  <c r="AN310" i="2"/>
  <c r="Q247" i="2"/>
  <c r="R249" i="2"/>
  <c r="S249" i="2"/>
  <c r="N247" i="2"/>
  <c r="AO308" i="2"/>
  <c r="AO310" i="2"/>
  <c r="I192" i="9"/>
  <c r="R192" i="9" s="1"/>
  <c r="L309" i="9" s="1"/>
  <c r="E192" i="9"/>
  <c r="K192" i="9"/>
  <c r="N192" i="9" s="1"/>
  <c r="G192" i="9"/>
  <c r="C192" i="9"/>
  <c r="D192" i="9" s="1"/>
  <c r="B192" i="9"/>
  <c r="B252" i="9" s="1"/>
  <c r="L665" i="2"/>
  <c r="T665" i="2"/>
  <c r="P641" i="2"/>
  <c r="E665" i="2"/>
  <c r="B126" i="1"/>
  <c r="C124" i="1"/>
  <c r="C251" i="9" s="1"/>
  <c r="B249" i="2"/>
  <c r="B311" i="2" s="1"/>
  <c r="A311" i="2"/>
  <c r="C310" i="2"/>
  <c r="U310" i="2" s="1"/>
  <c r="P367" i="2" s="1"/>
  <c r="T248" i="2"/>
  <c r="O248" i="2"/>
  <c r="P248" i="2" s="1"/>
  <c r="F310" i="2"/>
  <c r="G310" i="2" s="1"/>
  <c r="D310" i="2"/>
  <c r="H310" i="2" s="1"/>
  <c r="I249" i="2"/>
  <c r="U249" i="2" s="1"/>
  <c r="C249" i="2"/>
  <c r="D249" i="2" s="1"/>
  <c r="V249" i="2"/>
  <c r="K249" i="2"/>
  <c r="L249" i="2" s="1"/>
  <c r="G249" i="2"/>
  <c r="E249" i="2"/>
  <c r="A250" i="2"/>
  <c r="K15" i="3"/>
  <c r="L15" i="3" s="1"/>
  <c r="A127" i="1"/>
  <c r="Q502" i="9" l="1"/>
  <c r="D502" i="9"/>
  <c r="BG505" i="2" s="1"/>
  <c r="E502" i="9"/>
  <c r="R641" i="2"/>
  <c r="S641" i="2"/>
  <c r="R643" i="2"/>
  <c r="S643" i="2"/>
  <c r="R642" i="2"/>
  <c r="S642" i="2"/>
  <c r="L441" i="2"/>
  <c r="K441" i="2"/>
  <c r="W311" i="2"/>
  <c r="M311" i="2"/>
  <c r="L311" i="2"/>
  <c r="Q440" i="2"/>
  <c r="T440" i="2"/>
  <c r="U440" i="2"/>
  <c r="R440" i="2"/>
  <c r="O440" i="2"/>
  <c r="N504" i="2"/>
  <c r="S440" i="2"/>
  <c r="P440" i="2"/>
  <c r="J440" i="2"/>
  <c r="I440" i="2"/>
  <c r="N440" i="2"/>
  <c r="Q641" i="2"/>
  <c r="D561" i="2"/>
  <c r="BC503" i="2" s="1"/>
  <c r="E561" i="2"/>
  <c r="E311" i="2"/>
  <c r="J311" i="2"/>
  <c r="M252" i="9"/>
  <c r="K445" i="9" s="1"/>
  <c r="H252" i="9"/>
  <c r="I311" i="2"/>
  <c r="K311" i="2"/>
  <c r="V311" i="2"/>
  <c r="D252" i="9"/>
  <c r="G252" i="9"/>
  <c r="AK307" i="2"/>
  <c r="AL307" i="2" s="1"/>
  <c r="AH436" i="2"/>
  <c r="AI436" i="2" s="1"/>
  <c r="AN435" i="2"/>
  <c r="Q644" i="2"/>
  <c r="AJ644" i="2"/>
  <c r="AK644" i="2" s="1"/>
  <c r="Q646" i="2"/>
  <c r="AJ646" i="2"/>
  <c r="W437" i="2"/>
  <c r="AC437" i="2"/>
  <c r="AF437" i="2" s="1"/>
  <c r="R309" i="2"/>
  <c r="S309" i="2" s="1"/>
  <c r="G366" i="2" s="1"/>
  <c r="AK309" i="2" s="1"/>
  <c r="W436" i="2"/>
  <c r="V436" i="2"/>
  <c r="J380" i="9"/>
  <c r="K380" i="9" s="1"/>
  <c r="AP308" i="2"/>
  <c r="M444" i="9"/>
  <c r="J251" i="9"/>
  <c r="D308" i="9" s="1"/>
  <c r="E444" i="9"/>
  <c r="J502" i="9" s="1"/>
  <c r="J445" i="9"/>
  <c r="A445" i="9"/>
  <c r="I445" i="9"/>
  <c r="A309" i="9"/>
  <c r="S381" i="9" s="1"/>
  <c r="A381" i="9"/>
  <c r="E252" i="9"/>
  <c r="F252" i="9" s="1"/>
  <c r="K252" i="9"/>
  <c r="J309" i="9" s="1"/>
  <c r="L252" i="9"/>
  <c r="M309" i="9" s="1"/>
  <c r="N309" i="9" s="1"/>
  <c r="B445" i="9"/>
  <c r="B503" i="9" s="1"/>
  <c r="B381" i="9"/>
  <c r="C381" i="9" s="1"/>
  <c r="B309" i="9"/>
  <c r="AK441" i="2"/>
  <c r="C308" i="9"/>
  <c r="O379" i="9"/>
  <c r="N379" i="9"/>
  <c r="P379" i="9" s="1"/>
  <c r="AL440" i="2" s="1"/>
  <c r="H502" i="9"/>
  <c r="BO505" i="2" s="1"/>
  <c r="G502" i="9"/>
  <c r="L502" i="9"/>
  <c r="O502" i="9"/>
  <c r="K502" i="9"/>
  <c r="P502" i="9"/>
  <c r="I502" i="9"/>
  <c r="R502" i="9"/>
  <c r="N502" i="9"/>
  <c r="AK646" i="2"/>
  <c r="H669" i="2"/>
  <c r="M669" i="2"/>
  <c r="M666" i="2"/>
  <c r="H666" i="2"/>
  <c r="AG642" i="2"/>
  <c r="H667" i="2"/>
  <c r="M667" i="2"/>
  <c r="AG643" i="2"/>
  <c r="BU502" i="2"/>
  <c r="AD438" i="2"/>
  <c r="AJ641" i="2"/>
  <c r="AK641" i="2" s="1"/>
  <c r="M439" i="2"/>
  <c r="H365" i="2"/>
  <c r="K503" i="2"/>
  <c r="L503" i="2" s="1"/>
  <c r="Q367" i="2"/>
  <c r="AT307" i="2"/>
  <c r="K364" i="2"/>
  <c r="V367" i="2"/>
  <c r="R367" i="2"/>
  <c r="S367" i="2"/>
  <c r="T367" i="2" s="1"/>
  <c r="BH310" i="2"/>
  <c r="A562" i="2"/>
  <c r="Q562" i="2" s="1"/>
  <c r="K561" i="2"/>
  <c r="BS503" i="2" s="1"/>
  <c r="N561" i="2"/>
  <c r="CA503" i="2" s="1"/>
  <c r="P561" i="2"/>
  <c r="R561" i="2"/>
  <c r="G561" i="2"/>
  <c r="H561" i="2" s="1"/>
  <c r="AM504" i="2"/>
  <c r="L367" i="2"/>
  <c r="AZ310" i="2" s="1"/>
  <c r="C365" i="2"/>
  <c r="AF308" i="2" s="1"/>
  <c r="I365" i="2"/>
  <c r="AR308" i="2" s="1"/>
  <c r="J561" i="2"/>
  <c r="AU505" i="2"/>
  <c r="O368" i="2"/>
  <c r="BH311" i="2" s="1"/>
  <c r="P366" i="2"/>
  <c r="BI309" i="2" s="1"/>
  <c r="E364" i="2"/>
  <c r="G504" i="2"/>
  <c r="H440" i="2"/>
  <c r="E440" i="2"/>
  <c r="F440" i="2" s="1"/>
  <c r="AP440" i="2" s="1"/>
  <c r="D440" i="2"/>
  <c r="BT503" i="2"/>
  <c r="D364" i="2"/>
  <c r="AG307" i="2" s="1"/>
  <c r="AH307" i="2" s="1"/>
  <c r="A368" i="2"/>
  <c r="U368" i="2" s="1"/>
  <c r="A505" i="2"/>
  <c r="A441" i="2"/>
  <c r="B368" i="2"/>
  <c r="B505" i="2"/>
  <c r="B563" i="2" s="1"/>
  <c r="B441" i="2"/>
  <c r="P309" i="2"/>
  <c r="Q309" i="2" s="1"/>
  <c r="C440" i="2"/>
  <c r="G440" i="2" s="1"/>
  <c r="BI310" i="2"/>
  <c r="O308" i="2"/>
  <c r="K365" i="2" s="1"/>
  <c r="T308" i="2"/>
  <c r="M365" i="2" s="1"/>
  <c r="N365" i="2" s="1"/>
  <c r="N309" i="2"/>
  <c r="AL308" i="2"/>
  <c r="W248" i="2"/>
  <c r="F367" i="2" s="1"/>
  <c r="AJ309" i="2"/>
  <c r="P310" i="2"/>
  <c r="Q310" i="2" s="1"/>
  <c r="F192" i="9"/>
  <c r="H192" i="9" s="1"/>
  <c r="J192" i="9" s="1"/>
  <c r="G445" i="9" s="1"/>
  <c r="F249" i="2"/>
  <c r="H249" i="2" s="1"/>
  <c r="J249" i="2" s="1"/>
  <c r="M249" i="2" s="1"/>
  <c r="BF666" i="2"/>
  <c r="AP667" i="2"/>
  <c r="BF667" i="2"/>
  <c r="AP666" i="2"/>
  <c r="AF669" i="2"/>
  <c r="AG669" i="2" s="1"/>
  <c r="AR669" i="2"/>
  <c r="AF670" i="2"/>
  <c r="AR670" i="2"/>
  <c r="BF673" i="2"/>
  <c r="AQ673" i="2"/>
  <c r="AS673" i="2" s="1"/>
  <c r="AV673" i="2"/>
  <c r="AR668" i="2"/>
  <c r="AF668" i="2"/>
  <c r="AG668" i="2" s="1"/>
  <c r="BF665" i="2"/>
  <c r="BF670" i="2"/>
  <c r="BF671" i="2"/>
  <c r="BF672" i="2"/>
  <c r="BF668" i="2"/>
  <c r="AF665" i="2"/>
  <c r="AG665" i="2" s="1"/>
  <c r="AR665" i="2"/>
  <c r="AF667" i="2"/>
  <c r="AG667" i="2" s="1"/>
  <c r="AR667" i="2"/>
  <c r="AP669" i="2"/>
  <c r="BF669" i="2"/>
  <c r="AR666" i="2"/>
  <c r="AF666" i="2"/>
  <c r="AG666" i="2" s="1"/>
  <c r="AR671" i="2"/>
  <c r="AF671" i="2"/>
  <c r="AF672" i="2"/>
  <c r="AR672" i="2"/>
  <c r="AP665" i="2"/>
  <c r="AP670" i="2"/>
  <c r="AP671" i="2"/>
  <c r="AP672" i="2"/>
  <c r="AP673" i="2"/>
  <c r="AP674" i="2"/>
  <c r="BF674" i="2"/>
  <c r="AQ674" i="2"/>
  <c r="AS674" i="2" s="1"/>
  <c r="AV674" i="2"/>
  <c r="AP668" i="2"/>
  <c r="M665" i="2"/>
  <c r="AG645" i="2"/>
  <c r="BL312" i="2"/>
  <c r="AY506" i="2"/>
  <c r="BW504" i="2"/>
  <c r="BY504" i="2" s="1"/>
  <c r="AN503" i="2"/>
  <c r="AO503" i="2" s="1"/>
  <c r="BC439" i="2"/>
  <c r="BD437" i="2"/>
  <c r="AY437" i="2"/>
  <c r="BC438" i="2"/>
  <c r="AM439" i="2"/>
  <c r="AM438" i="2"/>
  <c r="BH309" i="2"/>
  <c r="AP310" i="2"/>
  <c r="BA307" i="2"/>
  <c r="BB307" i="2" s="1"/>
  <c r="AW310" i="2"/>
  <c r="AX310" i="2" s="1"/>
  <c r="AW308" i="2"/>
  <c r="AX308" i="2" s="1"/>
  <c r="Q248" i="2"/>
  <c r="R250" i="2"/>
  <c r="S250" i="2"/>
  <c r="O192" i="9"/>
  <c r="AV312" i="2" s="1"/>
  <c r="Q192" i="9"/>
  <c r="L192" i="9"/>
  <c r="C125" i="1"/>
  <c r="C252" i="9" s="1"/>
  <c r="A193" i="9"/>
  <c r="B127" i="1"/>
  <c r="A194" i="9" s="1"/>
  <c r="H665" i="2"/>
  <c r="P665" i="2"/>
  <c r="C311" i="2"/>
  <c r="U311" i="2" s="1"/>
  <c r="B250" i="2"/>
  <c r="B312" i="2" s="1"/>
  <c r="A312" i="2"/>
  <c r="T249" i="2"/>
  <c r="O249" i="2"/>
  <c r="P249" i="2" s="1"/>
  <c r="F311" i="2"/>
  <c r="G311" i="2" s="1"/>
  <c r="D311" i="2"/>
  <c r="H311" i="2" s="1"/>
  <c r="K250" i="2"/>
  <c r="O250" i="2" s="1"/>
  <c r="I250" i="2"/>
  <c r="U250" i="2" s="1"/>
  <c r="V250" i="2"/>
  <c r="G250" i="2"/>
  <c r="C250" i="2"/>
  <c r="D250" i="2" s="1"/>
  <c r="E250" i="2"/>
  <c r="A251" i="2"/>
  <c r="A128" i="1"/>
  <c r="P445" i="9" l="1"/>
  <c r="M381" i="9"/>
  <c r="L442" i="2"/>
  <c r="K442" i="2"/>
  <c r="M312" i="2"/>
  <c r="L312" i="2"/>
  <c r="W312" i="2"/>
  <c r="P441" i="2"/>
  <c r="U441" i="2"/>
  <c r="R441" i="2"/>
  <c r="O441" i="2"/>
  <c r="Q441" i="2"/>
  <c r="S441" i="2"/>
  <c r="T441" i="2"/>
  <c r="J441" i="2"/>
  <c r="I441" i="2"/>
  <c r="N505" i="2"/>
  <c r="N441" i="2"/>
  <c r="E562" i="2"/>
  <c r="D562" i="2"/>
  <c r="BC504" i="2" s="1"/>
  <c r="E312" i="2"/>
  <c r="J312" i="2"/>
  <c r="G381" i="9"/>
  <c r="L381" i="9"/>
  <c r="O445" i="9" s="1"/>
  <c r="I312" i="2"/>
  <c r="V312" i="2"/>
  <c r="K312" i="2"/>
  <c r="AG644" i="2"/>
  <c r="V437" i="2"/>
  <c r="AC438" i="2"/>
  <c r="AF438" i="2" s="1"/>
  <c r="AE437" i="2"/>
  <c r="AG437" i="2"/>
  <c r="Q642" i="2"/>
  <c r="AJ642" i="2"/>
  <c r="AK642" i="2" s="1"/>
  <c r="Q643" i="2"/>
  <c r="AJ643" i="2"/>
  <c r="AK643" i="2" s="1"/>
  <c r="Q645" i="2"/>
  <c r="AJ645" i="2"/>
  <c r="AN436" i="2"/>
  <c r="R310" i="2"/>
  <c r="S310" i="2" s="1"/>
  <c r="G367" i="2" s="1"/>
  <c r="H367" i="2" s="1"/>
  <c r="G308" i="9"/>
  <c r="H308" i="9" s="1"/>
  <c r="I252" i="9"/>
  <c r="J252" i="9" s="1"/>
  <c r="G309" i="9" s="1"/>
  <c r="H309" i="9" s="1"/>
  <c r="E308" i="9"/>
  <c r="R381" i="9"/>
  <c r="T381" i="9"/>
  <c r="Q381" i="9"/>
  <c r="P193" i="9"/>
  <c r="F310" i="9" s="1"/>
  <c r="A253" i="9"/>
  <c r="AN311" i="2"/>
  <c r="H381" i="9"/>
  <c r="L445" i="9" s="1"/>
  <c r="M445" i="9" s="1"/>
  <c r="E381" i="9"/>
  <c r="F381" i="9" s="1"/>
  <c r="AT442" i="2" s="1"/>
  <c r="I381" i="9"/>
  <c r="D381" i="9"/>
  <c r="AQ506" i="2"/>
  <c r="I309" i="9"/>
  <c r="K309" i="9" s="1"/>
  <c r="O380" i="9"/>
  <c r="N380" i="9"/>
  <c r="P380" i="9" s="1"/>
  <c r="AL441" i="2" s="1"/>
  <c r="P194" i="9"/>
  <c r="F311" i="9" s="1"/>
  <c r="A254" i="9"/>
  <c r="A503" i="9"/>
  <c r="D445" i="9"/>
  <c r="E445" i="9" s="1"/>
  <c r="AK645" i="2"/>
  <c r="BU503" i="2"/>
  <c r="BJ309" i="2"/>
  <c r="BK503" i="2"/>
  <c r="L561" i="2"/>
  <c r="BJ310" i="2"/>
  <c r="AD439" i="2"/>
  <c r="E365" i="2"/>
  <c r="C441" i="2"/>
  <c r="G441" i="2" s="1"/>
  <c r="H366" i="2"/>
  <c r="K504" i="2"/>
  <c r="L504" i="2" s="1"/>
  <c r="Q366" i="2"/>
  <c r="G505" i="2"/>
  <c r="AE505" i="2" s="1"/>
  <c r="P562" i="2"/>
  <c r="K562" i="2"/>
  <c r="BS504" i="2" s="1"/>
  <c r="R562" i="2"/>
  <c r="N562" i="2"/>
  <c r="CA504" i="2" s="1"/>
  <c r="G562" i="2"/>
  <c r="H562" i="2" s="1"/>
  <c r="BK504" i="2" s="1"/>
  <c r="C366" i="2"/>
  <c r="AF309" i="2" s="1"/>
  <c r="I366" i="2"/>
  <c r="AR309" i="2" s="1"/>
  <c r="B369" i="2"/>
  <c r="B442" i="2"/>
  <c r="B506" i="2"/>
  <c r="B564" i="2" s="1"/>
  <c r="A563" i="2"/>
  <c r="Q563" i="2" s="1"/>
  <c r="R368" i="2"/>
  <c r="V368" i="2"/>
  <c r="S368" i="2"/>
  <c r="T368" i="2" s="1"/>
  <c r="AE504" i="2"/>
  <c r="D365" i="2"/>
  <c r="AG308" i="2" s="1"/>
  <c r="AH308" i="2" s="1"/>
  <c r="P368" i="2"/>
  <c r="Q368" i="2" s="1"/>
  <c r="AM505" i="2"/>
  <c r="L368" i="2"/>
  <c r="AZ311" i="2" s="1"/>
  <c r="D504" i="2"/>
  <c r="E504" i="2" s="1"/>
  <c r="M440" i="2"/>
  <c r="AU506" i="2"/>
  <c r="O369" i="2"/>
  <c r="BH312" i="2" s="1"/>
  <c r="A369" i="2"/>
  <c r="U369" i="2" s="1"/>
  <c r="A506" i="2"/>
  <c r="A442" i="2"/>
  <c r="E441" i="2"/>
  <c r="F441" i="2" s="1"/>
  <c r="AP441" i="2" s="1"/>
  <c r="H441" i="2"/>
  <c r="D441" i="2"/>
  <c r="J365" i="2"/>
  <c r="AS308" i="2" s="1"/>
  <c r="AT308" i="2" s="1"/>
  <c r="W249" i="2"/>
  <c r="O309" i="2"/>
  <c r="E366" i="2" s="1"/>
  <c r="T309" i="2"/>
  <c r="M366" i="2" s="1"/>
  <c r="N366" i="2" s="1"/>
  <c r="AL309" i="2"/>
  <c r="AJ310" i="2"/>
  <c r="N310" i="2"/>
  <c r="F250" i="2"/>
  <c r="H250" i="2" s="1"/>
  <c r="J250" i="2" s="1"/>
  <c r="AH667" i="2"/>
  <c r="N97" i="3" a="1"/>
  <c r="N97" i="3" s="1"/>
  <c r="I97" i="3" s="1"/>
  <c r="G98" i="3" a="1"/>
  <c r="G98" i="3" s="1"/>
  <c r="G97" i="3" a="1"/>
  <c r="G97" i="3" s="1"/>
  <c r="AH668" i="2"/>
  <c r="AQ672" i="2"/>
  <c r="AS672" i="2" s="1"/>
  <c r="AV672" i="2"/>
  <c r="AQ671" i="2"/>
  <c r="AS671" i="2" s="1"/>
  <c r="AV671" i="2"/>
  <c r="AH669" i="2"/>
  <c r="AH666" i="2"/>
  <c r="AH665" i="2"/>
  <c r="AH670" i="2"/>
  <c r="AH671" i="2"/>
  <c r="AH673" i="2"/>
  <c r="AH672" i="2"/>
  <c r="AH674" i="2"/>
  <c r="AV670" i="2"/>
  <c r="AQ670" i="2"/>
  <c r="AS670" i="2" s="1"/>
  <c r="AQ668" i="2"/>
  <c r="AS668" i="2" s="1"/>
  <c r="AV668" i="2"/>
  <c r="AW668" i="2" s="1"/>
  <c r="AV666" i="2"/>
  <c r="AW666" i="2" s="1"/>
  <c r="AQ666" i="2"/>
  <c r="AS666" i="2" s="1"/>
  <c r="AQ667" i="2"/>
  <c r="AS667" i="2" s="1"/>
  <c r="AV667" i="2"/>
  <c r="AW667" i="2" s="1"/>
  <c r="AQ669" i="2"/>
  <c r="AS669" i="2" s="1"/>
  <c r="AV669" i="2"/>
  <c r="AW669" i="2" s="1"/>
  <c r="AV665" i="2"/>
  <c r="AW665" i="2" s="1"/>
  <c r="AQ665" i="2"/>
  <c r="AS665" i="2" s="1"/>
  <c r="N91" i="3" a="1"/>
  <c r="N91" i="3" s="1"/>
  <c r="I91" i="3" s="1"/>
  <c r="G91" i="3" a="1"/>
  <c r="G91" i="3" s="1"/>
  <c r="G92" i="3" a="1"/>
  <c r="G92" i="3" s="1"/>
  <c r="BM312" i="2"/>
  <c r="BN312" i="2" s="1"/>
  <c r="CE505" i="2"/>
  <c r="BW505" i="2"/>
  <c r="AR505" i="2"/>
  <c r="AS505" i="2" s="1"/>
  <c r="BD438" i="2"/>
  <c r="AZ437" i="2"/>
  <c r="BD439" i="2"/>
  <c r="BC440" i="2"/>
  <c r="AY438" i="2"/>
  <c r="AM440" i="2"/>
  <c r="BA308" i="2"/>
  <c r="BB308" i="2" s="1"/>
  <c r="BE311" i="2"/>
  <c r="BF311" i="2" s="1"/>
  <c r="BX505" i="2"/>
  <c r="Q249" i="2"/>
  <c r="S251" i="2"/>
  <c r="R251" i="2"/>
  <c r="N249" i="2"/>
  <c r="M192" i="9"/>
  <c r="C309" i="9" s="1"/>
  <c r="BE312" i="2"/>
  <c r="AO311" i="2"/>
  <c r="K193" i="9"/>
  <c r="N193" i="9" s="1"/>
  <c r="I193" i="9"/>
  <c r="Q193" i="9" s="1"/>
  <c r="I310" i="9" s="1"/>
  <c r="E193" i="9"/>
  <c r="G193" i="9"/>
  <c r="C193" i="9"/>
  <c r="D193" i="9" s="1"/>
  <c r="F193" i="9" s="1"/>
  <c r="K194" i="9"/>
  <c r="L194" i="9" s="1"/>
  <c r="G194" i="9"/>
  <c r="I194" i="9"/>
  <c r="Q194" i="9" s="1"/>
  <c r="I311" i="9" s="1"/>
  <c r="E194" i="9"/>
  <c r="C194" i="9"/>
  <c r="D194" i="9" s="1"/>
  <c r="F194" i="9" s="1"/>
  <c r="B194" i="9"/>
  <c r="B254" i="9" s="1"/>
  <c r="B193" i="9"/>
  <c r="B253" i="9" s="1"/>
  <c r="C312" i="2"/>
  <c r="U312" i="2" s="1"/>
  <c r="P369" i="2" s="1"/>
  <c r="B128" i="1"/>
  <c r="C126" i="1"/>
  <c r="B251" i="2"/>
  <c r="B313" i="2" s="1"/>
  <c r="A313" i="2"/>
  <c r="P250" i="2"/>
  <c r="T250" i="2"/>
  <c r="L250" i="2"/>
  <c r="K251" i="2"/>
  <c r="L251" i="2" s="1"/>
  <c r="V251" i="2"/>
  <c r="C251" i="2"/>
  <c r="D251" i="2" s="1"/>
  <c r="F251" i="2" s="1"/>
  <c r="I251" i="2"/>
  <c r="T251" i="2" s="1"/>
  <c r="G251" i="2"/>
  <c r="E251" i="2"/>
  <c r="D312" i="2"/>
  <c r="H312" i="2" s="1"/>
  <c r="A252" i="2"/>
  <c r="F312" i="2"/>
  <c r="G312" i="2" s="1"/>
  <c r="A129" i="1"/>
  <c r="Q503" i="9" l="1"/>
  <c r="E503" i="9"/>
  <c r="D503" i="9"/>
  <c r="BG506" i="2" s="1"/>
  <c r="K443" i="2"/>
  <c r="L443" i="2"/>
  <c r="M313" i="2"/>
  <c r="W313" i="2"/>
  <c r="L313" i="2"/>
  <c r="R442" i="2"/>
  <c r="U442" i="2"/>
  <c r="T442" i="2"/>
  <c r="Q442" i="2"/>
  <c r="I442" i="2"/>
  <c r="P442" i="2"/>
  <c r="S442" i="2"/>
  <c r="O442" i="2"/>
  <c r="N506" i="2"/>
  <c r="J442" i="2"/>
  <c r="N442" i="2"/>
  <c r="D563" i="2"/>
  <c r="BC505" i="2" s="1"/>
  <c r="E563" i="2"/>
  <c r="E313" i="2"/>
  <c r="J313" i="2"/>
  <c r="H254" i="9"/>
  <c r="M254" i="9"/>
  <c r="K447" i="9" s="1"/>
  <c r="M253" i="9"/>
  <c r="K446" i="9" s="1"/>
  <c r="H253" i="9"/>
  <c r="K313" i="2"/>
  <c r="V313" i="2"/>
  <c r="I313" i="2"/>
  <c r="D253" i="9"/>
  <c r="G253" i="9"/>
  <c r="D254" i="9"/>
  <c r="G254" i="9"/>
  <c r="AG641" i="2"/>
  <c r="AH645" i="2" s="1"/>
  <c r="AC439" i="2"/>
  <c r="AG439" i="2" s="1"/>
  <c r="AH439" i="2" s="1"/>
  <c r="AI439" i="2" s="1"/>
  <c r="AH437" i="2"/>
  <c r="AI437" i="2" s="1"/>
  <c r="AN437" i="2" s="1"/>
  <c r="AE438" i="2"/>
  <c r="AG438" i="2"/>
  <c r="R311" i="2"/>
  <c r="S311" i="2" s="1"/>
  <c r="AP311" i="2"/>
  <c r="V438" i="2"/>
  <c r="W438" i="2"/>
  <c r="D309" i="9"/>
  <c r="AO312" i="2" s="1"/>
  <c r="J381" i="9"/>
  <c r="K381" i="9" s="1"/>
  <c r="O381" i="9" s="1"/>
  <c r="BD312" i="2"/>
  <c r="BF312" i="2" s="1"/>
  <c r="AK442" i="2"/>
  <c r="J503" i="9"/>
  <c r="BX506" i="2" s="1"/>
  <c r="B446" i="9"/>
  <c r="B504" i="9" s="1"/>
  <c r="B382" i="9"/>
  <c r="C382" i="9" s="1"/>
  <c r="B310" i="9"/>
  <c r="I503" i="9"/>
  <c r="P503" i="9"/>
  <c r="G503" i="9"/>
  <c r="L503" i="9"/>
  <c r="O503" i="9"/>
  <c r="H503" i="9"/>
  <c r="BO506" i="2" s="1"/>
  <c r="R503" i="9"/>
  <c r="N503" i="9"/>
  <c r="K503" i="9"/>
  <c r="B447" i="9"/>
  <c r="B505" i="9" s="1"/>
  <c r="B383" i="9"/>
  <c r="C383" i="9" s="1"/>
  <c r="B311" i="9"/>
  <c r="J446" i="9"/>
  <c r="A446" i="9"/>
  <c r="I446" i="9"/>
  <c r="A382" i="9"/>
  <c r="A310" i="9"/>
  <c r="S382" i="9" s="1"/>
  <c r="C253" i="9"/>
  <c r="L253" i="9"/>
  <c r="M310" i="9" s="1"/>
  <c r="BM313" i="2" s="1"/>
  <c r="K253" i="9"/>
  <c r="J310" i="9" s="1"/>
  <c r="K310" i="9" s="1"/>
  <c r="E253" i="9"/>
  <c r="F253" i="9" s="1"/>
  <c r="E254" i="9"/>
  <c r="F254" i="9" s="1"/>
  <c r="I447" i="9"/>
  <c r="J447" i="9"/>
  <c r="A447" i="9"/>
  <c r="A311" i="9"/>
  <c r="S383" i="9" s="1"/>
  <c r="A383" i="9"/>
  <c r="L254" i="9"/>
  <c r="M311" i="9" s="1"/>
  <c r="BM314" i="2" s="1"/>
  <c r="K254" i="9"/>
  <c r="J311" i="9" s="1"/>
  <c r="K311" i="9" s="1"/>
  <c r="AL650" i="2"/>
  <c r="AL644" i="2"/>
  <c r="AL645" i="2"/>
  <c r="AL646" i="2"/>
  <c r="AL648" i="2"/>
  <c r="AL641" i="2"/>
  <c r="AL642" i="2"/>
  <c r="AL649" i="2"/>
  <c r="AL647" i="2"/>
  <c r="AL643" i="2"/>
  <c r="G506" i="2"/>
  <c r="AE506" i="2" s="1"/>
  <c r="BT504" i="2"/>
  <c r="I504" i="2"/>
  <c r="AD440" i="2"/>
  <c r="Q369" i="2"/>
  <c r="K505" i="2"/>
  <c r="L505" i="2" s="1"/>
  <c r="M441" i="2"/>
  <c r="BI311" i="2"/>
  <c r="BJ311" i="2" s="1"/>
  <c r="C442" i="2"/>
  <c r="G442" i="2" s="1"/>
  <c r="A564" i="2"/>
  <c r="Q564" i="2" s="1"/>
  <c r="J562" i="2"/>
  <c r="L562" i="2" s="1"/>
  <c r="E442" i="2"/>
  <c r="F442" i="2" s="1"/>
  <c r="AP442" i="2" s="1"/>
  <c r="H442" i="2"/>
  <c r="D442" i="2"/>
  <c r="J366" i="2"/>
  <c r="AS309" i="2" s="1"/>
  <c r="AT309" i="2" s="1"/>
  <c r="D366" i="2"/>
  <c r="AG309" i="2" s="1"/>
  <c r="AH309" i="2" s="1"/>
  <c r="P311" i="2"/>
  <c r="Q311" i="2" s="1"/>
  <c r="B443" i="2"/>
  <c r="B370" i="2"/>
  <c r="B507" i="2"/>
  <c r="B565" i="2" s="1"/>
  <c r="R369" i="2"/>
  <c r="S369" i="2"/>
  <c r="T369" i="2" s="1"/>
  <c r="V369" i="2"/>
  <c r="AM507" i="2"/>
  <c r="L370" i="2"/>
  <c r="AZ313" i="2" s="1"/>
  <c r="AM506" i="2"/>
  <c r="L369" i="2"/>
  <c r="AZ312" i="2" s="1"/>
  <c r="I367" i="2"/>
  <c r="AR310" i="2" s="1"/>
  <c r="C367" i="2"/>
  <c r="AF310" i="2" s="1"/>
  <c r="F368" i="2"/>
  <c r="AJ311" i="2" s="1"/>
  <c r="D505" i="2"/>
  <c r="E505" i="2" s="1"/>
  <c r="A370" i="2"/>
  <c r="U370" i="2" s="1"/>
  <c r="A507" i="2"/>
  <c r="A443" i="2"/>
  <c r="K563" i="2"/>
  <c r="BS505" i="2" s="1"/>
  <c r="P563" i="2"/>
  <c r="N563" i="2"/>
  <c r="CA505" i="2" s="1"/>
  <c r="R563" i="2"/>
  <c r="G563" i="2"/>
  <c r="H563" i="2" s="1"/>
  <c r="BK505" i="2" s="1"/>
  <c r="K366" i="2"/>
  <c r="W250" i="2"/>
  <c r="BI312" i="2"/>
  <c r="BJ312" i="2" s="1"/>
  <c r="BA309" i="2"/>
  <c r="BB309" i="2" s="1"/>
  <c r="O310" i="2"/>
  <c r="J367" i="2" s="1"/>
  <c r="T310" i="2"/>
  <c r="M367" i="2" s="1"/>
  <c r="N367" i="2" s="1"/>
  <c r="AK310" i="2"/>
  <c r="AL310" i="2" s="1"/>
  <c r="N311" i="2"/>
  <c r="H193" i="9"/>
  <c r="J193" i="9" s="1"/>
  <c r="G446" i="9" s="1"/>
  <c r="N69" i="3" a="1"/>
  <c r="N69" i="3" s="1"/>
  <c r="G70" i="3" a="1"/>
  <c r="G70" i="3" s="1"/>
  <c r="G69" i="3" a="1"/>
  <c r="G69" i="3" s="1"/>
  <c r="AT667" i="2"/>
  <c r="AX666" i="2"/>
  <c r="N99" i="3" a="1"/>
  <c r="N99" i="3" s="1"/>
  <c r="I99" i="3" s="1"/>
  <c r="G100" i="3" a="1"/>
  <c r="G100" i="3" s="1"/>
  <c r="G99" i="3" a="1"/>
  <c r="G99" i="3" s="1"/>
  <c r="AT666" i="2"/>
  <c r="AT665" i="2"/>
  <c r="AX667" i="2"/>
  <c r="AT670" i="2"/>
  <c r="G87" i="3" a="1"/>
  <c r="G87" i="3" s="1"/>
  <c r="N87" i="3" a="1"/>
  <c r="N87" i="3" s="1"/>
  <c r="G88" i="3" a="1"/>
  <c r="G88" i="3" s="1"/>
  <c r="AX665" i="2"/>
  <c r="AX670" i="2"/>
  <c r="AX671" i="2"/>
  <c r="AX672" i="2"/>
  <c r="AX673" i="2"/>
  <c r="AX674" i="2"/>
  <c r="AX668" i="2"/>
  <c r="AT671" i="2"/>
  <c r="G86" i="3" a="1"/>
  <c r="G86" i="3" s="1"/>
  <c r="G85" i="3" a="1"/>
  <c r="G85" i="3" s="1"/>
  <c r="N85" i="3" a="1"/>
  <c r="N85" i="3" s="1"/>
  <c r="AX669" i="2"/>
  <c r="AT668" i="2"/>
  <c r="AT673" i="2"/>
  <c r="AT674" i="2"/>
  <c r="AT669" i="2"/>
  <c r="AT672" i="2"/>
  <c r="M250" i="2"/>
  <c r="N250" i="2" s="1"/>
  <c r="BD314" i="2"/>
  <c r="AQ508" i="2"/>
  <c r="BD313" i="2"/>
  <c r="AQ507" i="2"/>
  <c r="AI506" i="2"/>
  <c r="BY505" i="2"/>
  <c r="BU504" i="2"/>
  <c r="AR506" i="2"/>
  <c r="AS506" i="2" s="1"/>
  <c r="AN504" i="2"/>
  <c r="AO504" i="2" s="1"/>
  <c r="AZ438" i="2"/>
  <c r="AY440" i="2"/>
  <c r="BD440" i="2"/>
  <c r="AY439" i="2"/>
  <c r="BC441" i="2"/>
  <c r="AM441" i="2"/>
  <c r="AW311" i="2"/>
  <c r="AX311" i="2" s="1"/>
  <c r="H194" i="9"/>
  <c r="J194" i="9" s="1"/>
  <c r="G447" i="9" s="1"/>
  <c r="AN312" i="2"/>
  <c r="Q250" i="2"/>
  <c r="R252" i="2"/>
  <c r="S252" i="2"/>
  <c r="L193" i="9"/>
  <c r="N194" i="9"/>
  <c r="O194" i="9" s="1"/>
  <c r="AV314" i="2" s="1"/>
  <c r="R194" i="9"/>
  <c r="O193" i="9"/>
  <c r="AV313" i="2" s="1"/>
  <c r="R193" i="9"/>
  <c r="C127" i="1"/>
  <c r="C254" i="9" s="1"/>
  <c r="A195" i="9"/>
  <c r="K91" i="3"/>
  <c r="L91" i="3" s="1"/>
  <c r="K97" i="3"/>
  <c r="L97" i="3" s="1"/>
  <c r="B129" i="1"/>
  <c r="A196" i="9" s="1"/>
  <c r="A314" i="2"/>
  <c r="B252" i="2"/>
  <c r="B314" i="2" s="1"/>
  <c r="O251" i="2"/>
  <c r="P251" i="2" s="1"/>
  <c r="D313" i="2"/>
  <c r="H313" i="2" s="1"/>
  <c r="U251" i="2"/>
  <c r="H251" i="2"/>
  <c r="J251" i="2" s="1"/>
  <c r="G507" i="2" s="1"/>
  <c r="F313" i="2"/>
  <c r="G313" i="2" s="1"/>
  <c r="A253" i="2"/>
  <c r="C313" i="2"/>
  <c r="U313" i="2" s="1"/>
  <c r="P370" i="2" s="1"/>
  <c r="K252" i="2"/>
  <c r="O252" i="2" s="1"/>
  <c r="I252" i="2"/>
  <c r="U252" i="2" s="1"/>
  <c r="V252" i="2"/>
  <c r="G252" i="2"/>
  <c r="C252" i="2"/>
  <c r="D252" i="2" s="1"/>
  <c r="F252" i="2" s="1"/>
  <c r="E252" i="2"/>
  <c r="A130" i="1"/>
  <c r="P447" i="9" l="1"/>
  <c r="M383" i="9"/>
  <c r="P446" i="9"/>
  <c r="M382" i="9"/>
  <c r="K444" i="2"/>
  <c r="L444" i="2"/>
  <c r="W314" i="2"/>
  <c r="M314" i="2"/>
  <c r="L314" i="2"/>
  <c r="N507" i="2"/>
  <c r="S443" i="2"/>
  <c r="Q443" i="2"/>
  <c r="T443" i="2"/>
  <c r="I443" i="2"/>
  <c r="O443" i="2"/>
  <c r="U443" i="2"/>
  <c r="J443" i="2"/>
  <c r="R443" i="2"/>
  <c r="P443" i="2"/>
  <c r="N443" i="2"/>
  <c r="E564" i="2"/>
  <c r="D564" i="2"/>
  <c r="BC506" i="2" s="1"/>
  <c r="E314" i="2"/>
  <c r="J314" i="2"/>
  <c r="L383" i="9"/>
  <c r="O447" i="9" s="1"/>
  <c r="L382" i="9"/>
  <c r="O446" i="9" s="1"/>
  <c r="K314" i="2"/>
  <c r="V314" i="2"/>
  <c r="I314" i="2"/>
  <c r="AH642" i="2"/>
  <c r="AH647" i="2"/>
  <c r="AH650" i="2"/>
  <c r="AH643" i="2"/>
  <c r="AH648" i="2"/>
  <c r="AH649" i="2"/>
  <c r="AH641" i="2"/>
  <c r="AH646" i="2"/>
  <c r="AH644" i="2"/>
  <c r="I254" i="9"/>
  <c r="J254" i="9" s="1"/>
  <c r="G382" i="9"/>
  <c r="G383" i="9"/>
  <c r="AE439" i="2"/>
  <c r="AC440" i="2"/>
  <c r="AG440" i="2" s="1"/>
  <c r="AH440" i="2" s="1"/>
  <c r="AI440" i="2" s="1"/>
  <c r="AF439" i="2"/>
  <c r="AH438" i="2"/>
  <c r="AI438" i="2" s="1"/>
  <c r="AN438" i="2" s="1"/>
  <c r="I253" i="9"/>
  <c r="J253" i="9" s="1"/>
  <c r="G310" i="9" s="1"/>
  <c r="H310" i="9" s="1"/>
  <c r="R312" i="2"/>
  <c r="S312" i="2" s="1"/>
  <c r="E309" i="9"/>
  <c r="W439" i="2"/>
  <c r="V439" i="2"/>
  <c r="N381" i="9"/>
  <c r="P381" i="9" s="1"/>
  <c r="AL442" i="2" s="1"/>
  <c r="A505" i="9"/>
  <c r="D447" i="9"/>
  <c r="E447" i="9" s="1"/>
  <c r="H383" i="9"/>
  <c r="I383" i="9"/>
  <c r="E383" i="9"/>
  <c r="F383" i="9" s="1"/>
  <c r="AT444" i="2" s="1"/>
  <c r="D383" i="9"/>
  <c r="A504" i="9"/>
  <c r="D446" i="9"/>
  <c r="E446" i="9" s="1"/>
  <c r="J504" i="9" s="1"/>
  <c r="P195" i="9"/>
  <c r="F312" i="9" s="1"/>
  <c r="A255" i="9"/>
  <c r="AY507" i="2"/>
  <c r="L310" i="9"/>
  <c r="N310" i="9" s="1"/>
  <c r="AY508" i="2"/>
  <c r="L311" i="9"/>
  <c r="N311" i="9" s="1"/>
  <c r="T383" i="9"/>
  <c r="R383" i="9"/>
  <c r="Q383" i="9"/>
  <c r="Q382" i="9"/>
  <c r="R382" i="9"/>
  <c r="T382" i="9"/>
  <c r="H382" i="9"/>
  <c r="L446" i="9" s="1"/>
  <c r="M446" i="9" s="1"/>
  <c r="I382" i="9"/>
  <c r="D382" i="9"/>
  <c r="E382" i="9"/>
  <c r="F382" i="9" s="1"/>
  <c r="AT443" i="2" s="1"/>
  <c r="P196" i="9"/>
  <c r="F313" i="9" s="1"/>
  <c r="A256" i="9"/>
  <c r="G74" i="3" a="1"/>
  <c r="G74" i="3" s="1"/>
  <c r="G73" i="3" a="1"/>
  <c r="G73" i="3" s="1"/>
  <c r="N73" i="3" a="1"/>
  <c r="N73" i="3" s="1"/>
  <c r="I73" i="3" s="1"/>
  <c r="BT505" i="2"/>
  <c r="I505" i="2"/>
  <c r="V440" i="2"/>
  <c r="M442" i="2"/>
  <c r="K506" i="2"/>
  <c r="L506" i="2" s="1"/>
  <c r="D367" i="2"/>
  <c r="AG310" i="2" s="1"/>
  <c r="AH310" i="2" s="1"/>
  <c r="D506" i="2"/>
  <c r="E506" i="2" s="1"/>
  <c r="AD441" i="2"/>
  <c r="AC441" i="2"/>
  <c r="AE507" i="2"/>
  <c r="A371" i="2"/>
  <c r="U371" i="2" s="1"/>
  <c r="A444" i="2"/>
  <c r="A508" i="2"/>
  <c r="AU507" i="2"/>
  <c r="O370" i="2"/>
  <c r="Q370" i="2" s="1"/>
  <c r="P312" i="2"/>
  <c r="Q312" i="2" s="1"/>
  <c r="H443" i="2"/>
  <c r="E443" i="2"/>
  <c r="F443" i="2" s="1"/>
  <c r="AP443" i="2" s="1"/>
  <c r="D443" i="2"/>
  <c r="A565" i="2"/>
  <c r="Q565" i="2" s="1"/>
  <c r="E367" i="2"/>
  <c r="N564" i="2"/>
  <c r="CA506" i="2" s="1"/>
  <c r="H564" i="2"/>
  <c r="BK506" i="2" s="1"/>
  <c r="K564" i="2"/>
  <c r="BS506" i="2" s="1"/>
  <c r="P564" i="2"/>
  <c r="R564" i="2"/>
  <c r="G564" i="2"/>
  <c r="J563" i="2"/>
  <c r="L563" i="2" s="1"/>
  <c r="I368" i="2"/>
  <c r="AR311" i="2" s="1"/>
  <c r="C368" i="2"/>
  <c r="AF311" i="2" s="1"/>
  <c r="C443" i="2"/>
  <c r="G443" i="2" s="1"/>
  <c r="R370" i="2"/>
  <c r="S370" i="2"/>
  <c r="T370" i="2" s="1"/>
  <c r="V370" i="2"/>
  <c r="G368" i="2"/>
  <c r="H368" i="2" s="1"/>
  <c r="AU508" i="2"/>
  <c r="O371" i="2"/>
  <c r="BH314" i="2" s="1"/>
  <c r="B508" i="2"/>
  <c r="B566" i="2" s="1"/>
  <c r="B371" i="2"/>
  <c r="B444" i="2"/>
  <c r="F369" i="2"/>
  <c r="AJ312" i="2" s="1"/>
  <c r="K367" i="2"/>
  <c r="AS310" i="2"/>
  <c r="AT310" i="2" s="1"/>
  <c r="BI313" i="2"/>
  <c r="D507" i="2"/>
  <c r="E507" i="2" s="1"/>
  <c r="I507" i="2" s="1"/>
  <c r="O311" i="2"/>
  <c r="E368" i="2" s="1"/>
  <c r="T311" i="2"/>
  <c r="M368" i="2" s="1"/>
  <c r="N368" i="2" s="1"/>
  <c r="N312" i="2"/>
  <c r="W251" i="2"/>
  <c r="F370" i="2" s="1"/>
  <c r="M194" i="9"/>
  <c r="N71" i="3" a="1"/>
  <c r="N71" i="3" s="1"/>
  <c r="G71" i="3" a="1"/>
  <c r="G71" i="3" s="1"/>
  <c r="G72" i="3" a="1"/>
  <c r="G72" i="3" s="1"/>
  <c r="G93" i="3" a="1"/>
  <c r="G93" i="3" s="1"/>
  <c r="N93" i="3" a="1"/>
  <c r="N93" i="3" s="1"/>
  <c r="G94" i="3" a="1"/>
  <c r="G94" i="3" s="1"/>
  <c r="K99" i="3"/>
  <c r="L99" i="3" s="1"/>
  <c r="CE506" i="2"/>
  <c r="AI508" i="2"/>
  <c r="BU505" i="2"/>
  <c r="BW506" i="2"/>
  <c r="BY506" i="2" s="1"/>
  <c r="AN505" i="2"/>
  <c r="AO505" i="2" s="1"/>
  <c r="AZ439" i="2"/>
  <c r="BD441" i="2"/>
  <c r="AZ440" i="2"/>
  <c r="AP312" i="2"/>
  <c r="BA310" i="2"/>
  <c r="BB310" i="2" s="1"/>
  <c r="AW312" i="2"/>
  <c r="AX312" i="2" s="1"/>
  <c r="M251" i="2"/>
  <c r="H252" i="2"/>
  <c r="J252" i="2" s="1"/>
  <c r="G508" i="2" s="1"/>
  <c r="Q251" i="2"/>
  <c r="R253" i="2"/>
  <c r="S253" i="2"/>
  <c r="M193" i="9"/>
  <c r="C310" i="9" s="1"/>
  <c r="I196" i="9"/>
  <c r="Q196" i="9" s="1"/>
  <c r="I313" i="9" s="1"/>
  <c r="E196" i="9"/>
  <c r="K196" i="9"/>
  <c r="N196" i="9" s="1"/>
  <c r="C196" i="9"/>
  <c r="D196" i="9" s="1"/>
  <c r="F196" i="9" s="1"/>
  <c r="G196" i="9"/>
  <c r="K195" i="9"/>
  <c r="N195" i="9" s="1"/>
  <c r="G195" i="9"/>
  <c r="C195" i="9"/>
  <c r="D195" i="9" s="1"/>
  <c r="F195" i="9" s="1"/>
  <c r="I195" i="9"/>
  <c r="R195" i="9" s="1"/>
  <c r="L312" i="9" s="1"/>
  <c r="E195" i="9"/>
  <c r="B195" i="9"/>
  <c r="B255" i="9" s="1"/>
  <c r="B196" i="9"/>
  <c r="B256" i="9" s="1"/>
  <c r="B130" i="1"/>
  <c r="C128" i="1"/>
  <c r="F314" i="2"/>
  <c r="G314" i="2" s="1"/>
  <c r="C314" i="2"/>
  <c r="U314" i="2" s="1"/>
  <c r="A315" i="2"/>
  <c r="B253" i="2"/>
  <c r="B315" i="2" s="1"/>
  <c r="R313" i="2"/>
  <c r="S313" i="2" s="1"/>
  <c r="D314" i="2"/>
  <c r="H314" i="2" s="1"/>
  <c r="P252" i="2"/>
  <c r="T252" i="2"/>
  <c r="L252" i="2"/>
  <c r="I253" i="2"/>
  <c r="U253" i="2" s="1"/>
  <c r="V253" i="2"/>
  <c r="C253" i="2"/>
  <c r="D253" i="2" s="1"/>
  <c r="F253" i="2" s="1"/>
  <c r="G253" i="2"/>
  <c r="K253" i="2"/>
  <c r="O253" i="2" s="1"/>
  <c r="E253" i="2"/>
  <c r="A254" i="2"/>
  <c r="A131" i="1"/>
  <c r="Q505" i="9" l="1"/>
  <c r="D505" i="9"/>
  <c r="BG508" i="2" s="1"/>
  <c r="E505" i="9"/>
  <c r="Q504" i="9"/>
  <c r="E504" i="9"/>
  <c r="D504" i="9"/>
  <c r="BG507" i="2" s="1"/>
  <c r="O444" i="2"/>
  <c r="Q444" i="2"/>
  <c r="T444" i="2"/>
  <c r="R444" i="2"/>
  <c r="P444" i="2"/>
  <c r="J444" i="2"/>
  <c r="N508" i="2"/>
  <c r="U444" i="2"/>
  <c r="S444" i="2"/>
  <c r="I444" i="2"/>
  <c r="N444" i="2"/>
  <c r="L445" i="2"/>
  <c r="K445" i="2"/>
  <c r="W315" i="2"/>
  <c r="M315" i="2"/>
  <c r="L315" i="2"/>
  <c r="D565" i="2"/>
  <c r="BC507" i="2" s="1"/>
  <c r="E565" i="2"/>
  <c r="E315" i="2"/>
  <c r="J315" i="2"/>
  <c r="H256" i="9"/>
  <c r="M256" i="9"/>
  <c r="K449" i="9" s="1"/>
  <c r="H255" i="9"/>
  <c r="M255" i="9"/>
  <c r="K448" i="9" s="1"/>
  <c r="V315" i="2"/>
  <c r="K315" i="2"/>
  <c r="I315" i="2"/>
  <c r="D255" i="9"/>
  <c r="G255" i="9"/>
  <c r="D256" i="9"/>
  <c r="G256" i="9"/>
  <c r="N67" i="3" a="1"/>
  <c r="N67" i="3" s="1"/>
  <c r="G67" i="3" a="1"/>
  <c r="G67" i="3" s="1"/>
  <c r="G68" i="3" a="1"/>
  <c r="G68" i="3" s="1"/>
  <c r="G311" i="9"/>
  <c r="H311" i="9" s="1"/>
  <c r="D311" i="9"/>
  <c r="D310" i="9"/>
  <c r="J383" i="9"/>
  <c r="K383" i="9" s="1"/>
  <c r="N383" i="9" s="1"/>
  <c r="P383" i="9" s="1"/>
  <c r="AL444" i="2" s="1"/>
  <c r="AE440" i="2"/>
  <c r="E310" i="9"/>
  <c r="AF440" i="2"/>
  <c r="AE441" i="2"/>
  <c r="AG441" i="2"/>
  <c r="AN439" i="2"/>
  <c r="AF441" i="2"/>
  <c r="J505" i="9"/>
  <c r="BX508" i="2" s="1"/>
  <c r="L447" i="9"/>
  <c r="M447" i="9" s="1"/>
  <c r="AK444" i="2"/>
  <c r="J382" i="9"/>
  <c r="K382" i="9" s="1"/>
  <c r="N382" i="9" s="1"/>
  <c r="P382" i="9" s="1"/>
  <c r="AL443" i="2" s="1"/>
  <c r="AR507" i="2"/>
  <c r="AS507" i="2" s="1"/>
  <c r="W440" i="2"/>
  <c r="AR508" i="2"/>
  <c r="AS508" i="2" s="1"/>
  <c r="K73" i="3"/>
  <c r="L73" i="3" s="1"/>
  <c r="AK443" i="2"/>
  <c r="A448" i="9"/>
  <c r="A312" i="9"/>
  <c r="S384" i="9" s="1"/>
  <c r="A384" i="9"/>
  <c r="I448" i="9"/>
  <c r="J448" i="9"/>
  <c r="E255" i="9"/>
  <c r="F255" i="9" s="1"/>
  <c r="L255" i="9"/>
  <c r="M312" i="9" s="1"/>
  <c r="N312" i="9" s="1"/>
  <c r="K255" i="9"/>
  <c r="J312" i="9" s="1"/>
  <c r="C255" i="9"/>
  <c r="A449" i="9"/>
  <c r="I449" i="9"/>
  <c r="A385" i="9"/>
  <c r="J449" i="9"/>
  <c r="A313" i="9"/>
  <c r="S385" i="9" s="1"/>
  <c r="E256" i="9"/>
  <c r="F256" i="9" s="1"/>
  <c r="L256" i="9"/>
  <c r="M313" i="9" s="1"/>
  <c r="BM316" i="2" s="1"/>
  <c r="K256" i="9"/>
  <c r="J313" i="9" s="1"/>
  <c r="K313" i="9" s="1"/>
  <c r="B448" i="9"/>
  <c r="B506" i="9" s="1"/>
  <c r="B384" i="9"/>
  <c r="C384" i="9" s="1"/>
  <c r="B312" i="9"/>
  <c r="N505" i="9"/>
  <c r="H505" i="9"/>
  <c r="BO508" i="2" s="1"/>
  <c r="I505" i="9"/>
  <c r="R505" i="9"/>
  <c r="O505" i="9"/>
  <c r="L505" i="9"/>
  <c r="P505" i="9"/>
  <c r="G505" i="9"/>
  <c r="K505" i="9"/>
  <c r="BW508" i="2" s="1"/>
  <c r="K504" i="9"/>
  <c r="N504" i="9"/>
  <c r="O504" i="9"/>
  <c r="P504" i="9"/>
  <c r="H504" i="9"/>
  <c r="BO507" i="2" s="1"/>
  <c r="I504" i="9"/>
  <c r="G504" i="9"/>
  <c r="L504" i="9"/>
  <c r="R504" i="9"/>
  <c r="B385" i="9"/>
  <c r="C385" i="9" s="1"/>
  <c r="B449" i="9"/>
  <c r="B507" i="9" s="1"/>
  <c r="B313" i="9"/>
  <c r="C311" i="9"/>
  <c r="J564" i="2"/>
  <c r="L564" i="2" s="1"/>
  <c r="I506" i="2"/>
  <c r="AD442" i="2"/>
  <c r="C444" i="2"/>
  <c r="G444" i="2" s="1"/>
  <c r="K368" i="2"/>
  <c r="D368" i="2"/>
  <c r="AG311" i="2" s="1"/>
  <c r="AH311" i="2" s="1"/>
  <c r="AN506" i="2"/>
  <c r="AO506" i="2" s="1"/>
  <c r="K507" i="2"/>
  <c r="L507" i="2" s="1"/>
  <c r="BT506" i="2"/>
  <c r="BU506" i="2" s="1"/>
  <c r="J368" i="2"/>
  <c r="AS311" i="2" s="1"/>
  <c r="AT311" i="2" s="1"/>
  <c r="AK311" i="2"/>
  <c r="AL311" i="2" s="1"/>
  <c r="M443" i="2"/>
  <c r="I369" i="2"/>
  <c r="AR312" i="2" s="1"/>
  <c r="C369" i="2"/>
  <c r="AF312" i="2" s="1"/>
  <c r="G370" i="2"/>
  <c r="H370" i="2" s="1"/>
  <c r="E444" i="2"/>
  <c r="F444" i="2" s="1"/>
  <c r="AP444" i="2" s="1"/>
  <c r="H444" i="2"/>
  <c r="D444" i="2"/>
  <c r="AU509" i="2"/>
  <c r="O372" i="2"/>
  <c r="BH315" i="2" s="1"/>
  <c r="B509" i="2"/>
  <c r="B567" i="2" s="1"/>
  <c r="B445" i="2"/>
  <c r="B372" i="2"/>
  <c r="P313" i="2"/>
  <c r="Q313" i="2" s="1"/>
  <c r="A566" i="2"/>
  <c r="Q566" i="2" s="1"/>
  <c r="J565" i="2"/>
  <c r="AM508" i="2"/>
  <c r="L371" i="2"/>
  <c r="AZ314" i="2" s="1"/>
  <c r="P371" i="2"/>
  <c r="Q371" i="2" s="1"/>
  <c r="BT507" i="2"/>
  <c r="K565" i="2"/>
  <c r="BS507" i="2" s="1"/>
  <c r="BU507" i="2" s="1"/>
  <c r="P565" i="2"/>
  <c r="N565" i="2"/>
  <c r="CA507" i="2" s="1"/>
  <c r="G565" i="2"/>
  <c r="H565" i="2" s="1"/>
  <c r="BK507" i="2" s="1"/>
  <c r="R565" i="2"/>
  <c r="A372" i="2"/>
  <c r="U372" i="2" s="1"/>
  <c r="A445" i="2"/>
  <c r="A509" i="2"/>
  <c r="G369" i="2"/>
  <c r="H369" i="2" s="1"/>
  <c r="V371" i="2"/>
  <c r="S371" i="2"/>
  <c r="T371" i="2" s="1"/>
  <c r="R371" i="2"/>
  <c r="P314" i="2"/>
  <c r="Q314" i="2" s="1"/>
  <c r="W252" i="2"/>
  <c r="O312" i="2"/>
  <c r="K369" i="2" s="1"/>
  <c r="T312" i="2"/>
  <c r="D508" i="2"/>
  <c r="E508" i="2" s="1"/>
  <c r="I508" i="2" s="1"/>
  <c r="N313" i="2"/>
  <c r="H196" i="9"/>
  <c r="J196" i="9" s="1"/>
  <c r="G449" i="9" s="1"/>
  <c r="AJ313" i="2"/>
  <c r="AE508" i="2"/>
  <c r="BL315" i="2"/>
  <c r="AY509" i="2"/>
  <c r="BL314" i="2"/>
  <c r="BN314" i="2" s="1"/>
  <c r="BD316" i="2"/>
  <c r="AQ510" i="2"/>
  <c r="BL313" i="2"/>
  <c r="BN313" i="2" s="1"/>
  <c r="AI507" i="2"/>
  <c r="AN507" i="2"/>
  <c r="AO507" i="2" s="1"/>
  <c r="AM442" i="2"/>
  <c r="BC442" i="2"/>
  <c r="AY441" i="2"/>
  <c r="BH313" i="2"/>
  <c r="BJ313" i="2" s="1"/>
  <c r="BA311" i="2"/>
  <c r="BB311" i="2" s="1"/>
  <c r="N251" i="2"/>
  <c r="H195" i="9"/>
  <c r="J195" i="9" s="1"/>
  <c r="G448" i="9" s="1"/>
  <c r="AN313" i="2"/>
  <c r="Q252" i="2"/>
  <c r="R254" i="2"/>
  <c r="S254" i="2"/>
  <c r="BX507" i="2"/>
  <c r="O195" i="9"/>
  <c r="AV315" i="2" s="1"/>
  <c r="O196" i="9"/>
  <c r="AV316" i="2" s="1"/>
  <c r="R196" i="9"/>
  <c r="Q195" i="9"/>
  <c r="L195" i="9"/>
  <c r="L196" i="9"/>
  <c r="C129" i="1"/>
  <c r="C256" i="9" s="1"/>
  <c r="A197" i="9"/>
  <c r="B131" i="1"/>
  <c r="C315" i="2"/>
  <c r="U315" i="2" s="1"/>
  <c r="R314" i="2"/>
  <c r="S314" i="2" s="1"/>
  <c r="A316" i="2"/>
  <c r="B254" i="2"/>
  <c r="B316" i="2" s="1"/>
  <c r="T253" i="2"/>
  <c r="P253" i="2"/>
  <c r="D315" i="2"/>
  <c r="H315" i="2" s="1"/>
  <c r="M252" i="2"/>
  <c r="H253" i="2"/>
  <c r="J253" i="2" s="1"/>
  <c r="L253" i="2"/>
  <c r="F315" i="2"/>
  <c r="G315" i="2" s="1"/>
  <c r="I254" i="2"/>
  <c r="U254" i="2" s="1"/>
  <c r="V254" i="2"/>
  <c r="K254" i="2"/>
  <c r="L254" i="2" s="1"/>
  <c r="G254" i="2"/>
  <c r="C254" i="2"/>
  <c r="D254" i="2" s="1"/>
  <c r="F254" i="2" s="1"/>
  <c r="E254" i="2"/>
  <c r="A255" i="2"/>
  <c r="A132" i="1"/>
  <c r="P448" i="9" l="1"/>
  <c r="M384" i="9"/>
  <c r="P449" i="9"/>
  <c r="M385" i="9"/>
  <c r="T445" i="2"/>
  <c r="I445" i="2"/>
  <c r="R445" i="2"/>
  <c r="Q445" i="2"/>
  <c r="S445" i="2"/>
  <c r="P445" i="2"/>
  <c r="O445" i="2"/>
  <c r="J445" i="2"/>
  <c r="N509" i="2"/>
  <c r="U445" i="2"/>
  <c r="N445" i="2"/>
  <c r="K446" i="2"/>
  <c r="L446" i="2"/>
  <c r="M316" i="2"/>
  <c r="L316" i="2"/>
  <c r="W316" i="2"/>
  <c r="E566" i="2"/>
  <c r="D566" i="2"/>
  <c r="BC508" i="2" s="1"/>
  <c r="E316" i="2"/>
  <c r="J316" i="2"/>
  <c r="G384" i="9"/>
  <c r="L384" i="9"/>
  <c r="O448" i="9" s="1"/>
  <c r="G385" i="9"/>
  <c r="L385" i="9"/>
  <c r="O449" i="9" s="1"/>
  <c r="V316" i="2"/>
  <c r="K316" i="2"/>
  <c r="I316" i="2"/>
  <c r="O383" i="9"/>
  <c r="I256" i="9"/>
  <c r="I255" i="9"/>
  <c r="J255" i="9" s="1"/>
  <c r="G312" i="9" s="1"/>
  <c r="H312" i="9" s="1"/>
  <c r="AH441" i="2"/>
  <c r="AI441" i="2" s="1"/>
  <c r="AN440" i="2"/>
  <c r="AC442" i="2"/>
  <c r="O382" i="9"/>
  <c r="J256" i="9"/>
  <c r="D313" i="9" s="1"/>
  <c r="AN314" i="2"/>
  <c r="E311" i="9"/>
  <c r="W441" i="2"/>
  <c r="V441" i="2"/>
  <c r="Q385" i="9"/>
  <c r="R385" i="9"/>
  <c r="T385" i="9"/>
  <c r="D449" i="9"/>
  <c r="E449" i="9" s="1"/>
  <c r="A507" i="9"/>
  <c r="AQ509" i="2"/>
  <c r="I312" i="9"/>
  <c r="Q384" i="9"/>
  <c r="R384" i="9"/>
  <c r="T384" i="9"/>
  <c r="P197" i="9"/>
  <c r="F314" i="9" s="1"/>
  <c r="A257" i="9"/>
  <c r="I384" i="9"/>
  <c r="D384" i="9"/>
  <c r="E384" i="9"/>
  <c r="F384" i="9" s="1"/>
  <c r="AT445" i="2" s="1"/>
  <c r="H384" i="9"/>
  <c r="L448" i="9" s="1"/>
  <c r="M448" i="9" s="1"/>
  <c r="AY510" i="2"/>
  <c r="L313" i="9"/>
  <c r="N313" i="9" s="1"/>
  <c r="I385" i="9"/>
  <c r="H385" i="9"/>
  <c r="L449" i="9" s="1"/>
  <c r="M449" i="9" s="1"/>
  <c r="E385" i="9"/>
  <c r="F385" i="9" s="1"/>
  <c r="AT446" i="2" s="1"/>
  <c r="D385" i="9"/>
  <c r="A506" i="9"/>
  <c r="D448" i="9"/>
  <c r="E448" i="9" s="1"/>
  <c r="G509" i="2"/>
  <c r="AE509" i="2" s="1"/>
  <c r="L565" i="2"/>
  <c r="M196" i="9"/>
  <c r="C313" i="9" s="1"/>
  <c r="AD443" i="2"/>
  <c r="AK312" i="2"/>
  <c r="AL312" i="2" s="1"/>
  <c r="D369" i="2"/>
  <c r="AG312" i="2" s="1"/>
  <c r="AH312" i="2" s="1"/>
  <c r="M444" i="2"/>
  <c r="K508" i="2"/>
  <c r="L508" i="2" s="1"/>
  <c r="J369" i="2"/>
  <c r="AS312" i="2" s="1"/>
  <c r="AT312" i="2" s="1"/>
  <c r="E369" i="2"/>
  <c r="B373" i="2"/>
  <c r="B510" i="2"/>
  <c r="B568" i="2" s="1"/>
  <c r="B446" i="2"/>
  <c r="F371" i="2"/>
  <c r="AJ314" i="2" s="1"/>
  <c r="J566" i="2"/>
  <c r="A446" i="2"/>
  <c r="A373" i="2"/>
  <c r="U373" i="2" s="1"/>
  <c r="A510" i="2"/>
  <c r="A567" i="2"/>
  <c r="Q567" i="2" s="1"/>
  <c r="S372" i="2"/>
  <c r="T372" i="2" s="1"/>
  <c r="R372" i="2"/>
  <c r="V372" i="2"/>
  <c r="C445" i="2"/>
  <c r="G445" i="2" s="1"/>
  <c r="P372" i="2"/>
  <c r="BI315" i="2" s="1"/>
  <c r="BJ315" i="2" s="1"/>
  <c r="K566" i="2"/>
  <c r="BS508" i="2" s="1"/>
  <c r="P566" i="2"/>
  <c r="R566" i="2"/>
  <c r="N566" i="2"/>
  <c r="CA508" i="2" s="1"/>
  <c r="G566" i="2"/>
  <c r="H566" i="2" s="1"/>
  <c r="E445" i="2"/>
  <c r="F445" i="2" s="1"/>
  <c r="AP445" i="2" s="1"/>
  <c r="H445" i="2"/>
  <c r="D445" i="2"/>
  <c r="BI314" i="2"/>
  <c r="BJ314" i="2" s="1"/>
  <c r="AU510" i="2"/>
  <c r="O373" i="2"/>
  <c r="BH316" i="2" s="1"/>
  <c r="M369" i="2"/>
  <c r="N369" i="2" s="1"/>
  <c r="C370" i="2"/>
  <c r="AF313" i="2" s="1"/>
  <c r="I370" i="2"/>
  <c r="AR313" i="2" s="1"/>
  <c r="AM509" i="2"/>
  <c r="L372" i="2"/>
  <c r="AZ315" i="2" s="1"/>
  <c r="M195" i="9"/>
  <c r="C312" i="9" s="1"/>
  <c r="BY508" i="2"/>
  <c r="O313" i="2"/>
  <c r="D370" i="2" s="1"/>
  <c r="T313" i="2"/>
  <c r="M370" i="2" s="1"/>
  <c r="N370" i="2" s="1"/>
  <c r="W253" i="2"/>
  <c r="AK313" i="2"/>
  <c r="AL313" i="2" s="1"/>
  <c r="N314" i="2"/>
  <c r="CE508" i="2"/>
  <c r="BM315" i="2"/>
  <c r="BN315" i="2" s="1"/>
  <c r="CE507" i="2"/>
  <c r="AN508" i="2"/>
  <c r="AO508" i="2" s="1"/>
  <c r="BT508" i="2"/>
  <c r="BW507" i="2"/>
  <c r="BY507" i="2" s="1"/>
  <c r="AZ441" i="2"/>
  <c r="BD442" i="2"/>
  <c r="AY442" i="2"/>
  <c r="BE313" i="2"/>
  <c r="BF313" i="2" s="1"/>
  <c r="BE314" i="2"/>
  <c r="BF314" i="2" s="1"/>
  <c r="Q253" i="2"/>
  <c r="R255" i="2"/>
  <c r="S255" i="2"/>
  <c r="N252" i="2"/>
  <c r="AO314" i="2"/>
  <c r="AO313" i="2"/>
  <c r="AP313" i="2" s="1"/>
  <c r="I197" i="9"/>
  <c r="R197" i="9" s="1"/>
  <c r="L314" i="9" s="1"/>
  <c r="G197" i="9"/>
  <c r="E197" i="9"/>
  <c r="C197" i="9"/>
  <c r="D197" i="9" s="1"/>
  <c r="F197" i="9" s="1"/>
  <c r="K197" i="9"/>
  <c r="N197" i="9" s="1"/>
  <c r="C130" i="1"/>
  <c r="A198" i="9"/>
  <c r="B197" i="9"/>
  <c r="B257" i="9" s="1"/>
  <c r="B132" i="1"/>
  <c r="A199" i="9" s="1"/>
  <c r="C316" i="2"/>
  <c r="U316" i="2" s="1"/>
  <c r="A317" i="2"/>
  <c r="B255" i="2"/>
  <c r="B317" i="2" s="1"/>
  <c r="M253" i="2"/>
  <c r="T254" i="2"/>
  <c r="L373" i="2" s="1"/>
  <c r="H254" i="2"/>
  <c r="J254" i="2" s="1"/>
  <c r="M254" i="2" s="1"/>
  <c r="O254" i="2"/>
  <c r="P254" i="2" s="1"/>
  <c r="R315" i="2"/>
  <c r="S315" i="2" s="1"/>
  <c r="F316" i="2"/>
  <c r="G316" i="2" s="1"/>
  <c r="C255" i="2"/>
  <c r="D255" i="2" s="1"/>
  <c r="F255" i="2" s="1"/>
  <c r="V255" i="2"/>
  <c r="I255" i="2"/>
  <c r="U255" i="2" s="1"/>
  <c r="G255" i="2"/>
  <c r="K255" i="2"/>
  <c r="O255" i="2" s="1"/>
  <c r="E255" i="2"/>
  <c r="A256" i="2"/>
  <c r="D316" i="2"/>
  <c r="H316" i="2" s="1"/>
  <c r="A133" i="1"/>
  <c r="Q506" i="9" l="1"/>
  <c r="E506" i="9"/>
  <c r="D506" i="9"/>
  <c r="BG509" i="2" s="1"/>
  <c r="Q507" i="9"/>
  <c r="E507" i="9"/>
  <c r="D507" i="9"/>
  <c r="BG510" i="2" s="1"/>
  <c r="K447" i="2"/>
  <c r="L447" i="2"/>
  <c r="L317" i="2"/>
  <c r="W317" i="2"/>
  <c r="M317" i="2"/>
  <c r="P446" i="2"/>
  <c r="N510" i="2"/>
  <c r="S446" i="2"/>
  <c r="J446" i="2"/>
  <c r="O446" i="2"/>
  <c r="R446" i="2"/>
  <c r="U446" i="2"/>
  <c r="Q446" i="2"/>
  <c r="I446" i="2"/>
  <c r="T446" i="2"/>
  <c r="N446" i="2"/>
  <c r="E567" i="2"/>
  <c r="D567" i="2"/>
  <c r="BC509" i="2" s="1"/>
  <c r="E317" i="2"/>
  <c r="J317" i="2"/>
  <c r="H257" i="9"/>
  <c r="M257" i="9"/>
  <c r="K450" i="9" s="1"/>
  <c r="V317" i="2"/>
  <c r="K317" i="2"/>
  <c r="I317" i="2"/>
  <c r="D257" i="9"/>
  <c r="G257" i="9"/>
  <c r="D312" i="9"/>
  <c r="E312" i="9"/>
  <c r="AP314" i="2"/>
  <c r="G313" i="9"/>
  <c r="H313" i="9" s="1"/>
  <c r="J385" i="9"/>
  <c r="K385" i="9" s="1"/>
  <c r="O385" i="9" s="1"/>
  <c r="J384" i="9"/>
  <c r="K384" i="9" s="1"/>
  <c r="N384" i="9" s="1"/>
  <c r="P384" i="9" s="1"/>
  <c r="AL445" i="2" s="1"/>
  <c r="AC443" i="2"/>
  <c r="AG443" i="2" s="1"/>
  <c r="AE442" i="2"/>
  <c r="AG442" i="2"/>
  <c r="AN441" i="2"/>
  <c r="AF442" i="2"/>
  <c r="AK445" i="2"/>
  <c r="J507" i="9"/>
  <c r="BX510" i="2" s="1"/>
  <c r="J506" i="9"/>
  <c r="BX509" i="2" s="1"/>
  <c r="E313" i="9"/>
  <c r="AK446" i="2"/>
  <c r="BD315" i="2"/>
  <c r="K312" i="9"/>
  <c r="V442" i="2"/>
  <c r="W442" i="2"/>
  <c r="N506" i="9"/>
  <c r="G506" i="9"/>
  <c r="P506" i="9"/>
  <c r="K506" i="9"/>
  <c r="L506" i="9"/>
  <c r="R506" i="9"/>
  <c r="O506" i="9"/>
  <c r="H506" i="9"/>
  <c r="BO509" i="2" s="1"/>
  <c r="I506" i="9"/>
  <c r="N507" i="9"/>
  <c r="L507" i="9"/>
  <c r="K507" i="9"/>
  <c r="R507" i="9"/>
  <c r="H507" i="9"/>
  <c r="BO510" i="2" s="1"/>
  <c r="O507" i="9"/>
  <c r="I507" i="9"/>
  <c r="G507" i="9"/>
  <c r="P507" i="9"/>
  <c r="B450" i="9"/>
  <c r="B508" i="9" s="1"/>
  <c r="B386" i="9"/>
  <c r="C386" i="9" s="1"/>
  <c r="B314" i="9"/>
  <c r="P199" i="9"/>
  <c r="F316" i="9" s="1"/>
  <c r="A259" i="9"/>
  <c r="P198" i="9"/>
  <c r="F315" i="9" s="1"/>
  <c r="A258" i="9"/>
  <c r="C257" i="9"/>
  <c r="J450" i="9"/>
  <c r="A450" i="9"/>
  <c r="I450" i="9"/>
  <c r="A314" i="9"/>
  <c r="S386" i="9" s="1"/>
  <c r="A386" i="9"/>
  <c r="L257" i="9"/>
  <c r="M314" i="9" s="1"/>
  <c r="N314" i="9" s="1"/>
  <c r="E257" i="9"/>
  <c r="F257" i="9" s="1"/>
  <c r="K257" i="9"/>
  <c r="J314" i="9" s="1"/>
  <c r="BK508" i="2"/>
  <c r="M445" i="2"/>
  <c r="L566" i="2"/>
  <c r="AC444" i="2"/>
  <c r="K370" i="2"/>
  <c r="AD444" i="2"/>
  <c r="J370" i="2"/>
  <c r="AS313" i="2" s="1"/>
  <c r="AT313" i="2" s="1"/>
  <c r="G510" i="2"/>
  <c r="AE510" i="2" s="1"/>
  <c r="K509" i="2"/>
  <c r="L509" i="2" s="1"/>
  <c r="D509" i="2"/>
  <c r="E509" i="2" s="1"/>
  <c r="C446" i="2"/>
  <c r="G446" i="2" s="1"/>
  <c r="I371" i="2"/>
  <c r="AR314" i="2" s="1"/>
  <c r="C371" i="2"/>
  <c r="AF314" i="2" s="1"/>
  <c r="V373" i="2"/>
  <c r="R373" i="2"/>
  <c r="S373" i="2"/>
  <c r="T373" i="2" s="1"/>
  <c r="B447" i="2"/>
  <c r="B374" i="2"/>
  <c r="B511" i="2"/>
  <c r="B569" i="2" s="1"/>
  <c r="H446" i="2"/>
  <c r="E446" i="2"/>
  <c r="F446" i="2" s="1"/>
  <c r="AP446" i="2" s="1"/>
  <c r="D446" i="2"/>
  <c r="A374" i="2"/>
  <c r="U374" i="2" s="1"/>
  <c r="A511" i="2"/>
  <c r="A447" i="2"/>
  <c r="AU511" i="2"/>
  <c r="O374" i="2"/>
  <c r="BA312" i="2"/>
  <c r="BB312" i="2" s="1"/>
  <c r="A568" i="2"/>
  <c r="Q568" i="2" s="1"/>
  <c r="AG313" i="2"/>
  <c r="AH313" i="2" s="1"/>
  <c r="P315" i="2"/>
  <c r="Q315" i="2" s="1"/>
  <c r="Q372" i="2"/>
  <c r="P373" i="2"/>
  <c r="Q373" i="2" s="1"/>
  <c r="F372" i="2"/>
  <c r="G372" i="2" s="1"/>
  <c r="H372" i="2" s="1"/>
  <c r="K567" i="2"/>
  <c r="BS509" i="2" s="1"/>
  <c r="G567" i="2"/>
  <c r="H567" i="2" s="1"/>
  <c r="BK509" i="2" s="1"/>
  <c r="P567" i="2"/>
  <c r="R567" i="2"/>
  <c r="N567" i="2"/>
  <c r="CA509" i="2" s="1"/>
  <c r="E370" i="2"/>
  <c r="G371" i="2"/>
  <c r="H371" i="2" s="1"/>
  <c r="BA313" i="2"/>
  <c r="BB313" i="2" s="1"/>
  <c r="D510" i="2"/>
  <c r="E510" i="2" s="1"/>
  <c r="I510" i="2" s="1"/>
  <c r="O314" i="2"/>
  <c r="D371" i="2" s="1"/>
  <c r="T314" i="2"/>
  <c r="N315" i="2"/>
  <c r="W254" i="2"/>
  <c r="F373" i="2" s="1"/>
  <c r="BU508" i="2"/>
  <c r="BL316" i="2"/>
  <c r="BN316" i="2" s="1"/>
  <c r="BL317" i="2"/>
  <c r="AY511" i="2"/>
  <c r="AI510" i="2"/>
  <c r="AI509" i="2"/>
  <c r="AR509" i="2"/>
  <c r="AS509" i="2" s="1"/>
  <c r="AR510" i="2"/>
  <c r="AS510" i="2" s="1"/>
  <c r="AZ316" i="2"/>
  <c r="AM510" i="2"/>
  <c r="AZ442" i="2"/>
  <c r="BC443" i="2"/>
  <c r="AY443" i="2"/>
  <c r="BC444" i="2"/>
  <c r="AM444" i="2"/>
  <c r="AM443" i="2"/>
  <c r="AW313" i="2"/>
  <c r="AX313" i="2" s="1"/>
  <c r="AW314" i="2"/>
  <c r="AX314" i="2" s="1"/>
  <c r="H197" i="9"/>
  <c r="J197" i="9" s="1"/>
  <c r="G450" i="9" s="1"/>
  <c r="AN315" i="2"/>
  <c r="AN316" i="2"/>
  <c r="Q254" i="2"/>
  <c r="R256" i="2"/>
  <c r="S256" i="2"/>
  <c r="N253" i="2"/>
  <c r="N254" i="2"/>
  <c r="Q197" i="9"/>
  <c r="O197" i="9"/>
  <c r="AV317" i="2" s="1"/>
  <c r="L197" i="9"/>
  <c r="C198" i="9"/>
  <c r="D198" i="9" s="1"/>
  <c r="F198" i="9" s="1"/>
  <c r="E198" i="9"/>
  <c r="G198" i="9"/>
  <c r="K198" i="9"/>
  <c r="L198" i="9" s="1"/>
  <c r="I198" i="9"/>
  <c r="Q198" i="9" s="1"/>
  <c r="I315" i="9" s="1"/>
  <c r="I199" i="9"/>
  <c r="Q199" i="9" s="1"/>
  <c r="I316" i="9" s="1"/>
  <c r="C199" i="9"/>
  <c r="D199" i="9" s="1"/>
  <c r="F199" i="9" s="1"/>
  <c r="K199" i="9"/>
  <c r="N199" i="9" s="1"/>
  <c r="G199" i="9"/>
  <c r="E199" i="9"/>
  <c r="B198" i="9"/>
  <c r="B258" i="9" s="1"/>
  <c r="B199" i="9"/>
  <c r="B259" i="9" s="1"/>
  <c r="F317" i="2"/>
  <c r="G317" i="2" s="1"/>
  <c r="B133" i="1"/>
  <c r="C131" i="1"/>
  <c r="B256" i="2"/>
  <c r="B318" i="2" s="1"/>
  <c r="A318" i="2"/>
  <c r="P255" i="2"/>
  <c r="H255" i="2"/>
  <c r="J255" i="2" s="1"/>
  <c r="G511" i="2" s="1"/>
  <c r="D317" i="2"/>
  <c r="H317" i="2" s="1"/>
  <c r="T255" i="2"/>
  <c r="C317" i="2"/>
  <c r="U317" i="2" s="1"/>
  <c r="P374" i="2" s="1"/>
  <c r="L255" i="2"/>
  <c r="R316" i="2"/>
  <c r="S316" i="2" s="1"/>
  <c r="C256" i="2"/>
  <c r="D256" i="2" s="1"/>
  <c r="F256" i="2" s="1"/>
  <c r="K256" i="2"/>
  <c r="L256" i="2" s="1"/>
  <c r="V256" i="2"/>
  <c r="I256" i="2"/>
  <c r="U256" i="2" s="1"/>
  <c r="G256" i="2"/>
  <c r="E256" i="2"/>
  <c r="A257" i="2"/>
  <c r="A134" i="1"/>
  <c r="P450" i="9" l="1"/>
  <c r="M386" i="9"/>
  <c r="K448" i="2"/>
  <c r="L448" i="2"/>
  <c r="M318" i="2"/>
  <c r="L318" i="2"/>
  <c r="W318" i="2"/>
  <c r="U447" i="2"/>
  <c r="J447" i="2"/>
  <c r="O447" i="2"/>
  <c r="S447" i="2"/>
  <c r="P447" i="2"/>
  <c r="Q447" i="2"/>
  <c r="T447" i="2"/>
  <c r="N511" i="2"/>
  <c r="R447" i="2"/>
  <c r="I447" i="2"/>
  <c r="N447" i="2"/>
  <c r="E568" i="2"/>
  <c r="D568" i="2"/>
  <c r="BC510" i="2" s="1"/>
  <c r="E318" i="2"/>
  <c r="J318" i="2"/>
  <c r="M258" i="9"/>
  <c r="K451" i="9" s="1"/>
  <c r="H258" i="9"/>
  <c r="M259" i="9"/>
  <c r="K452" i="9" s="1"/>
  <c r="H259" i="9"/>
  <c r="L386" i="9"/>
  <c r="O450" i="9" s="1"/>
  <c r="I318" i="2"/>
  <c r="V318" i="2"/>
  <c r="K318" i="2"/>
  <c r="D259" i="9"/>
  <c r="G259" i="9"/>
  <c r="D258" i="9"/>
  <c r="G258" i="9"/>
  <c r="N385" i="9"/>
  <c r="P385" i="9" s="1"/>
  <c r="AL446" i="2" s="1"/>
  <c r="G386" i="9"/>
  <c r="I257" i="9"/>
  <c r="J257" i="9" s="1"/>
  <c r="G314" i="9" s="1"/>
  <c r="H314" i="9" s="1"/>
  <c r="O384" i="9"/>
  <c r="AE443" i="2"/>
  <c r="AG444" i="2"/>
  <c r="AH444" i="2" s="1"/>
  <c r="AI444" i="2" s="1"/>
  <c r="AF443" i="2"/>
  <c r="AH443" i="2"/>
  <c r="AI443" i="2" s="1"/>
  <c r="AH442" i="2"/>
  <c r="AI442" i="2" s="1"/>
  <c r="AN442" i="2" s="1"/>
  <c r="AF444" i="2"/>
  <c r="AE444" i="2"/>
  <c r="W443" i="2"/>
  <c r="V443" i="2"/>
  <c r="AQ511" i="2"/>
  <c r="I314" i="9"/>
  <c r="D386" i="9"/>
  <c r="I386" i="9"/>
  <c r="E386" i="9"/>
  <c r="F386" i="9" s="1"/>
  <c r="H386" i="9"/>
  <c r="L450" i="9" s="1"/>
  <c r="M450" i="9" s="1"/>
  <c r="A451" i="9"/>
  <c r="A315" i="9"/>
  <c r="S387" i="9" s="1"/>
  <c r="A387" i="9"/>
  <c r="I451" i="9"/>
  <c r="J451" i="9"/>
  <c r="K258" i="9"/>
  <c r="J315" i="9" s="1"/>
  <c r="K315" i="9" s="1"/>
  <c r="C258" i="9"/>
  <c r="E258" i="9"/>
  <c r="F258" i="9" s="1"/>
  <c r="L258" i="9"/>
  <c r="M315" i="9" s="1"/>
  <c r="BM318" i="2" s="1"/>
  <c r="B451" i="9"/>
  <c r="B509" i="9" s="1"/>
  <c r="B387" i="9"/>
  <c r="C387" i="9" s="1"/>
  <c r="B315" i="9"/>
  <c r="Q386" i="9"/>
  <c r="R386" i="9"/>
  <c r="T386" i="9"/>
  <c r="B452" i="9"/>
  <c r="B510" i="9" s="1"/>
  <c r="B388" i="9"/>
  <c r="C388" i="9" s="1"/>
  <c r="B316" i="9"/>
  <c r="I452" i="9"/>
  <c r="J452" i="9"/>
  <c r="A452" i="9"/>
  <c r="A388" i="9"/>
  <c r="A316" i="9"/>
  <c r="S388" i="9" s="1"/>
  <c r="L259" i="9"/>
  <c r="M316" i="9" s="1"/>
  <c r="BM319" i="2" s="1"/>
  <c r="E259" i="9"/>
  <c r="F259" i="9" s="1"/>
  <c r="K259" i="9"/>
  <c r="J316" i="9" s="1"/>
  <c r="K316" i="9" s="1"/>
  <c r="A508" i="9"/>
  <c r="D450" i="9"/>
  <c r="E450" i="9" s="1"/>
  <c r="J508" i="9" s="1"/>
  <c r="AD445" i="2"/>
  <c r="BT509" i="2"/>
  <c r="BU509" i="2" s="1"/>
  <c r="I509" i="2"/>
  <c r="AC445" i="2"/>
  <c r="M446" i="2"/>
  <c r="E371" i="2"/>
  <c r="Q374" i="2"/>
  <c r="K371" i="2"/>
  <c r="AN509" i="2"/>
  <c r="AO509" i="2" s="1"/>
  <c r="AK314" i="2"/>
  <c r="AL314" i="2" s="1"/>
  <c r="AJ315" i="2"/>
  <c r="BI316" i="2"/>
  <c r="BJ316" i="2" s="1"/>
  <c r="J568" i="2"/>
  <c r="H447" i="2"/>
  <c r="E447" i="2"/>
  <c r="F447" i="2" s="1"/>
  <c r="D447" i="2"/>
  <c r="BH317" i="2"/>
  <c r="AU512" i="2"/>
  <c r="O375" i="2"/>
  <c r="BH318" i="2" s="1"/>
  <c r="AM511" i="2"/>
  <c r="L374" i="2"/>
  <c r="AZ317" i="2" s="1"/>
  <c r="I372" i="2"/>
  <c r="AR315" i="2" s="1"/>
  <c r="C372" i="2"/>
  <c r="AF315" i="2" s="1"/>
  <c r="R568" i="2"/>
  <c r="H568" i="2"/>
  <c r="BK510" i="2" s="1"/>
  <c r="P568" i="2"/>
  <c r="N568" i="2"/>
  <c r="CA510" i="2" s="1"/>
  <c r="G568" i="2"/>
  <c r="K568" i="2"/>
  <c r="BS510" i="2" s="1"/>
  <c r="C447" i="2"/>
  <c r="G447" i="2" s="1"/>
  <c r="P316" i="2"/>
  <c r="Q316" i="2" s="1"/>
  <c r="A375" i="2"/>
  <c r="U375" i="2" s="1"/>
  <c r="A512" i="2"/>
  <c r="A448" i="2"/>
  <c r="K510" i="2"/>
  <c r="L510" i="2" s="1"/>
  <c r="A569" i="2"/>
  <c r="Q569" i="2" s="1"/>
  <c r="M371" i="2"/>
  <c r="N371" i="2" s="1"/>
  <c r="B375" i="2"/>
  <c r="B512" i="2"/>
  <c r="B570" i="2" s="1"/>
  <c r="B448" i="2"/>
  <c r="G373" i="2"/>
  <c r="H373" i="2" s="1"/>
  <c r="J567" i="2"/>
  <c r="L567" i="2" s="1"/>
  <c r="AG314" i="2"/>
  <c r="AH314" i="2" s="1"/>
  <c r="S374" i="2"/>
  <c r="T374" i="2" s="1"/>
  <c r="V374" i="2"/>
  <c r="R374" i="2"/>
  <c r="J371" i="2"/>
  <c r="AS314" i="2" s="1"/>
  <c r="AT314" i="2" s="1"/>
  <c r="W255" i="2"/>
  <c r="BI317" i="2"/>
  <c r="D511" i="2"/>
  <c r="E511" i="2" s="1"/>
  <c r="I511" i="2" s="1"/>
  <c r="O315" i="2"/>
  <c r="J372" i="2" s="1"/>
  <c r="T315" i="2"/>
  <c r="M372" i="2" s="1"/>
  <c r="N372" i="2" s="1"/>
  <c r="AJ316" i="2"/>
  <c r="N316" i="2"/>
  <c r="AK315" i="2"/>
  <c r="H199" i="9"/>
  <c r="J199" i="9" s="1"/>
  <c r="G452" i="9" s="1"/>
  <c r="M197" i="9"/>
  <c r="C314" i="9" s="1"/>
  <c r="BD318" i="2"/>
  <c r="AQ512" i="2"/>
  <c r="BM317" i="2"/>
  <c r="BN317" i="2" s="1"/>
  <c r="CE510" i="2"/>
  <c r="CE509" i="2"/>
  <c r="BD319" i="2"/>
  <c r="AQ513" i="2"/>
  <c r="AN510" i="2"/>
  <c r="AO510" i="2" s="1"/>
  <c r="BT510" i="2"/>
  <c r="BW510" i="2"/>
  <c r="BY510" i="2" s="1"/>
  <c r="BW509" i="2"/>
  <c r="BY509" i="2" s="1"/>
  <c r="AY445" i="2"/>
  <c r="AZ445" i="2" s="1"/>
  <c r="AZ443" i="2"/>
  <c r="BD443" i="2"/>
  <c r="BD444" i="2"/>
  <c r="AY444" i="2"/>
  <c r="BE316" i="2"/>
  <c r="BF316" i="2" s="1"/>
  <c r="BE315" i="2"/>
  <c r="BF315" i="2" s="1"/>
  <c r="H198" i="9"/>
  <c r="J198" i="9" s="1"/>
  <c r="G451" i="9" s="1"/>
  <c r="Q255" i="2"/>
  <c r="S257" i="2"/>
  <c r="R257" i="2"/>
  <c r="AO315" i="2"/>
  <c r="AP315" i="2" s="1"/>
  <c r="AO316" i="2"/>
  <c r="AP316" i="2" s="1"/>
  <c r="O199" i="9"/>
  <c r="AV319" i="2" s="1"/>
  <c r="R199" i="9"/>
  <c r="L316" i="9" s="1"/>
  <c r="R198" i="9"/>
  <c r="N198" i="9"/>
  <c r="O198" i="9" s="1"/>
  <c r="AV318" i="2" s="1"/>
  <c r="L199" i="9"/>
  <c r="C132" i="1"/>
  <c r="C259" i="9" s="1"/>
  <c r="A200" i="9"/>
  <c r="B134" i="1"/>
  <c r="C318" i="2"/>
  <c r="F318" i="2"/>
  <c r="G318" i="2" s="1"/>
  <c r="A319" i="2"/>
  <c r="B257" i="2"/>
  <c r="B319" i="2" s="1"/>
  <c r="M255" i="2"/>
  <c r="AE511" i="2"/>
  <c r="H256" i="2"/>
  <c r="J256" i="2" s="1"/>
  <c r="G512" i="2" s="1"/>
  <c r="R317" i="2"/>
  <c r="S317" i="2" s="1"/>
  <c r="O256" i="2"/>
  <c r="P256" i="2" s="1"/>
  <c r="T256" i="2"/>
  <c r="D318" i="2"/>
  <c r="H318" i="2" s="1"/>
  <c r="A258" i="2"/>
  <c r="V257" i="2"/>
  <c r="K257" i="2"/>
  <c r="O257" i="2" s="1"/>
  <c r="I257" i="2"/>
  <c r="U257" i="2" s="1"/>
  <c r="G257" i="2"/>
  <c r="C257" i="2"/>
  <c r="D257" i="2" s="1"/>
  <c r="F257" i="2" s="1"/>
  <c r="E257" i="2"/>
  <c r="A135" i="1"/>
  <c r="Q508" i="9" l="1"/>
  <c r="D508" i="9"/>
  <c r="BG511" i="2" s="1"/>
  <c r="E508" i="9"/>
  <c r="P451" i="9"/>
  <c r="M387" i="9"/>
  <c r="P452" i="9"/>
  <c r="M388" i="9"/>
  <c r="L449" i="2"/>
  <c r="K449" i="2"/>
  <c r="M319" i="2"/>
  <c r="L319" i="2"/>
  <c r="W319" i="2"/>
  <c r="Q448" i="2"/>
  <c r="T448" i="2"/>
  <c r="J448" i="2"/>
  <c r="S448" i="2"/>
  <c r="P448" i="2"/>
  <c r="N512" i="2"/>
  <c r="R448" i="2"/>
  <c r="O448" i="2"/>
  <c r="U448" i="2"/>
  <c r="I448" i="2"/>
  <c r="N448" i="2"/>
  <c r="E569" i="2"/>
  <c r="D569" i="2"/>
  <c r="BC511" i="2" s="1"/>
  <c r="E319" i="2"/>
  <c r="J319" i="2"/>
  <c r="L387" i="9"/>
  <c r="O451" i="9" s="1"/>
  <c r="G388" i="9"/>
  <c r="L388" i="9"/>
  <c r="O452" i="9" s="1"/>
  <c r="I319" i="2"/>
  <c r="V319" i="2"/>
  <c r="K319" i="2"/>
  <c r="D314" i="9"/>
  <c r="E314" i="9"/>
  <c r="N316" i="9"/>
  <c r="I258" i="9"/>
  <c r="J258" i="9" s="1"/>
  <c r="G315" i="9" s="1"/>
  <c r="H315" i="9" s="1"/>
  <c r="J386" i="9"/>
  <c r="K386" i="9" s="1"/>
  <c r="O386" i="9" s="1"/>
  <c r="G387" i="9"/>
  <c r="I259" i="9"/>
  <c r="J259" i="9" s="1"/>
  <c r="BD317" i="2"/>
  <c r="K314" i="9"/>
  <c r="AP447" i="2"/>
  <c r="AK447" i="2"/>
  <c r="AT447" i="2"/>
  <c r="AE445" i="2"/>
  <c r="AG445" i="2"/>
  <c r="AF445" i="2"/>
  <c r="AN443" i="2"/>
  <c r="V444" i="2"/>
  <c r="W444" i="2"/>
  <c r="D387" i="9"/>
  <c r="E387" i="9"/>
  <c r="F387" i="9" s="1"/>
  <c r="I387" i="9"/>
  <c r="H387" i="9"/>
  <c r="L451" i="9" s="1"/>
  <c r="M451" i="9" s="1"/>
  <c r="AY512" i="2"/>
  <c r="L315" i="9"/>
  <c r="N315" i="9" s="1"/>
  <c r="N508" i="9"/>
  <c r="R508" i="9"/>
  <c r="L508" i="9"/>
  <c r="K508" i="9"/>
  <c r="P508" i="9"/>
  <c r="O508" i="9"/>
  <c r="I508" i="9"/>
  <c r="H508" i="9"/>
  <c r="BO511" i="2" s="1"/>
  <c r="G508" i="9"/>
  <c r="A509" i="9"/>
  <c r="D451" i="9"/>
  <c r="E451" i="9" s="1"/>
  <c r="J509" i="9" s="1"/>
  <c r="A510" i="9"/>
  <c r="D452" i="9"/>
  <c r="E452" i="9" s="1"/>
  <c r="Q388" i="9"/>
  <c r="R388" i="9"/>
  <c r="T388" i="9"/>
  <c r="Q387" i="9"/>
  <c r="R387" i="9"/>
  <c r="T387" i="9"/>
  <c r="E388" i="9"/>
  <c r="F388" i="9" s="1"/>
  <c r="I388" i="9"/>
  <c r="D388" i="9"/>
  <c r="H388" i="9"/>
  <c r="P200" i="9"/>
  <c r="F317" i="9" s="1"/>
  <c r="A260" i="9"/>
  <c r="L568" i="2"/>
  <c r="AD446" i="2"/>
  <c r="AL315" i="2"/>
  <c r="K511" i="2"/>
  <c r="L511" i="2" s="1"/>
  <c r="M447" i="2"/>
  <c r="BJ317" i="2"/>
  <c r="P317" i="2"/>
  <c r="Q317" i="2" s="1"/>
  <c r="C448" i="2"/>
  <c r="G448" i="2" s="1"/>
  <c r="P569" i="2"/>
  <c r="R569" i="2"/>
  <c r="K569" i="2"/>
  <c r="BS511" i="2" s="1"/>
  <c r="N569" i="2"/>
  <c r="CA511" i="2" s="1"/>
  <c r="G569" i="2"/>
  <c r="H569" i="2" s="1"/>
  <c r="V375" i="2"/>
  <c r="R375" i="2"/>
  <c r="S375" i="2"/>
  <c r="T375" i="2" s="1"/>
  <c r="A570" i="2"/>
  <c r="Q570" i="2" s="1"/>
  <c r="A376" i="2"/>
  <c r="U376" i="2" s="1"/>
  <c r="A449" i="2"/>
  <c r="A513" i="2"/>
  <c r="BA314" i="2"/>
  <c r="BB314" i="2" s="1"/>
  <c r="K372" i="2"/>
  <c r="B376" i="2"/>
  <c r="B513" i="2"/>
  <c r="B571" i="2" s="1"/>
  <c r="B449" i="2"/>
  <c r="D372" i="2"/>
  <c r="AG315" i="2" s="1"/>
  <c r="AH315" i="2" s="1"/>
  <c r="AM512" i="2"/>
  <c r="L375" i="2"/>
  <c r="AZ318" i="2" s="1"/>
  <c r="F374" i="2"/>
  <c r="AJ317" i="2" s="1"/>
  <c r="E372" i="2"/>
  <c r="J569" i="2"/>
  <c r="AE512" i="2"/>
  <c r="I373" i="2"/>
  <c r="AR316" i="2" s="1"/>
  <c r="C373" i="2"/>
  <c r="AF316" i="2" s="1"/>
  <c r="AU513" i="2"/>
  <c r="O376" i="2"/>
  <c r="BH319" i="2" s="1"/>
  <c r="H448" i="2"/>
  <c r="E448" i="2"/>
  <c r="F448" i="2" s="1"/>
  <c r="D448" i="2"/>
  <c r="BA315" i="2"/>
  <c r="BB315" i="2" s="1"/>
  <c r="U318" i="2"/>
  <c r="P375" i="2" s="1"/>
  <c r="Q375" i="2" s="1"/>
  <c r="O316" i="2"/>
  <c r="J373" i="2" s="1"/>
  <c r="T316" i="2"/>
  <c r="M373" i="2" s="1"/>
  <c r="N373" i="2" s="1"/>
  <c r="AS315" i="2"/>
  <c r="AT315" i="2" s="1"/>
  <c r="AK316" i="2"/>
  <c r="AL316" i="2" s="1"/>
  <c r="D512" i="2"/>
  <c r="E512" i="2" s="1"/>
  <c r="I512" i="2" s="1"/>
  <c r="N317" i="2"/>
  <c r="M199" i="9"/>
  <c r="W256" i="2"/>
  <c r="F375" i="2" s="1"/>
  <c r="BU510" i="2"/>
  <c r="BL319" i="2"/>
  <c r="BN319" i="2" s="1"/>
  <c r="AY513" i="2"/>
  <c r="M198" i="9"/>
  <c r="C315" i="9" s="1"/>
  <c r="AI511" i="2"/>
  <c r="AI512" i="2"/>
  <c r="AN511" i="2"/>
  <c r="AO511" i="2" s="1"/>
  <c r="BT511" i="2"/>
  <c r="BX511" i="2"/>
  <c r="AR511" i="2"/>
  <c r="AS511" i="2" s="1"/>
  <c r="AM445" i="2"/>
  <c r="AZ444" i="2"/>
  <c r="BC446" i="2"/>
  <c r="BC445" i="2"/>
  <c r="AM446" i="2"/>
  <c r="AW316" i="2"/>
  <c r="AX316" i="2" s="1"/>
  <c r="AW315" i="2"/>
  <c r="AX315" i="2" s="1"/>
  <c r="M256" i="2"/>
  <c r="N256" i="2" s="1"/>
  <c r="AN317" i="2"/>
  <c r="Q256" i="2"/>
  <c r="R258" i="2"/>
  <c r="S258" i="2"/>
  <c r="N255" i="2"/>
  <c r="E200" i="9"/>
  <c r="C200" i="9"/>
  <c r="D200" i="9" s="1"/>
  <c r="F200" i="9" s="1"/>
  <c r="G200" i="9"/>
  <c r="I200" i="9"/>
  <c r="R200" i="9" s="1"/>
  <c r="L317" i="9" s="1"/>
  <c r="K200" i="9"/>
  <c r="N200" i="9" s="1"/>
  <c r="B200" i="9"/>
  <c r="B260" i="9" s="1"/>
  <c r="C133" i="1"/>
  <c r="A201" i="9"/>
  <c r="B135" i="1"/>
  <c r="C319" i="2"/>
  <c r="F319" i="2"/>
  <c r="G319" i="2" s="1"/>
  <c r="B258" i="2"/>
  <c r="B320" i="2" s="1"/>
  <c r="A320" i="2"/>
  <c r="D319" i="2"/>
  <c r="H319" i="2" s="1"/>
  <c r="T257" i="2"/>
  <c r="L376" i="2" s="1"/>
  <c r="R318" i="2"/>
  <c r="S318" i="2" s="1"/>
  <c r="H257" i="2"/>
  <c r="J257" i="2" s="1"/>
  <c r="P257" i="2"/>
  <c r="L257" i="2"/>
  <c r="V258" i="2"/>
  <c r="K258" i="2"/>
  <c r="O258" i="2" s="1"/>
  <c r="I258" i="2"/>
  <c r="U258" i="2" s="1"/>
  <c r="E258" i="2"/>
  <c r="C258" i="2"/>
  <c r="D258" i="2" s="1"/>
  <c r="F258" i="2" s="1"/>
  <c r="G258" i="2"/>
  <c r="A259" i="2"/>
  <c r="A136" i="1"/>
  <c r="Q510" i="9" l="1"/>
  <c r="D510" i="9"/>
  <c r="BG513" i="2" s="1"/>
  <c r="E510" i="9"/>
  <c r="Q509" i="9"/>
  <c r="E509" i="9"/>
  <c r="D509" i="9"/>
  <c r="BG512" i="2" s="1"/>
  <c r="P449" i="2"/>
  <c r="N513" i="2"/>
  <c r="U449" i="2"/>
  <c r="R449" i="2"/>
  <c r="O449" i="2"/>
  <c r="J449" i="2"/>
  <c r="I449" i="2"/>
  <c r="S449" i="2"/>
  <c r="T449" i="2"/>
  <c r="Q449" i="2"/>
  <c r="N449" i="2"/>
  <c r="L450" i="2"/>
  <c r="K450" i="2"/>
  <c r="M320" i="2"/>
  <c r="W320" i="2"/>
  <c r="L320" i="2"/>
  <c r="D570" i="2"/>
  <c r="BC512" i="2" s="1"/>
  <c r="E570" i="2"/>
  <c r="E320" i="2"/>
  <c r="J320" i="2"/>
  <c r="M260" i="9"/>
  <c r="K453" i="9" s="1"/>
  <c r="H260" i="9"/>
  <c r="I320" i="2"/>
  <c r="V320" i="2"/>
  <c r="K320" i="2"/>
  <c r="D260" i="9"/>
  <c r="G260" i="9"/>
  <c r="D315" i="9"/>
  <c r="N386" i="9"/>
  <c r="P386" i="9" s="1"/>
  <c r="AL447" i="2" s="1"/>
  <c r="J387" i="9"/>
  <c r="K387" i="9" s="1"/>
  <c r="N387" i="9" s="1"/>
  <c r="P387" i="9" s="1"/>
  <c r="AL448" i="2" s="1"/>
  <c r="E315" i="9"/>
  <c r="G316" i="9"/>
  <c r="H316" i="9" s="1"/>
  <c r="D316" i="9"/>
  <c r="J388" i="9"/>
  <c r="K388" i="9" s="1"/>
  <c r="N388" i="9" s="1"/>
  <c r="P388" i="9" s="1"/>
  <c r="AL449" i="2" s="1"/>
  <c r="AC446" i="2"/>
  <c r="AF446" i="2" s="1"/>
  <c r="J510" i="9"/>
  <c r="BX513" i="2" s="1"/>
  <c r="L452" i="9"/>
  <c r="M452" i="9" s="1"/>
  <c r="AK449" i="2"/>
  <c r="AT449" i="2"/>
  <c r="AK448" i="2"/>
  <c r="AT448" i="2"/>
  <c r="AP448" i="2"/>
  <c r="AH445" i="2"/>
  <c r="AI445" i="2" s="1"/>
  <c r="AN444" i="2"/>
  <c r="W445" i="2"/>
  <c r="V445" i="2"/>
  <c r="P201" i="9"/>
  <c r="F318" i="9" s="1"/>
  <c r="A261" i="9"/>
  <c r="C316" i="9"/>
  <c r="G509" i="9"/>
  <c r="R509" i="9"/>
  <c r="K509" i="9"/>
  <c r="N509" i="9"/>
  <c r="L509" i="9"/>
  <c r="I509" i="9"/>
  <c r="O509" i="9"/>
  <c r="H509" i="9"/>
  <c r="BO512" i="2" s="1"/>
  <c r="P509" i="9"/>
  <c r="AR513" i="2"/>
  <c r="AS513" i="2" s="1"/>
  <c r="A453" i="9"/>
  <c r="J453" i="9"/>
  <c r="A317" i="9"/>
  <c r="S389" i="9" s="1"/>
  <c r="I453" i="9"/>
  <c r="A389" i="9"/>
  <c r="L260" i="9"/>
  <c r="M317" i="9" s="1"/>
  <c r="N317" i="9" s="1"/>
  <c r="E260" i="9"/>
  <c r="F260" i="9" s="1"/>
  <c r="K260" i="9"/>
  <c r="J317" i="9" s="1"/>
  <c r="C260" i="9"/>
  <c r="B453" i="9"/>
  <c r="B511" i="9" s="1"/>
  <c r="B389" i="9"/>
  <c r="C389" i="9" s="1"/>
  <c r="B317" i="9"/>
  <c r="H510" i="9"/>
  <c r="G510" i="9"/>
  <c r="O510" i="9"/>
  <c r="N510" i="9"/>
  <c r="K510" i="9"/>
  <c r="I510" i="9"/>
  <c r="L510" i="9"/>
  <c r="R510" i="9"/>
  <c r="P510" i="9"/>
  <c r="BK511" i="2"/>
  <c r="G513" i="2"/>
  <c r="AE513" i="2" s="1"/>
  <c r="L569" i="2"/>
  <c r="AD447" i="2"/>
  <c r="K373" i="2"/>
  <c r="D373" i="2"/>
  <c r="AG316" i="2" s="1"/>
  <c r="AH316" i="2" s="1"/>
  <c r="C449" i="2"/>
  <c r="G449" i="2" s="1"/>
  <c r="I374" i="2"/>
  <c r="AR317" i="2" s="1"/>
  <c r="C374" i="2"/>
  <c r="AF317" i="2" s="1"/>
  <c r="J570" i="2"/>
  <c r="AU514" i="2"/>
  <c r="O377" i="2"/>
  <c r="BH320" i="2" s="1"/>
  <c r="BT512" i="2"/>
  <c r="H449" i="2"/>
  <c r="E449" i="2"/>
  <c r="F449" i="2" s="1"/>
  <c r="D449" i="2"/>
  <c r="K512" i="2"/>
  <c r="L512" i="2" s="1"/>
  <c r="V376" i="2"/>
  <c r="R376" i="2"/>
  <c r="S376" i="2"/>
  <c r="T376" i="2" s="1"/>
  <c r="P570" i="2"/>
  <c r="G570" i="2"/>
  <c r="H570" i="2" s="1"/>
  <c r="BK512" i="2" s="1"/>
  <c r="N570" i="2"/>
  <c r="CA512" i="2" s="1"/>
  <c r="K570" i="2"/>
  <c r="BS512" i="2" s="1"/>
  <c r="R570" i="2"/>
  <c r="AC447" i="2"/>
  <c r="A377" i="2"/>
  <c r="U377" i="2" s="1"/>
  <c r="A450" i="2"/>
  <c r="A514" i="2"/>
  <c r="B514" i="2"/>
  <c r="B572" i="2" s="1"/>
  <c r="B377" i="2"/>
  <c r="B450" i="2"/>
  <c r="G375" i="2"/>
  <c r="H375" i="2" s="1"/>
  <c r="E373" i="2"/>
  <c r="M448" i="2"/>
  <c r="G374" i="2"/>
  <c r="AK317" i="2" s="1"/>
  <c r="AL317" i="2" s="1"/>
  <c r="P318" i="2"/>
  <c r="Q318" i="2" s="1"/>
  <c r="A571" i="2"/>
  <c r="Q571" i="2" s="1"/>
  <c r="BI318" i="2"/>
  <c r="BJ318" i="2" s="1"/>
  <c r="U319" i="2"/>
  <c r="P376" i="2" s="1"/>
  <c r="Q376" i="2" s="1"/>
  <c r="AS316" i="2"/>
  <c r="AT316" i="2" s="1"/>
  <c r="D513" i="2"/>
  <c r="E513" i="2" s="1"/>
  <c r="I513" i="2" s="1"/>
  <c r="P319" i="2"/>
  <c r="Q319" i="2" s="1"/>
  <c r="O317" i="2"/>
  <c r="J374" i="2" s="1"/>
  <c r="T317" i="2"/>
  <c r="W257" i="2"/>
  <c r="AJ318" i="2"/>
  <c r="N318" i="2"/>
  <c r="BL318" i="2"/>
  <c r="BN318" i="2" s="1"/>
  <c r="CE511" i="2"/>
  <c r="BL320" i="2"/>
  <c r="AY514" i="2"/>
  <c r="AI513" i="2"/>
  <c r="BU511" i="2"/>
  <c r="BW511" i="2"/>
  <c r="BY511" i="2" s="1"/>
  <c r="BX512" i="2"/>
  <c r="AR512" i="2"/>
  <c r="AS512" i="2" s="1"/>
  <c r="AZ319" i="2"/>
  <c r="AM513" i="2"/>
  <c r="AN512" i="2"/>
  <c r="AO512" i="2" s="1"/>
  <c r="BD446" i="2"/>
  <c r="BD445" i="2"/>
  <c r="AY446" i="2"/>
  <c r="BA316" i="2"/>
  <c r="BB316" i="2" s="1"/>
  <c r="BE317" i="2"/>
  <c r="BF317" i="2" s="1"/>
  <c r="H258" i="2"/>
  <c r="J258" i="2" s="1"/>
  <c r="H200" i="9"/>
  <c r="J200" i="9" s="1"/>
  <c r="G453" i="9" s="1"/>
  <c r="M257" i="2"/>
  <c r="AN318" i="2"/>
  <c r="Q257" i="2"/>
  <c r="R259" i="2"/>
  <c r="S259" i="2"/>
  <c r="L200" i="9"/>
  <c r="AO317" i="2"/>
  <c r="AP317" i="2" s="1"/>
  <c r="O200" i="9"/>
  <c r="AV320" i="2" s="1"/>
  <c r="Q200" i="9"/>
  <c r="I317" i="9" s="1"/>
  <c r="K201" i="9"/>
  <c r="L201" i="9" s="1"/>
  <c r="I201" i="9"/>
  <c r="R201" i="9" s="1"/>
  <c r="L318" i="9" s="1"/>
  <c r="E201" i="9"/>
  <c r="C201" i="9"/>
  <c r="D201" i="9" s="1"/>
  <c r="F201" i="9" s="1"/>
  <c r="G201" i="9"/>
  <c r="A202" i="9"/>
  <c r="B201" i="9"/>
  <c r="B261" i="9" s="1"/>
  <c r="B136" i="1"/>
  <c r="A203" i="9" s="1"/>
  <c r="C320" i="2"/>
  <c r="U320" i="2" s="1"/>
  <c r="D320" i="2"/>
  <c r="H320" i="2" s="1"/>
  <c r="F320" i="2"/>
  <c r="G320" i="2" s="1"/>
  <c r="C134" i="1"/>
  <c r="R319" i="2"/>
  <c r="S319" i="2" s="1"/>
  <c r="B259" i="2"/>
  <c r="B321" i="2" s="1"/>
  <c r="A321" i="2"/>
  <c r="P258" i="2"/>
  <c r="T258" i="2"/>
  <c r="L377" i="2" s="1"/>
  <c r="L258" i="2"/>
  <c r="A260" i="2"/>
  <c r="E259" i="2"/>
  <c r="K259" i="2"/>
  <c r="O259" i="2" s="1"/>
  <c r="I259" i="2"/>
  <c r="T259" i="2" s="1"/>
  <c r="V259" i="2"/>
  <c r="G259" i="2"/>
  <c r="C259" i="2"/>
  <c r="D259" i="2" s="1"/>
  <c r="F259" i="2" s="1"/>
  <c r="A137" i="1"/>
  <c r="P453" i="9" l="1"/>
  <c r="M389" i="9"/>
  <c r="K451" i="2"/>
  <c r="L451" i="2"/>
  <c r="L321" i="2"/>
  <c r="W321" i="2"/>
  <c r="M321" i="2"/>
  <c r="R450" i="2"/>
  <c r="U450" i="2"/>
  <c r="O450" i="2"/>
  <c r="N514" i="2"/>
  <c r="J450" i="2"/>
  <c r="I450" i="2"/>
  <c r="S450" i="2"/>
  <c r="P450" i="2"/>
  <c r="T450" i="2"/>
  <c r="Q450" i="2"/>
  <c r="N450" i="2"/>
  <c r="D571" i="2"/>
  <c r="BC513" i="2" s="1"/>
  <c r="E571" i="2"/>
  <c r="E321" i="2"/>
  <c r="J321" i="2"/>
  <c r="L389" i="9"/>
  <c r="O453" i="9" s="1"/>
  <c r="M261" i="9"/>
  <c r="K454" i="9" s="1"/>
  <c r="H261" i="9"/>
  <c r="K321" i="2"/>
  <c r="I321" i="2"/>
  <c r="V321" i="2"/>
  <c r="D261" i="9"/>
  <c r="G261" i="9"/>
  <c r="K317" i="9"/>
  <c r="O387" i="9"/>
  <c r="I260" i="9"/>
  <c r="J260" i="9" s="1"/>
  <c r="G317" i="9" s="1"/>
  <c r="H317" i="9" s="1"/>
  <c r="O388" i="9"/>
  <c r="G389" i="9"/>
  <c r="AG446" i="2"/>
  <c r="AH446" i="2" s="1"/>
  <c r="AI446" i="2" s="1"/>
  <c r="AE446" i="2"/>
  <c r="AE447" i="2"/>
  <c r="AG447" i="2"/>
  <c r="AF447" i="2"/>
  <c r="AN319" i="2"/>
  <c r="E316" i="9"/>
  <c r="AP449" i="2"/>
  <c r="AN445" i="2"/>
  <c r="V446" i="2"/>
  <c r="W446" i="2"/>
  <c r="T389" i="9"/>
  <c r="Q389" i="9"/>
  <c r="R389" i="9"/>
  <c r="P203" i="9"/>
  <c r="F320" i="9" s="1"/>
  <c r="A263" i="9"/>
  <c r="B454" i="9"/>
  <c r="B512" i="9" s="1"/>
  <c r="B390" i="9"/>
  <c r="C390" i="9" s="1"/>
  <c r="B318" i="9"/>
  <c r="P202" i="9"/>
  <c r="F319" i="9" s="1"/>
  <c r="A262" i="9"/>
  <c r="E389" i="9"/>
  <c r="F389" i="9" s="1"/>
  <c r="H389" i="9"/>
  <c r="L453" i="9" s="1"/>
  <c r="M453" i="9" s="1"/>
  <c r="D389" i="9"/>
  <c r="I389" i="9"/>
  <c r="J454" i="9"/>
  <c r="I454" i="9"/>
  <c r="A454" i="9"/>
  <c r="A390" i="9"/>
  <c r="A318" i="9"/>
  <c r="S390" i="9" s="1"/>
  <c r="L261" i="9"/>
  <c r="M318" i="9" s="1"/>
  <c r="N318" i="9" s="1"/>
  <c r="C261" i="9"/>
  <c r="E261" i="9"/>
  <c r="F261" i="9" s="1"/>
  <c r="K261" i="9"/>
  <c r="J318" i="9" s="1"/>
  <c r="A511" i="9"/>
  <c r="D453" i="9"/>
  <c r="E453" i="9" s="1"/>
  <c r="BU512" i="2"/>
  <c r="L570" i="2"/>
  <c r="G514" i="2"/>
  <c r="AE514" i="2" s="1"/>
  <c r="D514" i="2"/>
  <c r="E514" i="2" s="1"/>
  <c r="I514" i="2" s="1"/>
  <c r="AC448" i="2"/>
  <c r="E374" i="2"/>
  <c r="AD448" i="2"/>
  <c r="H201" i="9"/>
  <c r="J201" i="9" s="1"/>
  <c r="D374" i="2"/>
  <c r="AG317" i="2" s="1"/>
  <c r="AH317" i="2" s="1"/>
  <c r="H374" i="2"/>
  <c r="K513" i="2"/>
  <c r="L513" i="2" s="1"/>
  <c r="AM515" i="2"/>
  <c r="L378" i="2"/>
  <c r="AZ321" i="2" s="1"/>
  <c r="I375" i="2"/>
  <c r="AR318" i="2" s="1"/>
  <c r="C375" i="2"/>
  <c r="AF318" i="2" s="1"/>
  <c r="P377" i="2"/>
  <c r="A572" i="2"/>
  <c r="Q572" i="2" s="1"/>
  <c r="R377" i="2"/>
  <c r="S377" i="2"/>
  <c r="T377" i="2" s="1"/>
  <c r="V377" i="2"/>
  <c r="E450" i="2"/>
  <c r="F450" i="2" s="1"/>
  <c r="H450" i="2"/>
  <c r="D450" i="2"/>
  <c r="F376" i="2"/>
  <c r="AJ319" i="2" s="1"/>
  <c r="B378" i="2"/>
  <c r="B515" i="2"/>
  <c r="B573" i="2" s="1"/>
  <c r="B451" i="2"/>
  <c r="AS317" i="2"/>
  <c r="AT317" i="2" s="1"/>
  <c r="K571" i="2"/>
  <c r="BS513" i="2" s="1"/>
  <c r="P571" i="2"/>
  <c r="R571" i="2"/>
  <c r="N571" i="2"/>
  <c r="CA513" i="2" s="1"/>
  <c r="G571" i="2"/>
  <c r="H571" i="2" s="1"/>
  <c r="BK513" i="2" s="1"/>
  <c r="K374" i="2"/>
  <c r="J571" i="2"/>
  <c r="M449" i="2"/>
  <c r="A378" i="2"/>
  <c r="U378" i="2" s="1"/>
  <c r="A515" i="2"/>
  <c r="A451" i="2"/>
  <c r="M374" i="2"/>
  <c r="N374" i="2" s="1"/>
  <c r="C450" i="2"/>
  <c r="G450" i="2" s="1"/>
  <c r="BI319" i="2"/>
  <c r="BJ319" i="2" s="1"/>
  <c r="O318" i="2"/>
  <c r="J375" i="2" s="1"/>
  <c r="T318" i="2"/>
  <c r="W258" i="2"/>
  <c r="AK318" i="2"/>
  <c r="AL318" i="2" s="1"/>
  <c r="N319" i="2"/>
  <c r="CE512" i="2"/>
  <c r="BL321" i="2"/>
  <c r="AY515" i="2"/>
  <c r="BD320" i="2"/>
  <c r="AQ514" i="2"/>
  <c r="CE513" i="2"/>
  <c r="BM320" i="2"/>
  <c r="BN320" i="2" s="1"/>
  <c r="AN513" i="2"/>
  <c r="AO513" i="2" s="1"/>
  <c r="BT513" i="2"/>
  <c r="BO513" i="2"/>
  <c r="BW512" i="2"/>
  <c r="BY512" i="2" s="1"/>
  <c r="BW513" i="2"/>
  <c r="BY513" i="2" s="1"/>
  <c r="AZ320" i="2"/>
  <c r="AM514" i="2"/>
  <c r="AM447" i="2"/>
  <c r="AZ446" i="2"/>
  <c r="BC447" i="2"/>
  <c r="AY447" i="2"/>
  <c r="BE318" i="2"/>
  <c r="BF318" i="2" s="1"/>
  <c r="BE319" i="2"/>
  <c r="BF319" i="2" s="1"/>
  <c r="AW317" i="2"/>
  <c r="AX317" i="2" s="1"/>
  <c r="N257" i="2"/>
  <c r="H259" i="2"/>
  <c r="J259" i="2" s="1"/>
  <c r="Q258" i="2"/>
  <c r="R260" i="2"/>
  <c r="S260" i="2"/>
  <c r="M200" i="9"/>
  <c r="C317" i="9" s="1"/>
  <c r="AO319" i="2"/>
  <c r="AO318" i="2"/>
  <c r="AP318" i="2" s="1"/>
  <c r="N201" i="9"/>
  <c r="O201" i="9" s="1"/>
  <c r="AV321" i="2" s="1"/>
  <c r="K202" i="9"/>
  <c r="L202" i="9" s="1"/>
  <c r="G202" i="9"/>
  <c r="I202" i="9"/>
  <c r="Q202" i="9" s="1"/>
  <c r="I319" i="9" s="1"/>
  <c r="E202" i="9"/>
  <c r="C202" i="9"/>
  <c r="D202" i="9" s="1"/>
  <c r="F202" i="9" s="1"/>
  <c r="Q201" i="9"/>
  <c r="K203" i="9"/>
  <c r="N203" i="9" s="1"/>
  <c r="G203" i="9"/>
  <c r="I203" i="9"/>
  <c r="Q203" i="9" s="1"/>
  <c r="I320" i="9" s="1"/>
  <c r="E203" i="9"/>
  <c r="C203" i="9"/>
  <c r="D203" i="9" s="1"/>
  <c r="F203" i="9" s="1"/>
  <c r="B202" i="9"/>
  <c r="B262" i="9" s="1"/>
  <c r="B203" i="9"/>
  <c r="B263" i="9" s="1"/>
  <c r="C135" i="1"/>
  <c r="A261" i="2"/>
  <c r="B137" i="1"/>
  <c r="C136" i="1" s="1"/>
  <c r="R320" i="2"/>
  <c r="S320" i="2" s="1"/>
  <c r="C321" i="2"/>
  <c r="U321" i="2" s="1"/>
  <c r="P378" i="2" s="1"/>
  <c r="D321" i="2"/>
  <c r="H321" i="2" s="1"/>
  <c r="F321" i="2"/>
  <c r="G321" i="2" s="1"/>
  <c r="A322" i="2"/>
  <c r="B260" i="2"/>
  <c r="B322" i="2" s="1"/>
  <c r="P259" i="2"/>
  <c r="U259" i="2"/>
  <c r="L259" i="2"/>
  <c r="M258" i="2"/>
  <c r="I260" i="2"/>
  <c r="K260" i="2"/>
  <c r="O260" i="2" s="1"/>
  <c r="V260" i="2"/>
  <c r="E260" i="2"/>
  <c r="G260" i="2"/>
  <c r="C260" i="2"/>
  <c r="D260" i="2" s="1"/>
  <c r="F260" i="2" s="1"/>
  <c r="A138" i="1"/>
  <c r="P454" i="9" l="1"/>
  <c r="M390" i="9"/>
  <c r="Q511" i="9"/>
  <c r="E511" i="9"/>
  <c r="D511" i="9"/>
  <c r="BG514" i="2" s="1"/>
  <c r="L452" i="2"/>
  <c r="K452" i="2"/>
  <c r="W322" i="2"/>
  <c r="M322" i="2"/>
  <c r="L322" i="2"/>
  <c r="N515" i="2"/>
  <c r="S451" i="2"/>
  <c r="Q451" i="2"/>
  <c r="U451" i="2"/>
  <c r="R451" i="2"/>
  <c r="I451" i="2"/>
  <c r="T451" i="2"/>
  <c r="J451" i="2"/>
  <c r="P451" i="2"/>
  <c r="O451" i="2"/>
  <c r="N451" i="2"/>
  <c r="D572" i="2"/>
  <c r="BC514" i="2" s="1"/>
  <c r="E572" i="2"/>
  <c r="E322" i="2"/>
  <c r="J322" i="2"/>
  <c r="M263" i="9"/>
  <c r="K456" i="9" s="1"/>
  <c r="H263" i="9"/>
  <c r="H262" i="9"/>
  <c r="M262" i="9"/>
  <c r="K455" i="9" s="1"/>
  <c r="L390" i="9"/>
  <c r="O454" i="9" s="1"/>
  <c r="K322" i="2"/>
  <c r="I322" i="2"/>
  <c r="V322" i="2"/>
  <c r="D262" i="9"/>
  <c r="G262" i="9"/>
  <c r="D263" i="9"/>
  <c r="G263" i="9"/>
  <c r="D317" i="9"/>
  <c r="G390" i="9"/>
  <c r="J389" i="9"/>
  <c r="K389" i="9" s="1"/>
  <c r="N389" i="9" s="1"/>
  <c r="P389" i="9" s="1"/>
  <c r="AL450" i="2" s="1"/>
  <c r="E317" i="9"/>
  <c r="I261" i="9"/>
  <c r="J261" i="9" s="1"/>
  <c r="G318" i="9" s="1"/>
  <c r="H318" i="9" s="1"/>
  <c r="J511" i="9"/>
  <c r="BX514" i="2" s="1"/>
  <c r="W447" i="2"/>
  <c r="V447" i="2"/>
  <c r="M201" i="9"/>
  <c r="C318" i="9" s="1"/>
  <c r="AN321" i="2" s="1"/>
  <c r="G454" i="9"/>
  <c r="AI515" i="2" s="1"/>
  <c r="AH447" i="2"/>
  <c r="AI447" i="2"/>
  <c r="AN447" i="2" s="1"/>
  <c r="AF448" i="2"/>
  <c r="AP319" i="2"/>
  <c r="AG448" i="2"/>
  <c r="AE448" i="2"/>
  <c r="AK450" i="2"/>
  <c r="AT450" i="2"/>
  <c r="AP450" i="2"/>
  <c r="AN446" i="2"/>
  <c r="A512" i="9"/>
  <c r="D454" i="9"/>
  <c r="E454" i="9" s="1"/>
  <c r="J512" i="9" s="1"/>
  <c r="AQ515" i="2"/>
  <c r="I318" i="9"/>
  <c r="A456" i="9"/>
  <c r="J456" i="9"/>
  <c r="I456" i="9"/>
  <c r="A320" i="9"/>
  <c r="S392" i="9" s="1"/>
  <c r="A392" i="9"/>
  <c r="L263" i="9"/>
  <c r="M320" i="9" s="1"/>
  <c r="BM323" i="2" s="1"/>
  <c r="C263" i="9"/>
  <c r="E263" i="9"/>
  <c r="F263" i="9" s="1"/>
  <c r="K263" i="9"/>
  <c r="J320" i="9" s="1"/>
  <c r="K320" i="9" s="1"/>
  <c r="B456" i="9"/>
  <c r="B514" i="9" s="1"/>
  <c r="B320" i="9"/>
  <c r="B392" i="9"/>
  <c r="C392" i="9" s="1"/>
  <c r="B455" i="9"/>
  <c r="B513" i="9" s="1"/>
  <c r="B319" i="9"/>
  <c r="B391" i="9"/>
  <c r="C391" i="9" s="1"/>
  <c r="AR514" i="2"/>
  <c r="E262" i="9"/>
  <c r="F262" i="9" s="1"/>
  <c r="I455" i="9"/>
  <c r="A455" i="9"/>
  <c r="A319" i="9"/>
  <c r="S391" i="9" s="1"/>
  <c r="J455" i="9"/>
  <c r="A391" i="9"/>
  <c r="L262" i="9"/>
  <c r="M319" i="9" s="1"/>
  <c r="BM322" i="2" s="1"/>
  <c r="C262" i="9"/>
  <c r="K262" i="9"/>
  <c r="J319" i="9" s="1"/>
  <c r="K319" i="9" s="1"/>
  <c r="R390" i="9"/>
  <c r="T390" i="9"/>
  <c r="Q390" i="9"/>
  <c r="I511" i="9"/>
  <c r="G511" i="9"/>
  <c r="H511" i="9"/>
  <c r="P511" i="9"/>
  <c r="O511" i="9"/>
  <c r="R511" i="9"/>
  <c r="L511" i="9"/>
  <c r="K511" i="9"/>
  <c r="BW514" i="2" s="1"/>
  <c r="N511" i="9"/>
  <c r="H390" i="9"/>
  <c r="L454" i="9" s="1"/>
  <c r="M454" i="9" s="1"/>
  <c r="I390" i="9"/>
  <c r="D390" i="9"/>
  <c r="E390" i="9"/>
  <c r="F390" i="9" s="1"/>
  <c r="K514" i="2"/>
  <c r="L514" i="2" s="1"/>
  <c r="L571" i="2"/>
  <c r="M450" i="2"/>
  <c r="G515" i="2"/>
  <c r="AE515" i="2" s="1"/>
  <c r="W259" i="2"/>
  <c r="F378" i="2" s="1"/>
  <c r="BI320" i="2"/>
  <c r="BJ320" i="2" s="1"/>
  <c r="Q377" i="2"/>
  <c r="J572" i="2"/>
  <c r="P320" i="2"/>
  <c r="Q320" i="2" s="1"/>
  <c r="AC449" i="2"/>
  <c r="AD449" i="2"/>
  <c r="BU513" i="2"/>
  <c r="BA317" i="2"/>
  <c r="BB317" i="2" s="1"/>
  <c r="E451" i="2"/>
  <c r="F451" i="2" s="1"/>
  <c r="H451" i="2"/>
  <c r="D451" i="2"/>
  <c r="A379" i="2"/>
  <c r="U379" i="2" s="1"/>
  <c r="A452" i="2"/>
  <c r="A516" i="2"/>
  <c r="E375" i="2"/>
  <c r="C451" i="2"/>
  <c r="G451" i="2" s="1"/>
  <c r="AU515" i="2"/>
  <c r="O378" i="2"/>
  <c r="Q378" i="2" s="1"/>
  <c r="V378" i="2"/>
  <c r="R378" i="2"/>
  <c r="S378" i="2"/>
  <c r="T378" i="2" s="1"/>
  <c r="B379" i="2"/>
  <c r="B516" i="2"/>
  <c r="B574" i="2" s="1"/>
  <c r="B452" i="2"/>
  <c r="C376" i="2"/>
  <c r="AF319" i="2" s="1"/>
  <c r="I376" i="2"/>
  <c r="AR319" i="2" s="1"/>
  <c r="F377" i="2"/>
  <c r="D375" i="2"/>
  <c r="AG318" i="2" s="1"/>
  <c r="AH318" i="2" s="1"/>
  <c r="M375" i="2"/>
  <c r="N375" i="2" s="1"/>
  <c r="A573" i="2"/>
  <c r="Q573" i="2" s="1"/>
  <c r="G376" i="2"/>
  <c r="AK319" i="2" s="1"/>
  <c r="AL319" i="2" s="1"/>
  <c r="N572" i="2"/>
  <c r="CA514" i="2" s="1"/>
  <c r="G572" i="2"/>
  <c r="H572" i="2" s="1"/>
  <c r="K572" i="2"/>
  <c r="BS514" i="2" s="1"/>
  <c r="P572" i="2"/>
  <c r="R572" i="2"/>
  <c r="K375" i="2"/>
  <c r="BI321" i="2"/>
  <c r="D515" i="2"/>
  <c r="E515" i="2" s="1"/>
  <c r="I515" i="2" s="1"/>
  <c r="AS318" i="2"/>
  <c r="AT318" i="2" s="1"/>
  <c r="O319" i="2"/>
  <c r="K376" i="2" s="1"/>
  <c r="T319" i="2"/>
  <c r="M376" i="2" s="1"/>
  <c r="N376" i="2" s="1"/>
  <c r="N320" i="2"/>
  <c r="AS514" i="2"/>
  <c r="M259" i="2"/>
  <c r="BM321" i="2"/>
  <c r="BN321" i="2" s="1"/>
  <c r="BD322" i="2"/>
  <c r="AQ516" i="2"/>
  <c r="BD323" i="2"/>
  <c r="AQ517" i="2"/>
  <c r="AI514" i="2"/>
  <c r="AN514" i="2"/>
  <c r="AO514" i="2" s="1"/>
  <c r="BT514" i="2"/>
  <c r="AY448" i="2"/>
  <c r="AZ447" i="2"/>
  <c r="BD447" i="2"/>
  <c r="BC449" i="2"/>
  <c r="BC448" i="2"/>
  <c r="AM448" i="2"/>
  <c r="AM449" i="2"/>
  <c r="AW318" i="2"/>
  <c r="AX318" i="2" s="1"/>
  <c r="AW319" i="2"/>
  <c r="AX319" i="2" s="1"/>
  <c r="H202" i="9"/>
  <c r="J202" i="9" s="1"/>
  <c r="M202" i="9" s="1"/>
  <c r="C319" i="9" s="1"/>
  <c r="H260" i="2"/>
  <c r="J260" i="2" s="1"/>
  <c r="H203" i="9"/>
  <c r="J203" i="9" s="1"/>
  <c r="G456" i="9" s="1"/>
  <c r="AN320" i="2"/>
  <c r="Q259" i="2"/>
  <c r="R261" i="2"/>
  <c r="S261" i="2"/>
  <c r="N258" i="2"/>
  <c r="O203" i="9"/>
  <c r="AV323" i="2" s="1"/>
  <c r="L203" i="9"/>
  <c r="R202" i="9"/>
  <c r="R203" i="9"/>
  <c r="N202" i="9"/>
  <c r="O202" i="9" s="1"/>
  <c r="AV322" i="2" s="1"/>
  <c r="A262" i="2"/>
  <c r="A204" i="9"/>
  <c r="V261" i="2"/>
  <c r="A323" i="2"/>
  <c r="E261" i="2"/>
  <c r="K261" i="2"/>
  <c r="O261" i="2" s="1"/>
  <c r="I261" i="2"/>
  <c r="T261" i="2" s="1"/>
  <c r="C261" i="2"/>
  <c r="D261" i="2" s="1"/>
  <c r="F261" i="2" s="1"/>
  <c r="G261" i="2"/>
  <c r="B261" i="2"/>
  <c r="B323" i="2" s="1"/>
  <c r="B138" i="1"/>
  <c r="F322" i="2"/>
  <c r="G322" i="2" s="1"/>
  <c r="C322" i="2"/>
  <c r="U322" i="2" s="1"/>
  <c r="P379" i="2" s="1"/>
  <c r="R321" i="2"/>
  <c r="S321" i="2" s="1"/>
  <c r="P260" i="2"/>
  <c r="L260" i="2"/>
  <c r="U260" i="2"/>
  <c r="D322" i="2"/>
  <c r="H322" i="2" s="1"/>
  <c r="T260" i="2"/>
  <c r="A139" i="1"/>
  <c r="P455" i="9" l="1"/>
  <c r="M391" i="9"/>
  <c r="P456" i="9"/>
  <c r="M392" i="9"/>
  <c r="Q512" i="9"/>
  <c r="E512" i="9"/>
  <c r="D512" i="9"/>
  <c r="BG515" i="2" s="1"/>
  <c r="L453" i="2"/>
  <c r="K453" i="2"/>
  <c r="M323" i="2"/>
  <c r="L323" i="2"/>
  <c r="W323" i="2"/>
  <c r="O452" i="2"/>
  <c r="I452" i="2"/>
  <c r="U452" i="2"/>
  <c r="T452" i="2"/>
  <c r="R452" i="2"/>
  <c r="Q452" i="2"/>
  <c r="P452" i="2"/>
  <c r="N516" i="2"/>
  <c r="S452" i="2"/>
  <c r="J452" i="2"/>
  <c r="N452" i="2"/>
  <c r="D573" i="2"/>
  <c r="BC515" i="2" s="1"/>
  <c r="E573" i="2"/>
  <c r="E323" i="2"/>
  <c r="J323" i="2"/>
  <c r="L391" i="9"/>
  <c r="O455" i="9" s="1"/>
  <c r="L392" i="9"/>
  <c r="O456" i="9" s="1"/>
  <c r="V323" i="2"/>
  <c r="K323" i="2"/>
  <c r="I323" i="2"/>
  <c r="O389" i="9"/>
  <c r="J390" i="9"/>
  <c r="K390" i="9" s="1"/>
  <c r="N390" i="9" s="1"/>
  <c r="P390" i="9" s="1"/>
  <c r="AL451" i="2" s="1"/>
  <c r="D318" i="9"/>
  <c r="G391" i="9"/>
  <c r="I263" i="9"/>
  <c r="J263" i="9" s="1"/>
  <c r="G320" i="9" s="1"/>
  <c r="H320" i="9" s="1"/>
  <c r="I262" i="9"/>
  <c r="J262" i="9" s="1"/>
  <c r="D319" i="9" s="1"/>
  <c r="E319" i="9" s="1"/>
  <c r="AT451" i="2"/>
  <c r="AH448" i="2"/>
  <c r="AI448" i="2" s="1"/>
  <c r="AN448" i="2" s="1"/>
  <c r="G455" i="9"/>
  <c r="BD321" i="2"/>
  <c r="K318" i="9"/>
  <c r="AF449" i="2"/>
  <c r="AD450" i="2"/>
  <c r="AG449" i="2"/>
  <c r="AE449" i="2"/>
  <c r="V448" i="2"/>
  <c r="W448" i="2"/>
  <c r="G392" i="9"/>
  <c r="E318" i="9"/>
  <c r="AP451" i="2"/>
  <c r="AR515" i="2"/>
  <c r="AS515" i="2" s="1"/>
  <c r="AY517" i="2"/>
  <c r="L320" i="9"/>
  <c r="N320" i="9" s="1"/>
  <c r="AK451" i="2"/>
  <c r="I391" i="9"/>
  <c r="H391" i="9"/>
  <c r="L455" i="9" s="1"/>
  <c r="M455" i="9" s="1"/>
  <c r="E391" i="9"/>
  <c r="F391" i="9" s="1"/>
  <c r="D391" i="9"/>
  <c r="D455" i="9"/>
  <c r="E455" i="9" s="1"/>
  <c r="A513" i="9"/>
  <c r="Q391" i="9"/>
  <c r="R391" i="9"/>
  <c r="T391" i="9"/>
  <c r="A514" i="9"/>
  <c r="D456" i="9"/>
  <c r="E456" i="9" s="1"/>
  <c r="Q392" i="9"/>
  <c r="R392" i="9"/>
  <c r="T392" i="9"/>
  <c r="AY516" i="2"/>
  <c r="L319" i="9"/>
  <c r="N319" i="9" s="1"/>
  <c r="D392" i="9"/>
  <c r="E392" i="9"/>
  <c r="F392" i="9" s="1"/>
  <c r="H392" i="9"/>
  <c r="L456" i="9" s="1"/>
  <c r="M456" i="9" s="1"/>
  <c r="I392" i="9"/>
  <c r="P204" i="9"/>
  <c r="F321" i="9" s="1"/>
  <c r="A264" i="9"/>
  <c r="K512" i="9"/>
  <c r="P512" i="9"/>
  <c r="G512" i="9"/>
  <c r="H512" i="9"/>
  <c r="BO515" i="2" s="1"/>
  <c r="R512" i="9"/>
  <c r="I512" i="9"/>
  <c r="L512" i="9"/>
  <c r="N512" i="9"/>
  <c r="O512" i="9"/>
  <c r="BK514" i="2"/>
  <c r="G516" i="2"/>
  <c r="AE516" i="2" s="1"/>
  <c r="L572" i="2"/>
  <c r="M451" i="2"/>
  <c r="K515" i="2"/>
  <c r="L515" i="2" s="1"/>
  <c r="P321" i="2"/>
  <c r="Q321" i="2" s="1"/>
  <c r="G378" i="2"/>
  <c r="H378" i="2" s="1"/>
  <c r="C377" i="2"/>
  <c r="AF320" i="2" s="1"/>
  <c r="I377" i="2"/>
  <c r="AR320" i="2" s="1"/>
  <c r="G377" i="2"/>
  <c r="AK320" i="2" s="1"/>
  <c r="C452" i="2"/>
  <c r="G452" i="2" s="1"/>
  <c r="AM516" i="2"/>
  <c r="L379" i="2"/>
  <c r="B380" i="2"/>
  <c r="B453" i="2"/>
  <c r="B517" i="2"/>
  <c r="B575" i="2" s="1"/>
  <c r="H376" i="2"/>
  <c r="AJ320" i="2"/>
  <c r="A574" i="2"/>
  <c r="Q574" i="2" s="1"/>
  <c r="A517" i="2"/>
  <c r="A453" i="2"/>
  <c r="A380" i="2"/>
  <c r="U380" i="2" s="1"/>
  <c r="G573" i="2"/>
  <c r="H573" i="2" s="1"/>
  <c r="P573" i="2"/>
  <c r="R573" i="2"/>
  <c r="K573" i="2"/>
  <c r="BS515" i="2" s="1"/>
  <c r="N573" i="2"/>
  <c r="CA515" i="2" s="1"/>
  <c r="AM517" i="2"/>
  <c r="L380" i="2"/>
  <c r="AZ323" i="2" s="1"/>
  <c r="J573" i="2"/>
  <c r="R379" i="2"/>
  <c r="V379" i="2"/>
  <c r="S379" i="2"/>
  <c r="T379" i="2" s="1"/>
  <c r="AU516" i="2"/>
  <c r="O379" i="2"/>
  <c r="Q379" i="2" s="1"/>
  <c r="AJ321" i="2"/>
  <c r="E376" i="2"/>
  <c r="J376" i="2"/>
  <c r="AS319" i="2" s="1"/>
  <c r="AT319" i="2" s="1"/>
  <c r="BA318" i="2"/>
  <c r="BB318" i="2" s="1"/>
  <c r="D376" i="2"/>
  <c r="AG319" i="2" s="1"/>
  <c r="AH319" i="2" s="1"/>
  <c r="E452" i="2"/>
  <c r="F452" i="2" s="1"/>
  <c r="H452" i="2"/>
  <c r="D452" i="2"/>
  <c r="BI322" i="2"/>
  <c r="W260" i="2"/>
  <c r="BA319" i="2"/>
  <c r="BB319" i="2" s="1"/>
  <c r="O320" i="2"/>
  <c r="T320" i="2"/>
  <c r="M377" i="2" s="1"/>
  <c r="N377" i="2" s="1"/>
  <c r="N321" i="2"/>
  <c r="BU514" i="2"/>
  <c r="N259" i="2"/>
  <c r="M260" i="2"/>
  <c r="N260" i="2" s="1"/>
  <c r="CE514" i="2"/>
  <c r="BY514" i="2"/>
  <c r="BO514" i="2"/>
  <c r="AZ448" i="2"/>
  <c r="BD449" i="2"/>
  <c r="BD448" i="2"/>
  <c r="AY449" i="2"/>
  <c r="BH321" i="2"/>
  <c r="BJ321" i="2" s="1"/>
  <c r="BE320" i="2"/>
  <c r="BF320" i="2" s="1"/>
  <c r="H261" i="2"/>
  <c r="J261" i="2" s="1"/>
  <c r="M203" i="9"/>
  <c r="AN322" i="2"/>
  <c r="Q260" i="2"/>
  <c r="K262" i="2"/>
  <c r="O262" i="2" s="1"/>
  <c r="R262" i="2"/>
  <c r="S262" i="2"/>
  <c r="F323" i="2"/>
  <c r="G323" i="2" s="1"/>
  <c r="BX515" i="2"/>
  <c r="AO320" i="2"/>
  <c r="AP320" i="2" s="1"/>
  <c r="I204" i="9"/>
  <c r="Q204" i="9" s="1"/>
  <c r="I321" i="9" s="1"/>
  <c r="C204" i="9"/>
  <c r="D204" i="9" s="1"/>
  <c r="F204" i="9" s="1"/>
  <c r="K204" i="9"/>
  <c r="N204" i="9" s="1"/>
  <c r="G204" i="9"/>
  <c r="E204" i="9"/>
  <c r="E262" i="2"/>
  <c r="G262" i="2"/>
  <c r="C262" i="2"/>
  <c r="D262" i="2" s="1"/>
  <c r="F262" i="2" s="1"/>
  <c r="I262" i="2"/>
  <c r="T262" i="2" s="1"/>
  <c r="B204" i="9"/>
  <c r="B264" i="9" s="1"/>
  <c r="B262" i="2"/>
  <c r="B324" i="2" s="1"/>
  <c r="C137" i="1"/>
  <c r="A205" i="9"/>
  <c r="A324" i="2"/>
  <c r="V262" i="2"/>
  <c r="C323" i="2"/>
  <c r="D323" i="2"/>
  <c r="H323" i="2" s="1"/>
  <c r="P261" i="2"/>
  <c r="Q261" i="2" s="1"/>
  <c r="U261" i="2"/>
  <c r="O380" i="2" s="1"/>
  <c r="A263" i="2"/>
  <c r="L261" i="2"/>
  <c r="B139" i="1"/>
  <c r="R322" i="2"/>
  <c r="S322" i="2" s="1"/>
  <c r="BT515" i="2"/>
  <c r="A140" i="1"/>
  <c r="B140" i="1" s="1"/>
  <c r="A207" i="9" s="1"/>
  <c r="Q513" i="9" l="1"/>
  <c r="E513" i="9"/>
  <c r="D513" i="9"/>
  <c r="BG516" i="2" s="1"/>
  <c r="Q514" i="9"/>
  <c r="E514" i="9"/>
  <c r="D514" i="9"/>
  <c r="BG517" i="2" s="1"/>
  <c r="L454" i="2"/>
  <c r="K454" i="2"/>
  <c r="W324" i="2"/>
  <c r="M324" i="2"/>
  <c r="L324" i="2"/>
  <c r="T453" i="2"/>
  <c r="I453" i="2"/>
  <c r="R453" i="2"/>
  <c r="Q453" i="2"/>
  <c r="N517" i="2"/>
  <c r="U453" i="2"/>
  <c r="S453" i="2"/>
  <c r="J453" i="2"/>
  <c r="P453" i="2"/>
  <c r="O453" i="2"/>
  <c r="N453" i="2"/>
  <c r="D574" i="2"/>
  <c r="BC516" i="2" s="1"/>
  <c r="E574" i="2"/>
  <c r="E324" i="2"/>
  <c r="J324" i="2"/>
  <c r="H264" i="9"/>
  <c r="M264" i="9"/>
  <c r="K457" i="9" s="1"/>
  <c r="I324" i="2"/>
  <c r="V324" i="2"/>
  <c r="K324" i="2"/>
  <c r="D264" i="9"/>
  <c r="G264" i="9"/>
  <c r="O390" i="9"/>
  <c r="J392" i="9"/>
  <c r="K392" i="9" s="1"/>
  <c r="N392" i="9" s="1"/>
  <c r="P392" i="9" s="1"/>
  <c r="AL453" i="2" s="1"/>
  <c r="D320" i="9"/>
  <c r="AO323" i="2" s="1"/>
  <c r="G319" i="9"/>
  <c r="H319" i="9" s="1"/>
  <c r="J391" i="9"/>
  <c r="K391" i="9" s="1"/>
  <c r="N391" i="9" s="1"/>
  <c r="P391" i="9" s="1"/>
  <c r="AL452" i="2" s="1"/>
  <c r="J514" i="9"/>
  <c r="BX517" i="2" s="1"/>
  <c r="J513" i="9"/>
  <c r="BX516" i="2" s="1"/>
  <c r="AH449" i="2"/>
  <c r="AI449" i="2" s="1"/>
  <c r="W449" i="2"/>
  <c r="V449" i="2"/>
  <c r="AC450" i="2"/>
  <c r="AF450" i="2" s="1"/>
  <c r="AI516" i="2"/>
  <c r="AK452" i="2"/>
  <c r="AT452" i="2"/>
  <c r="AP452" i="2"/>
  <c r="AK453" i="2"/>
  <c r="AT453" i="2"/>
  <c r="A267" i="9"/>
  <c r="B457" i="9"/>
  <c r="B515" i="9" s="1"/>
  <c r="B321" i="9"/>
  <c r="B393" i="9"/>
  <c r="C393" i="9" s="1"/>
  <c r="N513" i="9"/>
  <c r="K513" i="9"/>
  <c r="BW516" i="2" s="1"/>
  <c r="L513" i="9"/>
  <c r="H513" i="9"/>
  <c r="BO516" i="2" s="1"/>
  <c r="I513" i="9"/>
  <c r="O513" i="9"/>
  <c r="P513" i="9"/>
  <c r="R513" i="9"/>
  <c r="G513" i="9"/>
  <c r="P205" i="9"/>
  <c r="F322" i="9" s="1"/>
  <c r="A265" i="9"/>
  <c r="AR516" i="2"/>
  <c r="AS516" i="2" s="1"/>
  <c r="N514" i="9"/>
  <c r="G514" i="9"/>
  <c r="P514" i="9"/>
  <c r="O514" i="9"/>
  <c r="I514" i="9"/>
  <c r="K514" i="9"/>
  <c r="R514" i="9"/>
  <c r="H514" i="9"/>
  <c r="BO517" i="2" s="1"/>
  <c r="L514" i="9"/>
  <c r="C320" i="9"/>
  <c r="A457" i="9"/>
  <c r="I457" i="9"/>
  <c r="J457" i="9"/>
  <c r="A393" i="9"/>
  <c r="A321" i="9"/>
  <c r="S393" i="9" s="1"/>
  <c r="E264" i="9"/>
  <c r="F264" i="9" s="1"/>
  <c r="C264" i="9"/>
  <c r="L264" i="9"/>
  <c r="M321" i="9" s="1"/>
  <c r="BM324" i="2" s="1"/>
  <c r="K264" i="9"/>
  <c r="J321" i="9" s="1"/>
  <c r="K321" i="9" s="1"/>
  <c r="G517" i="2"/>
  <c r="AE517" i="2" s="1"/>
  <c r="BK515" i="2"/>
  <c r="L573" i="2"/>
  <c r="AD451" i="2"/>
  <c r="H377" i="2"/>
  <c r="K516" i="2"/>
  <c r="L516" i="2" s="1"/>
  <c r="AC451" i="2"/>
  <c r="K377" i="2"/>
  <c r="J377" i="2"/>
  <c r="AS320" i="2" s="1"/>
  <c r="AT320" i="2" s="1"/>
  <c r="M452" i="2"/>
  <c r="D516" i="2"/>
  <c r="E516" i="2" s="1"/>
  <c r="P322" i="2"/>
  <c r="Q322" i="2" s="1"/>
  <c r="D377" i="2"/>
  <c r="AG320" i="2" s="1"/>
  <c r="AH320" i="2" s="1"/>
  <c r="I378" i="2"/>
  <c r="AR321" i="2" s="1"/>
  <c r="C378" i="2"/>
  <c r="AF321" i="2" s="1"/>
  <c r="AZ322" i="2"/>
  <c r="E377" i="2"/>
  <c r="AL320" i="2"/>
  <c r="H453" i="2"/>
  <c r="E453" i="2"/>
  <c r="F453" i="2" s="1"/>
  <c r="D453" i="2"/>
  <c r="C453" i="2"/>
  <c r="G453" i="2" s="1"/>
  <c r="AM518" i="2"/>
  <c r="L381" i="2"/>
  <c r="BU515" i="2"/>
  <c r="A575" i="2"/>
  <c r="Q575" i="2" s="1"/>
  <c r="N574" i="2"/>
  <c r="CA516" i="2" s="1"/>
  <c r="R574" i="2"/>
  <c r="G574" i="2"/>
  <c r="H574" i="2" s="1"/>
  <c r="BK516" i="2" s="1"/>
  <c r="P574" i="2"/>
  <c r="K574" i="2"/>
  <c r="BS516" i="2" s="1"/>
  <c r="F379" i="2"/>
  <c r="A381" i="2"/>
  <c r="U381" i="2" s="1"/>
  <c r="A518" i="2"/>
  <c r="A454" i="2"/>
  <c r="B454" i="2"/>
  <c r="B518" i="2"/>
  <c r="B576" i="2" s="1"/>
  <c r="B381" i="2"/>
  <c r="R380" i="2"/>
  <c r="S380" i="2"/>
  <c r="T380" i="2" s="1"/>
  <c r="V380" i="2"/>
  <c r="U323" i="2"/>
  <c r="D517" i="2"/>
  <c r="E517" i="2" s="1"/>
  <c r="I517" i="2" s="1"/>
  <c r="O321" i="2"/>
  <c r="D378" i="2" s="1"/>
  <c r="AG321" i="2" s="1"/>
  <c r="T321" i="2"/>
  <c r="M378" i="2" s="1"/>
  <c r="N378" i="2" s="1"/>
  <c r="BA320" i="2"/>
  <c r="BB320" i="2" s="1"/>
  <c r="W261" i="2"/>
  <c r="AK321" i="2"/>
  <c r="AL321" i="2" s="1"/>
  <c r="N322" i="2"/>
  <c r="BL323" i="2"/>
  <c r="BN323" i="2" s="1"/>
  <c r="M261" i="2"/>
  <c r="BD324" i="2"/>
  <c r="AQ518" i="2"/>
  <c r="BL322" i="2"/>
  <c r="BN322" i="2" s="1"/>
  <c r="CE515" i="2"/>
  <c r="AI517" i="2"/>
  <c r="BW515" i="2"/>
  <c r="BY515" i="2" s="1"/>
  <c r="AR517" i="2"/>
  <c r="AS517" i="2" s="1"/>
  <c r="AU517" i="2"/>
  <c r="AN515" i="2"/>
  <c r="AO515" i="2" s="1"/>
  <c r="AZ449" i="2"/>
  <c r="BC450" i="2"/>
  <c r="AM451" i="2"/>
  <c r="AY450" i="2"/>
  <c r="AM450" i="2"/>
  <c r="BH322" i="2"/>
  <c r="BJ322" i="2" s="1"/>
  <c r="BE321" i="2"/>
  <c r="BF321" i="2" s="1"/>
  <c r="AW320" i="2"/>
  <c r="AX320" i="2" s="1"/>
  <c r="H204" i="9"/>
  <c r="J204" i="9" s="1"/>
  <c r="G457" i="9" s="1"/>
  <c r="H262" i="2"/>
  <c r="J262" i="2" s="1"/>
  <c r="G518" i="2" s="1"/>
  <c r="P207" i="9"/>
  <c r="F324" i="9" s="1"/>
  <c r="L262" i="2"/>
  <c r="V263" i="2"/>
  <c r="R263" i="2"/>
  <c r="S263" i="2"/>
  <c r="AO321" i="2"/>
  <c r="AP321" i="2" s="1"/>
  <c r="O204" i="9"/>
  <c r="AV324" i="2" s="1"/>
  <c r="R204" i="9"/>
  <c r="K205" i="9"/>
  <c r="N205" i="9" s="1"/>
  <c r="G205" i="9"/>
  <c r="E205" i="9"/>
  <c r="I205" i="9"/>
  <c r="R205" i="9" s="1"/>
  <c r="L322" i="9" s="1"/>
  <c r="C205" i="9"/>
  <c r="D205" i="9" s="1"/>
  <c r="F205" i="9" s="1"/>
  <c r="L204" i="9"/>
  <c r="Q207" i="9"/>
  <c r="I324" i="9" s="1"/>
  <c r="I207" i="9"/>
  <c r="O207" i="9"/>
  <c r="J207" i="9"/>
  <c r="G460" i="9" s="1"/>
  <c r="C207" i="9"/>
  <c r="D207" i="9" s="1"/>
  <c r="F207" i="9" s="1"/>
  <c r="H207" i="9" s="1"/>
  <c r="E207" i="9"/>
  <c r="L207" i="9"/>
  <c r="N207" i="9"/>
  <c r="K207" i="9"/>
  <c r="G207" i="9"/>
  <c r="R207" i="9"/>
  <c r="L324" i="9" s="1"/>
  <c r="P262" i="2"/>
  <c r="Q262" i="2" s="1"/>
  <c r="U262" i="2"/>
  <c r="O381" i="2" s="1"/>
  <c r="C324" i="2"/>
  <c r="U324" i="2" s="1"/>
  <c r="P381" i="2" s="1"/>
  <c r="F324" i="2"/>
  <c r="G324" i="2" s="1"/>
  <c r="C138" i="1"/>
  <c r="A206" i="9"/>
  <c r="A325" i="2"/>
  <c r="B205" i="9"/>
  <c r="B265" i="9" s="1"/>
  <c r="B263" i="2"/>
  <c r="B325" i="2" s="1"/>
  <c r="B207" i="9"/>
  <c r="B267" i="9" s="1"/>
  <c r="D324" i="2"/>
  <c r="H324" i="2" s="1"/>
  <c r="C263" i="2"/>
  <c r="D263" i="2" s="1"/>
  <c r="F263" i="2" s="1"/>
  <c r="R323" i="2"/>
  <c r="S323" i="2" s="1"/>
  <c r="E263" i="2"/>
  <c r="G263" i="2"/>
  <c r="I263" i="2"/>
  <c r="U263" i="2" s="1"/>
  <c r="O382" i="2" s="1"/>
  <c r="K263" i="2"/>
  <c r="O263" i="2" s="1"/>
  <c r="C139" i="1"/>
  <c r="A264" i="2"/>
  <c r="A265" i="2"/>
  <c r="A141" i="1"/>
  <c r="B141" i="1" s="1"/>
  <c r="A208" i="9" s="1"/>
  <c r="P457" i="9" l="1"/>
  <c r="M393" i="9"/>
  <c r="K455" i="2"/>
  <c r="L455" i="2"/>
  <c r="W325" i="2"/>
  <c r="M325" i="2"/>
  <c r="L325" i="2"/>
  <c r="P454" i="2"/>
  <c r="N518" i="2"/>
  <c r="S454" i="2"/>
  <c r="T454" i="2"/>
  <c r="Q454" i="2"/>
  <c r="I454" i="2"/>
  <c r="R454" i="2"/>
  <c r="O454" i="2"/>
  <c r="U454" i="2"/>
  <c r="J454" i="2"/>
  <c r="N454" i="2"/>
  <c r="E575" i="2"/>
  <c r="D575" i="2"/>
  <c r="BC517" i="2" s="1"/>
  <c r="E325" i="2"/>
  <c r="J325" i="2"/>
  <c r="M267" i="9"/>
  <c r="K460" i="9" s="1"/>
  <c r="H267" i="9"/>
  <c r="G393" i="9"/>
  <c r="L393" i="9"/>
  <c r="O457" i="9" s="1"/>
  <c r="H265" i="9"/>
  <c r="M265" i="9"/>
  <c r="K458" i="9" s="1"/>
  <c r="I325" i="2"/>
  <c r="V325" i="2"/>
  <c r="K325" i="2"/>
  <c r="D267" i="9"/>
  <c r="G267" i="9"/>
  <c r="D265" i="9"/>
  <c r="G265" i="9"/>
  <c r="O392" i="9"/>
  <c r="O391" i="9"/>
  <c r="I264" i="9"/>
  <c r="J264" i="9" s="1"/>
  <c r="G321" i="9" s="1"/>
  <c r="H321" i="9" s="1"/>
  <c r="AG451" i="2"/>
  <c r="AE451" i="2"/>
  <c r="V450" i="2"/>
  <c r="W450" i="2"/>
  <c r="AF451" i="2"/>
  <c r="AN323" i="2"/>
  <c r="AP323" i="2" s="1"/>
  <c r="E320" i="9"/>
  <c r="AE450" i="2"/>
  <c r="AG450" i="2"/>
  <c r="AP453" i="2"/>
  <c r="AI521" i="2"/>
  <c r="P206" i="9"/>
  <c r="F323" i="9" s="1"/>
  <c r="A266" i="9"/>
  <c r="R393" i="9"/>
  <c r="T393" i="9"/>
  <c r="Q393" i="9"/>
  <c r="B458" i="9"/>
  <c r="B516" i="9" s="1"/>
  <c r="B322" i="9"/>
  <c r="B394" i="9"/>
  <c r="C394" i="9" s="1"/>
  <c r="D393" i="9"/>
  <c r="E393" i="9"/>
  <c r="F393" i="9" s="1"/>
  <c r="I393" i="9"/>
  <c r="H393" i="9"/>
  <c r="L457" i="9" s="1"/>
  <c r="M457" i="9" s="1"/>
  <c r="C265" i="9"/>
  <c r="I458" i="9"/>
  <c r="J458" i="9"/>
  <c r="A322" i="9"/>
  <c r="S394" i="9" s="1"/>
  <c r="A458" i="9"/>
  <c r="A394" i="9"/>
  <c r="L265" i="9"/>
  <c r="M322" i="9" s="1"/>
  <c r="N322" i="9" s="1"/>
  <c r="K265" i="9"/>
  <c r="J322" i="9" s="1"/>
  <c r="E265" i="9"/>
  <c r="F265" i="9" s="1"/>
  <c r="I460" i="9"/>
  <c r="J460" i="9"/>
  <c r="A324" i="9"/>
  <c r="S396" i="9" s="1"/>
  <c r="A460" i="9"/>
  <c r="A396" i="9"/>
  <c r="E267" i="9"/>
  <c r="F267" i="9" s="1"/>
  <c r="L267" i="9"/>
  <c r="M324" i="9" s="1"/>
  <c r="BM327" i="2" s="1"/>
  <c r="K267" i="9"/>
  <c r="J324" i="9" s="1"/>
  <c r="BE327" i="2" s="1"/>
  <c r="B460" i="9"/>
  <c r="B518" i="9" s="1"/>
  <c r="B324" i="9"/>
  <c r="B396" i="9"/>
  <c r="C396" i="9" s="1"/>
  <c r="A268" i="9"/>
  <c r="AY518" i="2"/>
  <c r="L321" i="9"/>
  <c r="N321" i="9" s="1"/>
  <c r="A515" i="9"/>
  <c r="D457" i="9"/>
  <c r="E457" i="9" s="1"/>
  <c r="J515" i="9" s="1"/>
  <c r="M207" i="9"/>
  <c r="C324" i="9" s="1"/>
  <c r="AN327" i="2" s="1"/>
  <c r="C140" i="1"/>
  <c r="C267" i="9" s="1"/>
  <c r="J574" i="2"/>
  <c r="I516" i="2"/>
  <c r="L574" i="2"/>
  <c r="AD452" i="2"/>
  <c r="D518" i="2"/>
  <c r="E518" i="2" s="1"/>
  <c r="I518" i="2" s="1"/>
  <c r="BT516" i="2"/>
  <c r="J378" i="2"/>
  <c r="AS321" i="2" s="1"/>
  <c r="AT321" i="2" s="1"/>
  <c r="M453" i="2"/>
  <c r="Q381" i="2"/>
  <c r="AH321" i="2"/>
  <c r="K517" i="2"/>
  <c r="L517" i="2" s="1"/>
  <c r="E378" i="2"/>
  <c r="K378" i="2"/>
  <c r="I379" i="2"/>
  <c r="AR322" i="2" s="1"/>
  <c r="C379" i="2"/>
  <c r="AF322" i="2" s="1"/>
  <c r="P323" i="2"/>
  <c r="Q323" i="2" s="1"/>
  <c r="G379" i="2"/>
  <c r="H379" i="2" s="1"/>
  <c r="J575" i="2"/>
  <c r="C454" i="2"/>
  <c r="G454" i="2" s="1"/>
  <c r="P380" i="2"/>
  <c r="S381" i="2"/>
  <c r="T381" i="2" s="1"/>
  <c r="V381" i="2"/>
  <c r="R381" i="2"/>
  <c r="H454" i="2"/>
  <c r="E454" i="2"/>
  <c r="F454" i="2" s="1"/>
  <c r="D454" i="2"/>
  <c r="K575" i="2"/>
  <c r="BS517" i="2" s="1"/>
  <c r="G575" i="2"/>
  <c r="H575" i="2" s="1"/>
  <c r="BK517" i="2" s="1"/>
  <c r="P575" i="2"/>
  <c r="R575" i="2"/>
  <c r="N575" i="2"/>
  <c r="CA517" i="2" s="1"/>
  <c r="AZ324" i="2"/>
  <c r="F380" i="2"/>
  <c r="G380" i="2" s="1"/>
  <c r="H380" i="2" s="1"/>
  <c r="B382" i="2"/>
  <c r="B455" i="2"/>
  <c r="B519" i="2"/>
  <c r="B577" i="2" s="1"/>
  <c r="A576" i="2"/>
  <c r="Q576" i="2" s="1"/>
  <c r="A519" i="2"/>
  <c r="A382" i="2"/>
  <c r="U382" i="2" s="1"/>
  <c r="A455" i="2"/>
  <c r="AJ322" i="2"/>
  <c r="BI324" i="2"/>
  <c r="W262" i="2"/>
  <c r="O322" i="2"/>
  <c r="J379" i="2" s="1"/>
  <c r="T322" i="2"/>
  <c r="M379" i="2" s="1"/>
  <c r="N379" i="2" s="1"/>
  <c r="N323" i="2"/>
  <c r="H205" i="9"/>
  <c r="J205" i="9" s="1"/>
  <c r="G458" i="9" s="1"/>
  <c r="AV327" i="2"/>
  <c r="BD327" i="2"/>
  <c r="BF327" i="2" s="1"/>
  <c r="AQ521" i="2"/>
  <c r="AS521" i="2" s="1"/>
  <c r="BL325" i="2"/>
  <c r="AY519" i="2"/>
  <c r="N261" i="2"/>
  <c r="CE517" i="2"/>
  <c r="CE516" i="2"/>
  <c r="BL327" i="2"/>
  <c r="BN327" i="2" s="1"/>
  <c r="AY521" i="2"/>
  <c r="BA521" i="2" s="1"/>
  <c r="BU516" i="2"/>
  <c r="AN517" i="2"/>
  <c r="AO517" i="2" s="1"/>
  <c r="BT517" i="2"/>
  <c r="BY516" i="2"/>
  <c r="BW517" i="2"/>
  <c r="BY517" i="2" s="1"/>
  <c r="AU519" i="2"/>
  <c r="AU518" i="2"/>
  <c r="AN516" i="2"/>
  <c r="AO516" i="2" s="1"/>
  <c r="AN449" i="2"/>
  <c r="BD450" i="2"/>
  <c r="AZ450" i="2"/>
  <c r="BC451" i="2"/>
  <c r="AY451" i="2"/>
  <c r="BH323" i="2"/>
  <c r="BE323" i="2"/>
  <c r="BF323" i="2" s="1"/>
  <c r="BE322" i="2"/>
  <c r="BF322" i="2" s="1"/>
  <c r="BA321" i="2"/>
  <c r="BB321" i="2" s="1"/>
  <c r="AW323" i="2"/>
  <c r="AX323" i="2" s="1"/>
  <c r="AW321" i="2"/>
  <c r="AX321" i="2" s="1"/>
  <c r="M262" i="2"/>
  <c r="N262" i="2" s="1"/>
  <c r="H263" i="2"/>
  <c r="J263" i="2" s="1"/>
  <c r="AE518" i="2"/>
  <c r="P208" i="9"/>
  <c r="F325" i="9" s="1"/>
  <c r="I264" i="2"/>
  <c r="U264" i="2" s="1"/>
  <c r="O383" i="2" s="1"/>
  <c r="R264" i="2"/>
  <c r="S264" i="2"/>
  <c r="S265" i="2"/>
  <c r="R265" i="2"/>
  <c r="R324" i="2"/>
  <c r="S324" i="2" s="1"/>
  <c r="M204" i="9"/>
  <c r="C321" i="9" s="1"/>
  <c r="AI518" i="2"/>
  <c r="AO322" i="2"/>
  <c r="AP322" i="2" s="1"/>
  <c r="L205" i="9"/>
  <c r="O205" i="9"/>
  <c r="AV325" i="2" s="1"/>
  <c r="Q205" i="9"/>
  <c r="I322" i="9" s="1"/>
  <c r="R208" i="9"/>
  <c r="L325" i="9" s="1"/>
  <c r="J208" i="9"/>
  <c r="Q208" i="9"/>
  <c r="I325" i="9" s="1"/>
  <c r="E208" i="9"/>
  <c r="I208" i="9"/>
  <c r="O208" i="9"/>
  <c r="G208" i="9"/>
  <c r="C208" i="9"/>
  <c r="D208" i="9" s="1"/>
  <c r="F208" i="9" s="1"/>
  <c r="H208" i="9" s="1"/>
  <c r="N208" i="9"/>
  <c r="K208" i="9"/>
  <c r="L208" i="9"/>
  <c r="I206" i="9"/>
  <c r="R206" i="9" s="1"/>
  <c r="L323" i="9" s="1"/>
  <c r="C206" i="9"/>
  <c r="D206" i="9" s="1"/>
  <c r="F206" i="9" s="1"/>
  <c r="K206" i="9"/>
  <c r="N206" i="9" s="1"/>
  <c r="G206" i="9"/>
  <c r="E206" i="9"/>
  <c r="F325" i="2"/>
  <c r="G325" i="2" s="1"/>
  <c r="C325" i="2"/>
  <c r="D325" i="2"/>
  <c r="H325" i="2" s="1"/>
  <c r="B206" i="9"/>
  <c r="B266" i="9" s="1"/>
  <c r="B208" i="9"/>
  <c r="B268" i="9" s="1"/>
  <c r="BH325" i="2"/>
  <c r="L263" i="2"/>
  <c r="A326" i="2"/>
  <c r="P263" i="2"/>
  <c r="Q263" i="2" s="1"/>
  <c r="T263" i="2"/>
  <c r="L382" i="2" s="1"/>
  <c r="K264" i="2"/>
  <c r="O264" i="2" s="1"/>
  <c r="E264" i="2"/>
  <c r="G264" i="2"/>
  <c r="B264" i="2"/>
  <c r="B326" i="2" s="1"/>
  <c r="V264" i="2"/>
  <c r="C264" i="2"/>
  <c r="D264" i="2" s="1"/>
  <c r="F264" i="2" s="1"/>
  <c r="A266" i="2"/>
  <c r="I265" i="2"/>
  <c r="U265" i="2" s="1"/>
  <c r="C265" i="2"/>
  <c r="D265" i="2" s="1"/>
  <c r="F265" i="2" s="1"/>
  <c r="T265" i="2"/>
  <c r="J265" i="2"/>
  <c r="K265" i="2"/>
  <c r="G265" i="2"/>
  <c r="L265" i="2"/>
  <c r="E265" i="2"/>
  <c r="B265" i="2"/>
  <c r="B327" i="2" s="1"/>
  <c r="A327" i="2"/>
  <c r="O265" i="2"/>
  <c r="P265" i="2" s="1"/>
  <c r="Q265" i="2" s="1"/>
  <c r="V265" i="2"/>
  <c r="W265" i="2" s="1"/>
  <c r="A142" i="1"/>
  <c r="B142" i="1" s="1"/>
  <c r="A209" i="9" s="1"/>
  <c r="Q515" i="9" l="1"/>
  <c r="E515" i="9"/>
  <c r="D515" i="9"/>
  <c r="BG518" i="2" s="1"/>
  <c r="P460" i="9"/>
  <c r="M396" i="9"/>
  <c r="P458" i="9"/>
  <c r="M394" i="9"/>
  <c r="K457" i="2"/>
  <c r="L457" i="2"/>
  <c r="L327" i="2"/>
  <c r="W327" i="2"/>
  <c r="M327" i="2"/>
  <c r="U455" i="2"/>
  <c r="J455" i="2"/>
  <c r="O455" i="2"/>
  <c r="Q455" i="2"/>
  <c r="T455" i="2"/>
  <c r="N519" i="2"/>
  <c r="R455" i="2"/>
  <c r="P455" i="2"/>
  <c r="S455" i="2"/>
  <c r="I455" i="2"/>
  <c r="N455" i="2"/>
  <c r="K456" i="2"/>
  <c r="L456" i="2"/>
  <c r="W326" i="2"/>
  <c r="L326" i="2"/>
  <c r="M326" i="2"/>
  <c r="D576" i="2"/>
  <c r="BC518" i="2" s="1"/>
  <c r="E576" i="2"/>
  <c r="E327" i="2"/>
  <c r="J327" i="2"/>
  <c r="E326" i="2"/>
  <c r="J326" i="2"/>
  <c r="H266" i="9"/>
  <c r="M266" i="9"/>
  <c r="K459" i="9" s="1"/>
  <c r="M268" i="9"/>
  <c r="K461" i="9" s="1"/>
  <c r="H268" i="9"/>
  <c r="L396" i="9"/>
  <c r="O460" i="9" s="1"/>
  <c r="L394" i="9"/>
  <c r="O458" i="9" s="1"/>
  <c r="I327" i="2"/>
  <c r="K327" i="2"/>
  <c r="V327" i="2"/>
  <c r="K326" i="2"/>
  <c r="V326" i="2"/>
  <c r="I326" i="2"/>
  <c r="D266" i="9"/>
  <c r="G266" i="9"/>
  <c r="D268" i="9"/>
  <c r="G268" i="9"/>
  <c r="AC452" i="2"/>
  <c r="AF452" i="2" s="1"/>
  <c r="G394" i="9"/>
  <c r="G461" i="9"/>
  <c r="AI522" i="2" s="1"/>
  <c r="D321" i="9"/>
  <c r="E321" i="9" s="1"/>
  <c r="C141" i="1"/>
  <c r="C268" i="9" s="1"/>
  <c r="N324" i="9"/>
  <c r="K322" i="9"/>
  <c r="J393" i="9"/>
  <c r="K393" i="9" s="1"/>
  <c r="N393" i="9" s="1"/>
  <c r="P393" i="9" s="1"/>
  <c r="AL454" i="2" s="1"/>
  <c r="I267" i="9"/>
  <c r="J267" i="9" s="1"/>
  <c r="D324" i="9" s="1"/>
  <c r="E324" i="9" s="1"/>
  <c r="AT454" i="2"/>
  <c r="I265" i="9"/>
  <c r="J265" i="9" s="1"/>
  <c r="G322" i="9" s="1"/>
  <c r="H322" i="9" s="1"/>
  <c r="K324" i="9"/>
  <c r="AH450" i="2"/>
  <c r="AI450" i="2" s="1"/>
  <c r="AN450" i="2" s="1"/>
  <c r="H265" i="2"/>
  <c r="G396" i="9"/>
  <c r="AH451" i="2"/>
  <c r="AI451" i="2" s="1"/>
  <c r="W451" i="2"/>
  <c r="V451" i="2"/>
  <c r="AP454" i="2"/>
  <c r="AR518" i="2"/>
  <c r="AS518" i="2" s="1"/>
  <c r="D394" i="9"/>
  <c r="H394" i="9"/>
  <c r="L458" i="9" s="1"/>
  <c r="M458" i="9" s="1"/>
  <c r="I394" i="9"/>
  <c r="E394" i="9"/>
  <c r="F394" i="9" s="1"/>
  <c r="AK454" i="2"/>
  <c r="J459" i="9"/>
  <c r="A459" i="9"/>
  <c r="A395" i="9"/>
  <c r="A323" i="9"/>
  <c r="S395" i="9" s="1"/>
  <c r="I459" i="9"/>
  <c r="C266" i="9"/>
  <c r="K266" i="9"/>
  <c r="J323" i="9" s="1"/>
  <c r="E266" i="9"/>
  <c r="F266" i="9" s="1"/>
  <c r="L266" i="9"/>
  <c r="M323" i="9" s="1"/>
  <c r="N323" i="9" s="1"/>
  <c r="A518" i="9"/>
  <c r="D460" i="9"/>
  <c r="E460" i="9" s="1"/>
  <c r="A516" i="9"/>
  <c r="D458" i="9"/>
  <c r="E458" i="9" s="1"/>
  <c r="A269" i="9"/>
  <c r="D396" i="9"/>
  <c r="H396" i="9"/>
  <c r="L460" i="9" s="1"/>
  <c r="M460" i="9" s="1"/>
  <c r="E396" i="9"/>
  <c r="F396" i="9" s="1"/>
  <c r="I396" i="9"/>
  <c r="T394" i="9"/>
  <c r="Q394" i="9"/>
  <c r="R394" i="9"/>
  <c r="I461" i="9"/>
  <c r="J461" i="9"/>
  <c r="A397" i="9"/>
  <c r="A461" i="9"/>
  <c r="A325" i="9"/>
  <c r="S397" i="9" s="1"/>
  <c r="K268" i="9"/>
  <c r="J325" i="9" s="1"/>
  <c r="BE328" i="2" s="1"/>
  <c r="E268" i="9"/>
  <c r="F268" i="9" s="1"/>
  <c r="L268" i="9"/>
  <c r="M325" i="9" s="1"/>
  <c r="BM328" i="2" s="1"/>
  <c r="B397" i="9"/>
  <c r="C397" i="9" s="1"/>
  <c r="B461" i="9"/>
  <c r="B519" i="9" s="1"/>
  <c r="B325" i="9"/>
  <c r="B459" i="9"/>
  <c r="B517" i="9" s="1"/>
  <c r="B395" i="9"/>
  <c r="C395" i="9" s="1"/>
  <c r="B323" i="9"/>
  <c r="H515" i="9"/>
  <c r="BO518" i="2" s="1"/>
  <c r="N515" i="9"/>
  <c r="I515" i="9"/>
  <c r="O515" i="9"/>
  <c r="R515" i="9"/>
  <c r="G515" i="9"/>
  <c r="K515" i="9"/>
  <c r="P515" i="9"/>
  <c r="L515" i="9"/>
  <c r="T396" i="9"/>
  <c r="R396" i="9"/>
  <c r="Q396" i="9"/>
  <c r="M208" i="9"/>
  <c r="M265" i="2"/>
  <c r="N265" i="2" s="1"/>
  <c r="L575" i="2"/>
  <c r="G519" i="2"/>
  <c r="AE519" i="2" s="1"/>
  <c r="K518" i="2"/>
  <c r="L518" i="2" s="1"/>
  <c r="AD453" i="2"/>
  <c r="AC453" i="2"/>
  <c r="M454" i="2"/>
  <c r="AK322" i="2"/>
  <c r="AL322" i="2" s="1"/>
  <c r="AS322" i="2"/>
  <c r="AT322" i="2" s="1"/>
  <c r="BI323" i="2"/>
  <c r="BJ323" i="2" s="1"/>
  <c r="Q380" i="2"/>
  <c r="E379" i="2"/>
  <c r="J576" i="2"/>
  <c r="K379" i="2"/>
  <c r="P324" i="2"/>
  <c r="Q324" i="2" s="1"/>
  <c r="W263" i="2"/>
  <c r="F382" i="2" s="1"/>
  <c r="AJ325" i="2" s="1"/>
  <c r="H206" i="9"/>
  <c r="J206" i="9" s="1"/>
  <c r="G459" i="9" s="1"/>
  <c r="D379" i="2"/>
  <c r="AG322" i="2" s="1"/>
  <c r="AH322" i="2" s="1"/>
  <c r="C380" i="2"/>
  <c r="AF323" i="2" s="1"/>
  <c r="I380" i="2"/>
  <c r="AR323" i="2" s="1"/>
  <c r="A383" i="2"/>
  <c r="U383" i="2" s="1"/>
  <c r="A456" i="2"/>
  <c r="A520" i="2"/>
  <c r="H455" i="2"/>
  <c r="E455" i="2"/>
  <c r="F455" i="2" s="1"/>
  <c r="D455" i="2"/>
  <c r="R576" i="2"/>
  <c r="G576" i="2"/>
  <c r="H576" i="2" s="1"/>
  <c r="N576" i="2"/>
  <c r="CA518" i="2" s="1"/>
  <c r="K576" i="2"/>
  <c r="BS518" i="2" s="1"/>
  <c r="P576" i="2"/>
  <c r="F384" i="2"/>
  <c r="B520" i="2"/>
  <c r="B578" i="2" s="1"/>
  <c r="B456" i="2"/>
  <c r="B383" i="2"/>
  <c r="S382" i="2"/>
  <c r="T382" i="2" s="1"/>
  <c r="V382" i="2"/>
  <c r="R382" i="2"/>
  <c r="AM521" i="2"/>
  <c r="AO521" i="2" s="1"/>
  <c r="L384" i="2"/>
  <c r="AZ327" i="2" s="1"/>
  <c r="BB327" i="2" s="1"/>
  <c r="A384" i="2"/>
  <c r="U384" i="2" s="1"/>
  <c r="G521" i="2"/>
  <c r="AE521" i="2" s="1"/>
  <c r="A521" i="2"/>
  <c r="A457" i="2"/>
  <c r="I521" i="2"/>
  <c r="J521" i="2"/>
  <c r="AU521" i="2"/>
  <c r="AW521" i="2" s="1"/>
  <c r="O384" i="2"/>
  <c r="BH327" i="2" s="1"/>
  <c r="BJ327" i="2" s="1"/>
  <c r="A577" i="2"/>
  <c r="Q577" i="2" s="1"/>
  <c r="C455" i="2"/>
  <c r="G455" i="2" s="1"/>
  <c r="B384" i="2"/>
  <c r="B457" i="2"/>
  <c r="B521" i="2"/>
  <c r="B579" i="2" s="1"/>
  <c r="F381" i="2"/>
  <c r="AJ323" i="2"/>
  <c r="BA322" i="2"/>
  <c r="BB322" i="2" s="1"/>
  <c r="U327" i="2"/>
  <c r="U325" i="2"/>
  <c r="P382" i="2" s="1"/>
  <c r="Q382" i="2" s="1"/>
  <c r="O323" i="2"/>
  <c r="J380" i="2" s="1"/>
  <c r="T323" i="2"/>
  <c r="M380" i="2" s="1"/>
  <c r="N380" i="2" s="1"/>
  <c r="T327" i="2"/>
  <c r="N324" i="2"/>
  <c r="AK323" i="2"/>
  <c r="BM325" i="2"/>
  <c r="BN325" i="2" s="1"/>
  <c r="BD328" i="2"/>
  <c r="BF328" i="2" s="1"/>
  <c r="AQ522" i="2"/>
  <c r="AS522" i="2" s="1"/>
  <c r="BL328" i="2"/>
  <c r="BN328" i="2" s="1"/>
  <c r="AY522" i="2"/>
  <c r="BA522" i="2" s="1"/>
  <c r="BL324" i="2"/>
  <c r="BN324" i="2" s="1"/>
  <c r="M263" i="2"/>
  <c r="N263" i="2" s="1"/>
  <c r="BL326" i="2"/>
  <c r="AY520" i="2"/>
  <c r="AV328" i="2"/>
  <c r="BD325" i="2"/>
  <c r="AQ519" i="2"/>
  <c r="BU517" i="2"/>
  <c r="AN518" i="2"/>
  <c r="AO518" i="2" s="1"/>
  <c r="BT518" i="2"/>
  <c r="BH326" i="2"/>
  <c r="AU520" i="2"/>
  <c r="AZ325" i="2"/>
  <c r="AM519" i="2"/>
  <c r="BC453" i="2"/>
  <c r="BD453" i="2" s="1"/>
  <c r="AY453" i="2"/>
  <c r="BD451" i="2"/>
  <c r="AZ451" i="2"/>
  <c r="AY452" i="2"/>
  <c r="BC452" i="2"/>
  <c r="AM452" i="2"/>
  <c r="AM453" i="2"/>
  <c r="BH324" i="2"/>
  <c r="BJ324" i="2" s="1"/>
  <c r="AW322" i="2"/>
  <c r="AX322" i="2" s="1"/>
  <c r="H264" i="2"/>
  <c r="J264" i="2" s="1"/>
  <c r="AN324" i="2"/>
  <c r="P209" i="9"/>
  <c r="F326" i="9" s="1"/>
  <c r="R325" i="2"/>
  <c r="S325" i="2" s="1"/>
  <c r="P264" i="2"/>
  <c r="T264" i="2"/>
  <c r="R266" i="2"/>
  <c r="S266" i="2"/>
  <c r="BX518" i="2"/>
  <c r="M205" i="9"/>
  <c r="C322" i="9" s="1"/>
  <c r="L206" i="9"/>
  <c r="O206" i="9"/>
  <c r="AV326" i="2" s="1"/>
  <c r="K209" i="9"/>
  <c r="R209" i="9"/>
  <c r="L326" i="9" s="1"/>
  <c r="J209" i="9"/>
  <c r="Q209" i="9"/>
  <c r="I326" i="9" s="1"/>
  <c r="I209" i="9"/>
  <c r="O209" i="9"/>
  <c r="E209" i="9"/>
  <c r="N209" i="9"/>
  <c r="G209" i="9"/>
  <c r="C209" i="9"/>
  <c r="D209" i="9" s="1"/>
  <c r="F209" i="9" s="1"/>
  <c r="H209" i="9" s="1"/>
  <c r="L209" i="9"/>
  <c r="Q206" i="9"/>
  <c r="L264" i="2"/>
  <c r="B209" i="9"/>
  <c r="B269" i="9" s="1"/>
  <c r="F326" i="2"/>
  <c r="G326" i="2" s="1"/>
  <c r="D326" i="2"/>
  <c r="H326" i="2" s="1"/>
  <c r="C326" i="2"/>
  <c r="U326" i="2" s="1"/>
  <c r="P383" i="2" s="1"/>
  <c r="Q383" i="2" s="1"/>
  <c r="H327" i="2"/>
  <c r="A267" i="2"/>
  <c r="C266" i="2"/>
  <c r="D266" i="2" s="1"/>
  <c r="F266" i="2" s="1"/>
  <c r="K266" i="2"/>
  <c r="L266" i="2" s="1"/>
  <c r="I266" i="2"/>
  <c r="T266" i="2" s="1"/>
  <c r="J266" i="2"/>
  <c r="V266" i="2"/>
  <c r="B266" i="2"/>
  <c r="B328" i="2" s="1"/>
  <c r="A328" i="2"/>
  <c r="G266" i="2"/>
  <c r="E266" i="2"/>
  <c r="U266" i="2"/>
  <c r="O266" i="2"/>
  <c r="P266" i="2" s="1"/>
  <c r="Q266" i="2" s="1"/>
  <c r="C327" i="2"/>
  <c r="D327" i="2"/>
  <c r="F327" i="2"/>
  <c r="G327" i="2" s="1"/>
  <c r="A143" i="1"/>
  <c r="B143" i="1" s="1"/>
  <c r="A210" i="9" s="1"/>
  <c r="P459" i="9" l="1"/>
  <c r="M395" i="9"/>
  <c r="P461" i="9"/>
  <c r="M397" i="9"/>
  <c r="Q516" i="9"/>
  <c r="E516" i="9"/>
  <c r="D516" i="9"/>
  <c r="BG519" i="2" s="1"/>
  <c r="Q518" i="9"/>
  <c r="D518" i="9"/>
  <c r="BG521" i="2" s="1"/>
  <c r="E518" i="9"/>
  <c r="Q456" i="2"/>
  <c r="T456" i="2"/>
  <c r="S456" i="2"/>
  <c r="P456" i="2"/>
  <c r="J456" i="2"/>
  <c r="R456" i="2"/>
  <c r="I456" i="2"/>
  <c r="N520" i="2"/>
  <c r="O456" i="2"/>
  <c r="U456" i="2"/>
  <c r="N456" i="2"/>
  <c r="L458" i="2"/>
  <c r="K458" i="2"/>
  <c r="M328" i="2"/>
  <c r="L328" i="2"/>
  <c r="W328" i="2"/>
  <c r="P457" i="2"/>
  <c r="S457" i="2"/>
  <c r="J457" i="2"/>
  <c r="O457" i="2"/>
  <c r="T457" i="2"/>
  <c r="R457" i="2"/>
  <c r="N521" i="2"/>
  <c r="U457" i="2"/>
  <c r="Q457" i="2"/>
  <c r="I457" i="2"/>
  <c r="N457" i="2"/>
  <c r="D577" i="2"/>
  <c r="BC519" i="2" s="1"/>
  <c r="E577" i="2"/>
  <c r="E328" i="2"/>
  <c r="J328" i="2"/>
  <c r="L395" i="9"/>
  <c r="O459" i="9" s="1"/>
  <c r="L397" i="9"/>
  <c r="O461" i="9" s="1"/>
  <c r="M269" i="9"/>
  <c r="K462" i="9" s="1"/>
  <c r="H269" i="9"/>
  <c r="V328" i="2"/>
  <c r="I328" i="2"/>
  <c r="K328" i="2"/>
  <c r="D269" i="9"/>
  <c r="G269" i="9"/>
  <c r="AG452" i="2"/>
  <c r="AH452" i="2" s="1"/>
  <c r="AI452" i="2" s="1"/>
  <c r="AN452" i="2" s="1"/>
  <c r="AE452" i="2"/>
  <c r="G324" i="9"/>
  <c r="H324" i="9" s="1"/>
  <c r="J396" i="9"/>
  <c r="K396" i="9" s="1"/>
  <c r="O396" i="9" s="1"/>
  <c r="G462" i="9"/>
  <c r="AI523" i="2" s="1"/>
  <c r="N325" i="9"/>
  <c r="O393" i="9"/>
  <c r="K325" i="9"/>
  <c r="AF453" i="2"/>
  <c r="D322" i="9"/>
  <c r="E322" i="9" s="1"/>
  <c r="I268" i="9"/>
  <c r="J268" i="9" s="1"/>
  <c r="G325" i="9" s="1"/>
  <c r="J518" i="9"/>
  <c r="BX521" i="2" s="1"/>
  <c r="AT457" i="2"/>
  <c r="J516" i="9"/>
  <c r="BX519" i="2" s="1"/>
  <c r="I266" i="9"/>
  <c r="J266" i="9" s="1"/>
  <c r="D323" i="9" s="1"/>
  <c r="J394" i="9"/>
  <c r="K394" i="9" s="1"/>
  <c r="N394" i="9" s="1"/>
  <c r="P394" i="9" s="1"/>
  <c r="AL455" i="2" s="1"/>
  <c r="AG453" i="2"/>
  <c r="AE453" i="2"/>
  <c r="M209" i="9"/>
  <c r="C326" i="9" s="1"/>
  <c r="V452" i="2"/>
  <c r="W452" i="2"/>
  <c r="G397" i="9"/>
  <c r="C142" i="1"/>
  <c r="C269" i="9" s="1"/>
  <c r="G395" i="9"/>
  <c r="AP455" i="2"/>
  <c r="AK455" i="2"/>
  <c r="AT455" i="2"/>
  <c r="AR519" i="2"/>
  <c r="B462" i="9"/>
  <c r="B520" i="9" s="1"/>
  <c r="B398" i="9"/>
  <c r="C398" i="9" s="1"/>
  <c r="B326" i="9"/>
  <c r="H395" i="9"/>
  <c r="L459" i="9" s="1"/>
  <c r="M459" i="9" s="1"/>
  <c r="I395" i="9"/>
  <c r="D395" i="9"/>
  <c r="E395" i="9"/>
  <c r="F395" i="9"/>
  <c r="A270" i="9"/>
  <c r="A517" i="9"/>
  <c r="D459" i="9"/>
  <c r="E459" i="9" s="1"/>
  <c r="J462" i="9"/>
  <c r="I462" i="9"/>
  <c r="A462" i="9"/>
  <c r="A326" i="9"/>
  <c r="S398" i="9" s="1"/>
  <c r="A398" i="9"/>
  <c r="K269" i="9"/>
  <c r="J326" i="9" s="1"/>
  <c r="K326" i="9" s="1"/>
  <c r="L269" i="9"/>
  <c r="M326" i="9" s="1"/>
  <c r="BM329" i="2" s="1"/>
  <c r="E269" i="9"/>
  <c r="F269" i="9" s="1"/>
  <c r="N516" i="9"/>
  <c r="L516" i="9"/>
  <c r="R516" i="9"/>
  <c r="I516" i="9"/>
  <c r="P516" i="9"/>
  <c r="O516" i="9"/>
  <c r="H516" i="9"/>
  <c r="BO519" i="2" s="1"/>
  <c r="K516" i="9"/>
  <c r="G516" i="9"/>
  <c r="Q395" i="9"/>
  <c r="R395" i="9"/>
  <c r="T395" i="9"/>
  <c r="C325" i="9"/>
  <c r="Q397" i="9"/>
  <c r="R397" i="9"/>
  <c r="T397" i="9"/>
  <c r="H518" i="9"/>
  <c r="G518" i="9"/>
  <c r="L518" i="9"/>
  <c r="O518" i="9"/>
  <c r="K518" i="9"/>
  <c r="I518" i="9"/>
  <c r="P518" i="9"/>
  <c r="N518" i="9"/>
  <c r="R518" i="9"/>
  <c r="AQ520" i="2"/>
  <c r="I323" i="9"/>
  <c r="A519" i="9"/>
  <c r="D461" i="9"/>
  <c r="E461" i="9" s="1"/>
  <c r="J519" i="9" s="1"/>
  <c r="E397" i="9"/>
  <c r="F397" i="9" s="1"/>
  <c r="I397" i="9"/>
  <c r="D397" i="9"/>
  <c r="H397" i="9"/>
  <c r="L461" i="9" s="1"/>
  <c r="M461" i="9" s="1"/>
  <c r="H266" i="2"/>
  <c r="W266" i="2"/>
  <c r="F385" i="2" s="1"/>
  <c r="M266" i="2"/>
  <c r="N266" i="2" s="1"/>
  <c r="R327" i="2"/>
  <c r="S327" i="2" s="1"/>
  <c r="G384" i="2" s="1"/>
  <c r="D521" i="2"/>
  <c r="E521" i="2" s="1"/>
  <c r="BT521" i="2" s="1"/>
  <c r="L576" i="2"/>
  <c r="K519" i="2"/>
  <c r="L519" i="2" s="1"/>
  <c r="BK518" i="2"/>
  <c r="G520" i="2"/>
  <c r="AE520" i="2" s="1"/>
  <c r="AD454" i="2"/>
  <c r="M206" i="9"/>
  <c r="D519" i="2"/>
  <c r="E519" i="2" s="1"/>
  <c r="D380" i="2"/>
  <c r="AG323" i="2" s="1"/>
  <c r="AH323" i="2" s="1"/>
  <c r="I381" i="2"/>
  <c r="AR324" i="2" s="1"/>
  <c r="C381" i="2"/>
  <c r="AF324" i="2" s="1"/>
  <c r="M455" i="2"/>
  <c r="W264" i="2"/>
  <c r="F383" i="2" s="1"/>
  <c r="AC454" i="2"/>
  <c r="K380" i="2"/>
  <c r="P325" i="2"/>
  <c r="Q325" i="2" s="1"/>
  <c r="G381" i="2"/>
  <c r="H381" i="2" s="1"/>
  <c r="C456" i="2"/>
  <c r="G456" i="2" s="1"/>
  <c r="E380" i="2"/>
  <c r="BU518" i="2"/>
  <c r="R577" i="2"/>
  <c r="P577" i="2"/>
  <c r="K577" i="2"/>
  <c r="BS519" i="2" s="1"/>
  <c r="N577" i="2"/>
  <c r="CA519" i="2" s="1"/>
  <c r="G577" i="2"/>
  <c r="H577" i="2" s="1"/>
  <c r="BK519" i="2" s="1"/>
  <c r="AL323" i="2"/>
  <c r="V383" i="2"/>
  <c r="S383" i="2"/>
  <c r="T383" i="2" s="1"/>
  <c r="R383" i="2"/>
  <c r="V384" i="2"/>
  <c r="R384" i="2"/>
  <c r="AY457" i="2"/>
  <c r="BA457" i="2" s="1"/>
  <c r="S384" i="2"/>
  <c r="T384" i="2" s="1"/>
  <c r="G382" i="2"/>
  <c r="H382" i="2" s="1"/>
  <c r="A578" i="2"/>
  <c r="Q578" i="2" s="1"/>
  <c r="AU522" i="2"/>
  <c r="AW522" i="2" s="1"/>
  <c r="O385" i="2"/>
  <c r="AM520" i="2"/>
  <c r="L383" i="2"/>
  <c r="AZ326" i="2" s="1"/>
  <c r="M384" i="2"/>
  <c r="AJ324" i="2"/>
  <c r="AJ327" i="2"/>
  <c r="A458" i="2"/>
  <c r="A385" i="2"/>
  <c r="U385" i="2" s="1"/>
  <c r="J522" i="2"/>
  <c r="I522" i="2"/>
  <c r="G522" i="2"/>
  <c r="AE522" i="2" s="1"/>
  <c r="A522" i="2"/>
  <c r="AM522" i="2"/>
  <c r="AO522" i="2" s="1"/>
  <c r="L385" i="2"/>
  <c r="AZ328" i="2" s="1"/>
  <c r="BB328" i="2" s="1"/>
  <c r="A579" i="2"/>
  <c r="Q579" i="2" s="1"/>
  <c r="B522" i="2"/>
  <c r="B580" i="2" s="1"/>
  <c r="B385" i="2"/>
  <c r="B458" i="2"/>
  <c r="C457" i="2"/>
  <c r="G457" i="2" s="1"/>
  <c r="D457" i="2"/>
  <c r="H457" i="2"/>
  <c r="E457" i="2"/>
  <c r="F457" i="2" s="1"/>
  <c r="P384" i="2"/>
  <c r="H456" i="2"/>
  <c r="E456" i="2"/>
  <c r="F456" i="2" s="1"/>
  <c r="D456" i="2"/>
  <c r="AS323" i="2"/>
  <c r="AT323" i="2" s="1"/>
  <c r="BI325" i="2"/>
  <c r="BJ325" i="2" s="1"/>
  <c r="U328" i="2"/>
  <c r="O324" i="2"/>
  <c r="E381" i="2" s="1"/>
  <c r="T324" i="2"/>
  <c r="M381" i="2" s="1"/>
  <c r="T328" i="2"/>
  <c r="M385" i="2" s="1"/>
  <c r="N325" i="2"/>
  <c r="AS519" i="2"/>
  <c r="BM326" i="2"/>
  <c r="BN326" i="2" s="1"/>
  <c r="BL329" i="2"/>
  <c r="BN329" i="2" s="1"/>
  <c r="AY523" i="2"/>
  <c r="BD329" i="2"/>
  <c r="BF329" i="2" s="1"/>
  <c r="AQ523" i="2"/>
  <c r="AS523" i="2" s="1"/>
  <c r="M264" i="2"/>
  <c r="N264" i="2" s="1"/>
  <c r="CE518" i="2"/>
  <c r="AI519" i="2"/>
  <c r="BW518" i="2"/>
  <c r="BY518" i="2" s="1"/>
  <c r="AR521" i="2"/>
  <c r="AN451" i="2"/>
  <c r="AZ453" i="2"/>
  <c r="BD452" i="2"/>
  <c r="AZ452" i="2"/>
  <c r="BC457" i="2"/>
  <c r="BE457" i="2" s="1"/>
  <c r="AK457" i="2"/>
  <c r="BI326" i="2"/>
  <c r="BJ326" i="2" s="1"/>
  <c r="BA323" i="2"/>
  <c r="BB323" i="2" s="1"/>
  <c r="BE324" i="2"/>
  <c r="BF324" i="2" s="1"/>
  <c r="AV329" i="2"/>
  <c r="P210" i="9"/>
  <c r="F327" i="9" s="1"/>
  <c r="Q264" i="2"/>
  <c r="R267" i="2"/>
  <c r="S267" i="2"/>
  <c r="R326" i="2"/>
  <c r="S326" i="2" s="1"/>
  <c r="AO324" i="2"/>
  <c r="AP324" i="2" s="1"/>
  <c r="L210" i="9"/>
  <c r="K210" i="9"/>
  <c r="R210" i="9"/>
  <c r="L327" i="9" s="1"/>
  <c r="J210" i="9"/>
  <c r="N210" i="9"/>
  <c r="G210" i="9"/>
  <c r="O210" i="9"/>
  <c r="I210" i="9"/>
  <c r="C210" i="9"/>
  <c r="D210" i="9" s="1"/>
  <c r="F210" i="9" s="1"/>
  <c r="H210" i="9" s="1"/>
  <c r="E210" i="9"/>
  <c r="Q210" i="9"/>
  <c r="I327" i="9" s="1"/>
  <c r="B210" i="9"/>
  <c r="B270" i="9" s="1"/>
  <c r="H328" i="2"/>
  <c r="A268" i="2"/>
  <c r="C328" i="2"/>
  <c r="D328" i="2"/>
  <c r="F328" i="2"/>
  <c r="G328" i="2" s="1"/>
  <c r="B267" i="2"/>
  <c r="B329" i="2" s="1"/>
  <c r="V267" i="2"/>
  <c r="A329" i="2"/>
  <c r="I267" i="2"/>
  <c r="K267" i="2"/>
  <c r="J267" i="2"/>
  <c r="C267" i="2"/>
  <c r="D267" i="2" s="1"/>
  <c r="F267" i="2" s="1"/>
  <c r="G267" i="2"/>
  <c r="E267" i="2"/>
  <c r="O267" i="2"/>
  <c r="P267" i="2" s="1"/>
  <c r="Q267" i="2" s="1"/>
  <c r="L267" i="2"/>
  <c r="U267" i="2"/>
  <c r="T267" i="2"/>
  <c r="A144" i="1"/>
  <c r="B144" i="1" s="1"/>
  <c r="A211" i="9" s="1"/>
  <c r="Q517" i="9" l="1"/>
  <c r="E517" i="9"/>
  <c r="D517" i="9"/>
  <c r="BG520" i="2" s="1"/>
  <c r="Q519" i="9"/>
  <c r="E519" i="9"/>
  <c r="D519" i="9"/>
  <c r="BG522" i="2" s="1"/>
  <c r="P462" i="9"/>
  <c r="M398" i="9"/>
  <c r="K459" i="2"/>
  <c r="L459" i="2"/>
  <c r="W329" i="2"/>
  <c r="M329" i="2"/>
  <c r="L329" i="2"/>
  <c r="R458" i="2"/>
  <c r="U458" i="2"/>
  <c r="P458" i="2"/>
  <c r="N522" i="2"/>
  <c r="S458" i="2"/>
  <c r="Q458" i="2"/>
  <c r="I458" i="2"/>
  <c r="O458" i="2"/>
  <c r="T458" i="2"/>
  <c r="J458" i="2"/>
  <c r="N458" i="2"/>
  <c r="E578" i="2"/>
  <c r="D578" i="2"/>
  <c r="BC520" i="2" s="1"/>
  <c r="E579" i="2"/>
  <c r="D579" i="2"/>
  <c r="BC521" i="2" s="1"/>
  <c r="E329" i="2"/>
  <c r="J329" i="2"/>
  <c r="L398" i="9"/>
  <c r="O462" i="9" s="1"/>
  <c r="M270" i="9"/>
  <c r="K463" i="9" s="1"/>
  <c r="H270" i="9"/>
  <c r="K329" i="2"/>
  <c r="I329" i="2"/>
  <c r="V329" i="2"/>
  <c r="D270" i="9"/>
  <c r="G270" i="9"/>
  <c r="D325" i="9"/>
  <c r="AO328" i="2" s="1"/>
  <c r="AW327" i="2"/>
  <c r="AX327" i="2" s="1"/>
  <c r="W267" i="2"/>
  <c r="F386" i="2" s="1"/>
  <c r="O394" i="9"/>
  <c r="G398" i="9"/>
  <c r="I269" i="9"/>
  <c r="J269" i="9" s="1"/>
  <c r="D326" i="9" s="1"/>
  <c r="E326" i="9" s="1"/>
  <c r="M210" i="9"/>
  <c r="C327" i="9" s="1"/>
  <c r="AN330" i="2" s="1"/>
  <c r="G323" i="9"/>
  <c r="H323" i="9" s="1"/>
  <c r="J397" i="9"/>
  <c r="K397" i="9" s="1"/>
  <c r="N397" i="9" s="1"/>
  <c r="P397" i="9" s="1"/>
  <c r="AL458" i="2" s="1"/>
  <c r="N396" i="9"/>
  <c r="P396" i="9" s="1"/>
  <c r="AL457" i="2" s="1"/>
  <c r="AM457" i="2" s="1"/>
  <c r="J395" i="9"/>
  <c r="K395" i="9" s="1"/>
  <c r="N395" i="9" s="1"/>
  <c r="P395" i="9" s="1"/>
  <c r="AL456" i="2" s="1"/>
  <c r="BE329" i="2"/>
  <c r="J517" i="9"/>
  <c r="BX520" i="2" s="1"/>
  <c r="AT458" i="2"/>
  <c r="V453" i="2"/>
  <c r="W453" i="2"/>
  <c r="H267" i="2"/>
  <c r="AN329" i="2"/>
  <c r="N326" i="9"/>
  <c r="BD326" i="2"/>
  <c r="K323" i="9"/>
  <c r="AH453" i="2"/>
  <c r="AI453" i="2" s="1"/>
  <c r="AN453" i="2" s="1"/>
  <c r="AE454" i="2"/>
  <c r="AG454" i="2"/>
  <c r="G463" i="9"/>
  <c r="AI524" i="2" s="1"/>
  <c r="M267" i="2"/>
  <c r="N267" i="2" s="1"/>
  <c r="C143" i="1"/>
  <c r="C270" i="9" s="1"/>
  <c r="AF454" i="2"/>
  <c r="AW328" i="2"/>
  <c r="AX328" i="2" s="1"/>
  <c r="H325" i="9"/>
  <c r="AN328" i="2"/>
  <c r="E325" i="9"/>
  <c r="AP456" i="2"/>
  <c r="AK456" i="2"/>
  <c r="AT456" i="2"/>
  <c r="AP457" i="2"/>
  <c r="C323" i="9"/>
  <c r="Q398" i="9"/>
  <c r="R398" i="9"/>
  <c r="T398" i="9"/>
  <c r="E270" i="9"/>
  <c r="F270" i="9" s="1"/>
  <c r="A463" i="9"/>
  <c r="A327" i="9"/>
  <c r="S399" i="9" s="1"/>
  <c r="J463" i="9"/>
  <c r="A399" i="9"/>
  <c r="I463" i="9"/>
  <c r="L270" i="9"/>
  <c r="M327" i="9" s="1"/>
  <c r="BM330" i="2" s="1"/>
  <c r="K270" i="9"/>
  <c r="J327" i="9" s="1"/>
  <c r="BE330" i="2" s="1"/>
  <c r="G517" i="9"/>
  <c r="K517" i="9"/>
  <c r="N517" i="9"/>
  <c r="L517" i="9"/>
  <c r="R517" i="9"/>
  <c r="I517" i="9"/>
  <c r="P517" i="9"/>
  <c r="O517" i="9"/>
  <c r="H517" i="9"/>
  <c r="BO520" i="2" s="1"/>
  <c r="A271" i="9"/>
  <c r="I519" i="9"/>
  <c r="P519" i="9"/>
  <c r="G519" i="9"/>
  <c r="H519" i="9"/>
  <c r="O519" i="9"/>
  <c r="R519" i="9"/>
  <c r="N519" i="9"/>
  <c r="L519" i="9"/>
  <c r="K519" i="9"/>
  <c r="H398" i="9"/>
  <c r="L462" i="9" s="1"/>
  <c r="M462" i="9" s="1"/>
  <c r="E398" i="9"/>
  <c r="F398" i="9" s="1"/>
  <c r="D398" i="9"/>
  <c r="I398" i="9"/>
  <c r="B463" i="9"/>
  <c r="B521" i="9" s="1"/>
  <c r="B399" i="9"/>
  <c r="C399" i="9" s="1"/>
  <c r="B327" i="9"/>
  <c r="A520" i="9"/>
  <c r="D462" i="9"/>
  <c r="E462" i="9" s="1"/>
  <c r="P328" i="2"/>
  <c r="Q328" i="2" s="1"/>
  <c r="AO327" i="2"/>
  <c r="AP327" i="2" s="1"/>
  <c r="N385" i="2"/>
  <c r="K521" i="2"/>
  <c r="L521" i="2" s="1"/>
  <c r="N327" i="2"/>
  <c r="O327" i="2" s="1"/>
  <c r="BA327" i="2"/>
  <c r="N384" i="2"/>
  <c r="J579" i="2"/>
  <c r="AK327" i="2"/>
  <c r="AL327" i="2" s="1"/>
  <c r="H384" i="2"/>
  <c r="P327" i="2"/>
  <c r="Q327" i="2" s="1"/>
  <c r="M457" i="2"/>
  <c r="BI327" i="2"/>
  <c r="Q384" i="2"/>
  <c r="J577" i="2"/>
  <c r="L577" i="2" s="1"/>
  <c r="I519" i="2"/>
  <c r="AC455" i="2"/>
  <c r="M456" i="2"/>
  <c r="K520" i="2"/>
  <c r="L520" i="2" s="1"/>
  <c r="AD455" i="2"/>
  <c r="G383" i="2"/>
  <c r="H383" i="2" s="1"/>
  <c r="AK324" i="2"/>
  <c r="AL324" i="2" s="1"/>
  <c r="C382" i="2"/>
  <c r="AF325" i="2" s="1"/>
  <c r="I382" i="2"/>
  <c r="AR325" i="2" s="1"/>
  <c r="K381" i="2"/>
  <c r="D520" i="2"/>
  <c r="E520" i="2" s="1"/>
  <c r="J381" i="2"/>
  <c r="AS324" i="2" s="1"/>
  <c r="AT324" i="2" s="1"/>
  <c r="P326" i="2"/>
  <c r="Q326" i="2" s="1"/>
  <c r="D381" i="2"/>
  <c r="AG324" i="2" s="1"/>
  <c r="AH324" i="2" s="1"/>
  <c r="BA324" i="2"/>
  <c r="BB324" i="2" s="1"/>
  <c r="N381" i="2"/>
  <c r="AJ326" i="2"/>
  <c r="AJ328" i="2"/>
  <c r="AM523" i="2"/>
  <c r="AO523" i="2" s="1"/>
  <c r="L386" i="2"/>
  <c r="AZ329" i="2" s="1"/>
  <c r="BB329" i="2" s="1"/>
  <c r="P578" i="2"/>
  <c r="R578" i="2"/>
  <c r="G578" i="2"/>
  <c r="H578" i="2" s="1"/>
  <c r="N578" i="2"/>
  <c r="CA520" i="2" s="1"/>
  <c r="K578" i="2"/>
  <c r="BS520" i="2" s="1"/>
  <c r="AU523" i="2"/>
  <c r="AW523" i="2" s="1"/>
  <c r="O386" i="2"/>
  <c r="O579" i="2"/>
  <c r="R579" i="2"/>
  <c r="G579" i="2"/>
  <c r="K579" i="2"/>
  <c r="BS521" i="2" s="1"/>
  <c r="BU521" i="2" s="1"/>
  <c r="BH457" i="2"/>
  <c r="BJ457" i="2" s="1"/>
  <c r="I579" i="2"/>
  <c r="L579" i="2"/>
  <c r="N579" i="2"/>
  <c r="CA521" i="2" s="1"/>
  <c r="CC521" i="2" s="1"/>
  <c r="P579" i="2"/>
  <c r="H579" i="2"/>
  <c r="BK521" i="2" s="1"/>
  <c r="BM521" i="2" s="1"/>
  <c r="C458" i="2"/>
  <c r="H458" i="2"/>
  <c r="D458" i="2"/>
  <c r="E458" i="2"/>
  <c r="F458" i="2" s="1"/>
  <c r="B459" i="2"/>
  <c r="B523" i="2"/>
  <c r="B581" i="2" s="1"/>
  <c r="B386" i="2"/>
  <c r="AY458" i="2"/>
  <c r="BA458" i="2" s="1"/>
  <c r="R385" i="2"/>
  <c r="V385" i="2"/>
  <c r="S385" i="2"/>
  <c r="T385" i="2" s="1"/>
  <c r="G523" i="2"/>
  <c r="AE523" i="2" s="1"/>
  <c r="A386" i="2"/>
  <c r="U386" i="2" s="1"/>
  <c r="A459" i="2"/>
  <c r="I523" i="2"/>
  <c r="A523" i="2"/>
  <c r="J523" i="2"/>
  <c r="P385" i="2"/>
  <c r="BI328" i="2" s="1"/>
  <c r="A580" i="2"/>
  <c r="Q580" i="2" s="1"/>
  <c r="D522" i="2"/>
  <c r="E522" i="2" s="1"/>
  <c r="BT522" i="2" s="1"/>
  <c r="U329" i="2"/>
  <c r="P386" i="2" s="1"/>
  <c r="BI329" i="2" s="1"/>
  <c r="T329" i="2"/>
  <c r="M386" i="2" s="1"/>
  <c r="O325" i="2"/>
  <c r="J382" i="2" s="1"/>
  <c r="T325" i="2"/>
  <c r="M382" i="2" s="1"/>
  <c r="N382" i="2" s="1"/>
  <c r="N326" i="2"/>
  <c r="AK325" i="2"/>
  <c r="AL325" i="2" s="1"/>
  <c r="CE521" i="2"/>
  <c r="CG521" i="2" s="1"/>
  <c r="BL330" i="2"/>
  <c r="BN330" i="2" s="1"/>
  <c r="AY524" i="2"/>
  <c r="BA524" i="2" s="1"/>
  <c r="BD330" i="2"/>
  <c r="BF330" i="2" s="1"/>
  <c r="AQ524" i="2"/>
  <c r="AS524" i="2" s="1"/>
  <c r="CE519" i="2"/>
  <c r="AI520" i="2"/>
  <c r="AN519" i="2"/>
  <c r="AO519" i="2" s="1"/>
  <c r="BT519" i="2"/>
  <c r="BU519" i="2" s="1"/>
  <c r="BO521" i="2"/>
  <c r="BQ521" i="2" s="1"/>
  <c r="BW521" i="2"/>
  <c r="BY521" i="2" s="1"/>
  <c r="BW519" i="2"/>
  <c r="BY519" i="2" s="1"/>
  <c r="BA523" i="2"/>
  <c r="BX522" i="2"/>
  <c r="AR522" i="2"/>
  <c r="AR520" i="2"/>
  <c r="AS520" i="2" s="1"/>
  <c r="AN521" i="2"/>
  <c r="AM454" i="2"/>
  <c r="AY454" i="2"/>
  <c r="BL457" i="2"/>
  <c r="BN457" i="2" s="1"/>
  <c r="BC454" i="2"/>
  <c r="BC458" i="2"/>
  <c r="BE458" i="2" s="1"/>
  <c r="AK458" i="2"/>
  <c r="BH328" i="2"/>
  <c r="BJ328" i="2" s="1"/>
  <c r="BE325" i="2"/>
  <c r="BF325" i="2" s="1"/>
  <c r="BA328" i="2"/>
  <c r="AW324" i="2"/>
  <c r="AX324" i="2" s="1"/>
  <c r="AV330" i="2"/>
  <c r="AN325" i="2"/>
  <c r="P211" i="9"/>
  <c r="F328" i="9" s="1"/>
  <c r="R268" i="2"/>
  <c r="S268" i="2"/>
  <c r="H329" i="2"/>
  <c r="AO325" i="2"/>
  <c r="L211" i="9"/>
  <c r="K211" i="9"/>
  <c r="N211" i="9"/>
  <c r="G211" i="9"/>
  <c r="C211" i="9"/>
  <c r="D211" i="9" s="1"/>
  <c r="F211" i="9" s="1"/>
  <c r="H211" i="9" s="1"/>
  <c r="O211" i="9"/>
  <c r="I211" i="9"/>
  <c r="G464" i="9" s="1"/>
  <c r="AI525" i="2" s="1"/>
  <c r="E211" i="9"/>
  <c r="J211" i="9"/>
  <c r="R211" i="9"/>
  <c r="L328" i="9" s="1"/>
  <c r="Q211" i="9"/>
  <c r="I328" i="9" s="1"/>
  <c r="B211" i="9"/>
  <c r="B271" i="9" s="1"/>
  <c r="A269" i="2"/>
  <c r="I268" i="2"/>
  <c r="T268" i="2" s="1"/>
  <c r="C268" i="2"/>
  <c r="D268" i="2" s="1"/>
  <c r="F268" i="2" s="1"/>
  <c r="G268" i="2"/>
  <c r="V268" i="2"/>
  <c r="E268" i="2"/>
  <c r="K268" i="2"/>
  <c r="L268" i="2" s="1"/>
  <c r="J268" i="2"/>
  <c r="A330" i="2"/>
  <c r="B268" i="2"/>
  <c r="B330" i="2" s="1"/>
  <c r="O268" i="2"/>
  <c r="P268" i="2" s="1"/>
  <c r="Q268" i="2" s="1"/>
  <c r="U268" i="2"/>
  <c r="C329" i="2"/>
  <c r="D329" i="2"/>
  <c r="F329" i="2"/>
  <c r="G329" i="2" s="1"/>
  <c r="A145" i="1"/>
  <c r="B145" i="1" s="1"/>
  <c r="A212" i="9" s="1"/>
  <c r="P463" i="9" l="1"/>
  <c r="M399" i="9"/>
  <c r="Q520" i="9"/>
  <c r="E520" i="9"/>
  <c r="D520" i="9"/>
  <c r="BG523" i="2" s="1"/>
  <c r="K460" i="2"/>
  <c r="L460" i="2"/>
  <c r="W330" i="2"/>
  <c r="M330" i="2"/>
  <c r="L330" i="2"/>
  <c r="N523" i="2"/>
  <c r="S459" i="2"/>
  <c r="Q459" i="2"/>
  <c r="P459" i="2"/>
  <c r="O459" i="2"/>
  <c r="I459" i="2"/>
  <c r="U459" i="2"/>
  <c r="J459" i="2"/>
  <c r="R459" i="2"/>
  <c r="T459" i="2"/>
  <c r="N459" i="2"/>
  <c r="E580" i="2"/>
  <c r="D580" i="2"/>
  <c r="BC522" i="2" s="1"/>
  <c r="E330" i="2"/>
  <c r="J330" i="2"/>
  <c r="H271" i="9"/>
  <c r="M271" i="9"/>
  <c r="K464" i="9" s="1"/>
  <c r="L399" i="9"/>
  <c r="O463" i="9" s="1"/>
  <c r="V330" i="2"/>
  <c r="K330" i="2"/>
  <c r="I330" i="2"/>
  <c r="D271" i="9"/>
  <c r="G271" i="9"/>
  <c r="K522" i="2"/>
  <c r="L522" i="2" s="1"/>
  <c r="O397" i="9"/>
  <c r="P329" i="2"/>
  <c r="Q329" i="2" s="1"/>
  <c r="G326" i="9"/>
  <c r="AW329" i="2" s="1"/>
  <c r="AX329" i="2" s="1"/>
  <c r="AP328" i="2"/>
  <c r="O395" i="9"/>
  <c r="M268" i="2"/>
  <c r="N268" i="2" s="1"/>
  <c r="J398" i="9"/>
  <c r="K398" i="9" s="1"/>
  <c r="O398" i="9" s="1"/>
  <c r="W268" i="2"/>
  <c r="F387" i="2" s="1"/>
  <c r="H268" i="2"/>
  <c r="M211" i="9"/>
  <c r="C328" i="9" s="1"/>
  <c r="AN331" i="2" s="1"/>
  <c r="AF455" i="2"/>
  <c r="Q386" i="2"/>
  <c r="I270" i="9"/>
  <c r="J270" i="9" s="1"/>
  <c r="G327" i="9" s="1"/>
  <c r="K327" i="9"/>
  <c r="M458" i="2"/>
  <c r="AT459" i="2"/>
  <c r="J520" i="9"/>
  <c r="BX523" i="2" s="1"/>
  <c r="AE455" i="2"/>
  <c r="AG455" i="2"/>
  <c r="AH454" i="2"/>
  <c r="AI454" i="2" s="1"/>
  <c r="AN454" i="2" s="1"/>
  <c r="AN326" i="2"/>
  <c r="E323" i="9"/>
  <c r="G458" i="2"/>
  <c r="G399" i="9"/>
  <c r="N327" i="9"/>
  <c r="C144" i="1"/>
  <c r="C271" i="9" s="1"/>
  <c r="N386" i="2"/>
  <c r="V454" i="2"/>
  <c r="W454" i="2"/>
  <c r="AP458" i="2"/>
  <c r="A400" i="9"/>
  <c r="A464" i="9"/>
  <c r="A328" i="9"/>
  <c r="S400" i="9" s="1"/>
  <c r="I464" i="9"/>
  <c r="J464" i="9"/>
  <c r="E271" i="9"/>
  <c r="F271" i="9" s="1"/>
  <c r="K271" i="9"/>
  <c r="J328" i="9" s="1"/>
  <c r="BE331" i="2" s="1"/>
  <c r="L271" i="9"/>
  <c r="M328" i="9" s="1"/>
  <c r="BM331" i="2" s="1"/>
  <c r="K520" i="9"/>
  <c r="L520" i="9"/>
  <c r="G520" i="9"/>
  <c r="H520" i="9"/>
  <c r="R520" i="9"/>
  <c r="I520" i="9"/>
  <c r="O520" i="9"/>
  <c r="N520" i="9"/>
  <c r="P520" i="9"/>
  <c r="H399" i="9"/>
  <c r="L463" i="9" s="1"/>
  <c r="M463" i="9" s="1"/>
  <c r="D399" i="9"/>
  <c r="I399" i="9"/>
  <c r="E399" i="9"/>
  <c r="F399" i="9" s="1"/>
  <c r="B464" i="9"/>
  <c r="B522" i="9" s="1"/>
  <c r="B400" i="9"/>
  <c r="C400" i="9" s="1"/>
  <c r="B328" i="9"/>
  <c r="Q399" i="9"/>
  <c r="R399" i="9"/>
  <c r="T399" i="9"/>
  <c r="A272" i="9"/>
  <c r="A521" i="9"/>
  <c r="D463" i="9"/>
  <c r="E463" i="9" s="1"/>
  <c r="J521" i="9" s="1"/>
  <c r="J580" i="2"/>
  <c r="N328" i="2"/>
  <c r="R328" i="2"/>
  <c r="S328" i="2" s="1"/>
  <c r="G385" i="2" s="1"/>
  <c r="Q385" i="2"/>
  <c r="E384" i="2"/>
  <c r="AC457" i="2"/>
  <c r="J384" i="2"/>
  <c r="AS327" i="2" s="1"/>
  <c r="K384" i="2"/>
  <c r="C384" i="2"/>
  <c r="AF327" i="2" s="1"/>
  <c r="AH327" i="2" s="1"/>
  <c r="I384" i="2"/>
  <c r="AR327" i="2" s="1"/>
  <c r="AT327" i="2" s="1"/>
  <c r="D384" i="2"/>
  <c r="AG327" i="2" s="1"/>
  <c r="AD457" i="2"/>
  <c r="BK520" i="2"/>
  <c r="BT520" i="2"/>
  <c r="BU520" i="2" s="1"/>
  <c r="I520" i="2"/>
  <c r="AN520" i="2"/>
  <c r="AO520" i="2" s="1"/>
  <c r="AC456" i="2"/>
  <c r="AD456" i="2"/>
  <c r="J578" i="2"/>
  <c r="L578" i="2" s="1"/>
  <c r="K382" i="2"/>
  <c r="E382" i="2"/>
  <c r="D382" i="2"/>
  <c r="AG325" i="2" s="1"/>
  <c r="AH325" i="2" s="1"/>
  <c r="I383" i="2"/>
  <c r="AR326" i="2" s="1"/>
  <c r="C383" i="2"/>
  <c r="AF326" i="2" s="1"/>
  <c r="AJ329" i="2"/>
  <c r="D523" i="2"/>
  <c r="E523" i="2" s="1"/>
  <c r="BT523" i="2" s="1"/>
  <c r="A581" i="2"/>
  <c r="Q581" i="2" s="1"/>
  <c r="R386" i="2"/>
  <c r="S386" i="2"/>
  <c r="T386" i="2" s="1"/>
  <c r="V386" i="2"/>
  <c r="AY459" i="2"/>
  <c r="BA459" i="2" s="1"/>
  <c r="B387" i="2"/>
  <c r="B460" i="2"/>
  <c r="B524" i="2"/>
  <c r="B582" i="2" s="1"/>
  <c r="N580" i="2"/>
  <c r="CA522" i="2" s="1"/>
  <c r="CC522" i="2" s="1"/>
  <c r="H580" i="2"/>
  <c r="BK522" i="2" s="1"/>
  <c r="BM522" i="2" s="1"/>
  <c r="I580" i="2"/>
  <c r="R580" i="2"/>
  <c r="O580" i="2"/>
  <c r="G580" i="2"/>
  <c r="K580" i="2"/>
  <c r="BS522" i="2" s="1"/>
  <c r="BU522" i="2" s="1"/>
  <c r="P580" i="2"/>
  <c r="L580" i="2"/>
  <c r="BH458" i="2"/>
  <c r="BJ458" i="2" s="1"/>
  <c r="C459" i="2"/>
  <c r="G459" i="2" s="1"/>
  <c r="H459" i="2"/>
  <c r="D459" i="2"/>
  <c r="E459" i="2"/>
  <c r="F459" i="2" s="1"/>
  <c r="A387" i="2"/>
  <c r="U387" i="2" s="1"/>
  <c r="G524" i="2"/>
  <c r="AE524" i="2" s="1"/>
  <c r="A524" i="2"/>
  <c r="I524" i="2"/>
  <c r="A460" i="2"/>
  <c r="J524" i="2"/>
  <c r="AU524" i="2"/>
  <c r="AW524" i="2" s="1"/>
  <c r="O387" i="2"/>
  <c r="AM524" i="2"/>
  <c r="AO524" i="2" s="1"/>
  <c r="L387" i="2"/>
  <c r="AZ330" i="2" s="1"/>
  <c r="BB330" i="2" s="1"/>
  <c r="U330" i="2"/>
  <c r="BA325" i="2"/>
  <c r="BB325" i="2" s="1"/>
  <c r="O326" i="2"/>
  <c r="J383" i="2" s="1"/>
  <c r="T326" i="2"/>
  <c r="M383" i="2" s="1"/>
  <c r="N383" i="2" s="1"/>
  <c r="T330" i="2"/>
  <c r="M387" i="2" s="1"/>
  <c r="AS325" i="2"/>
  <c r="AT325" i="2" s="1"/>
  <c r="AK326" i="2"/>
  <c r="AL326" i="2" s="1"/>
  <c r="CE522" i="2"/>
  <c r="CG522" i="2" s="1"/>
  <c r="AV331" i="2"/>
  <c r="BD331" i="2"/>
  <c r="BF331" i="2" s="1"/>
  <c r="AQ525" i="2"/>
  <c r="AS525" i="2" s="1"/>
  <c r="CE520" i="2"/>
  <c r="BL331" i="2"/>
  <c r="BN331" i="2" s="1"/>
  <c r="AY525" i="2"/>
  <c r="BO522" i="2"/>
  <c r="BQ522" i="2" s="1"/>
  <c r="BW522" i="2"/>
  <c r="BY522" i="2" s="1"/>
  <c r="BW520" i="2"/>
  <c r="BY520" i="2" s="1"/>
  <c r="AR523" i="2"/>
  <c r="AN522" i="2"/>
  <c r="AM458" i="2"/>
  <c r="BD454" i="2"/>
  <c r="AZ454" i="2"/>
  <c r="AY455" i="2"/>
  <c r="BL458" i="2"/>
  <c r="BN458" i="2" s="1"/>
  <c r="BC455" i="2"/>
  <c r="BC459" i="2"/>
  <c r="BE459" i="2" s="1"/>
  <c r="AM455" i="2"/>
  <c r="AK459" i="2"/>
  <c r="BH329" i="2"/>
  <c r="BJ329" i="2" s="1"/>
  <c r="AP325" i="2"/>
  <c r="BE326" i="2"/>
  <c r="BF326" i="2" s="1"/>
  <c r="BA329" i="2"/>
  <c r="AW325" i="2"/>
  <c r="AX325" i="2" s="1"/>
  <c r="AO329" i="2"/>
  <c r="AP329" i="2" s="1"/>
  <c r="P212" i="9"/>
  <c r="F329" i="9" s="1"/>
  <c r="R269" i="2"/>
  <c r="S269" i="2"/>
  <c r="H330" i="2"/>
  <c r="AO326" i="2"/>
  <c r="N212" i="9"/>
  <c r="L212" i="9"/>
  <c r="Q212" i="9"/>
  <c r="I329" i="9" s="1"/>
  <c r="K212" i="9"/>
  <c r="G212" i="9"/>
  <c r="E212" i="9"/>
  <c r="C212" i="9"/>
  <c r="D212" i="9" s="1"/>
  <c r="F212" i="9" s="1"/>
  <c r="H212" i="9" s="1"/>
  <c r="R212" i="9"/>
  <c r="L329" i="9" s="1"/>
  <c r="O212" i="9"/>
  <c r="I212" i="9"/>
  <c r="J212" i="9"/>
  <c r="B212" i="9"/>
  <c r="B272" i="9" s="1"/>
  <c r="F330" i="2"/>
  <c r="G330" i="2" s="1"/>
  <c r="C330" i="2"/>
  <c r="D330" i="2"/>
  <c r="B269" i="2"/>
  <c r="B331" i="2" s="1"/>
  <c r="V269" i="2"/>
  <c r="E269" i="2"/>
  <c r="A331" i="2"/>
  <c r="G269" i="2"/>
  <c r="I269" i="2"/>
  <c r="U269" i="2" s="1"/>
  <c r="C269" i="2"/>
  <c r="D269" i="2" s="1"/>
  <c r="F269" i="2" s="1"/>
  <c r="H269" i="2" s="1"/>
  <c r="K269" i="2"/>
  <c r="O269" i="2" s="1"/>
  <c r="P269" i="2" s="1"/>
  <c r="Q269" i="2" s="1"/>
  <c r="L269" i="2"/>
  <c r="J269" i="2"/>
  <c r="T269" i="2"/>
  <c r="A270" i="2"/>
  <c r="A146" i="1"/>
  <c r="B146" i="1" s="1"/>
  <c r="A213" i="9" s="1"/>
  <c r="Q521" i="9" l="1"/>
  <c r="D521" i="9"/>
  <c r="BG524" i="2" s="1"/>
  <c r="E521" i="9"/>
  <c r="P464" i="9"/>
  <c r="M400" i="9"/>
  <c r="O460" i="2"/>
  <c r="N524" i="2"/>
  <c r="U460" i="2"/>
  <c r="R460" i="2"/>
  <c r="I460" i="2"/>
  <c r="P460" i="2"/>
  <c r="J460" i="2"/>
  <c r="T460" i="2"/>
  <c r="S460" i="2"/>
  <c r="Q460" i="2"/>
  <c r="N460" i="2"/>
  <c r="L461" i="2"/>
  <c r="K461" i="2"/>
  <c r="W331" i="2"/>
  <c r="M331" i="2"/>
  <c r="L331" i="2"/>
  <c r="D581" i="2"/>
  <c r="BC523" i="2" s="1"/>
  <c r="E581" i="2"/>
  <c r="E331" i="2"/>
  <c r="J331" i="2"/>
  <c r="H272" i="9"/>
  <c r="M272" i="9"/>
  <c r="K465" i="9" s="1"/>
  <c r="L400" i="9"/>
  <c r="O464" i="9" s="1"/>
  <c r="V331" i="2"/>
  <c r="K331" i="2"/>
  <c r="I331" i="2"/>
  <c r="D272" i="9"/>
  <c r="G272" i="9"/>
  <c r="H326" i="9"/>
  <c r="M212" i="9"/>
  <c r="C329" i="9" s="1"/>
  <c r="AN332" i="2" s="1"/>
  <c r="AC458" i="2"/>
  <c r="J399" i="9"/>
  <c r="K399" i="9" s="1"/>
  <c r="N399" i="9" s="1"/>
  <c r="P399" i="9" s="1"/>
  <c r="AL460" i="2" s="1"/>
  <c r="G465" i="9"/>
  <c r="AI526" i="2" s="1"/>
  <c r="N328" i="9"/>
  <c r="N398" i="9"/>
  <c r="P398" i="9" s="1"/>
  <c r="AL459" i="2" s="1"/>
  <c r="AM459" i="2" s="1"/>
  <c r="P330" i="2"/>
  <c r="Q330" i="2" s="1"/>
  <c r="N329" i="2"/>
  <c r="O329" i="2" s="1"/>
  <c r="R329" i="2"/>
  <c r="S329" i="2" s="1"/>
  <c r="G386" i="2" s="1"/>
  <c r="AD458" i="2"/>
  <c r="W269" i="2"/>
  <c r="F388" i="2" s="1"/>
  <c r="D327" i="9"/>
  <c r="E327" i="9" s="1"/>
  <c r="I271" i="9"/>
  <c r="J271" i="9" s="1"/>
  <c r="G328" i="9" s="1"/>
  <c r="M459" i="2"/>
  <c r="AF457" i="2"/>
  <c r="J386" i="2"/>
  <c r="AS329" i="2" s="1"/>
  <c r="K523" i="2"/>
  <c r="L523" i="2" s="1"/>
  <c r="AF456" i="2"/>
  <c r="AT460" i="2"/>
  <c r="M269" i="2"/>
  <c r="N269" i="2" s="1"/>
  <c r="AP326" i="2"/>
  <c r="J581" i="2"/>
  <c r="AE457" i="2"/>
  <c r="AG457" i="2"/>
  <c r="N387" i="2"/>
  <c r="C145" i="1"/>
  <c r="C272" i="9" s="1"/>
  <c r="K328" i="9"/>
  <c r="AH455" i="2"/>
  <c r="AI455" i="2" s="1"/>
  <c r="AN455" i="2" s="1"/>
  <c r="AW330" i="2"/>
  <c r="AX330" i="2" s="1"/>
  <c r="H327" i="9"/>
  <c r="AE456" i="2"/>
  <c r="AG456" i="2"/>
  <c r="G400" i="9"/>
  <c r="V455" i="2"/>
  <c r="W455" i="2"/>
  <c r="AP459" i="2"/>
  <c r="K521" i="9"/>
  <c r="L521" i="9"/>
  <c r="N521" i="9"/>
  <c r="P521" i="9"/>
  <c r="R521" i="9"/>
  <c r="H521" i="9"/>
  <c r="I521" i="9"/>
  <c r="G521" i="9"/>
  <c r="O521" i="9"/>
  <c r="AR524" i="2"/>
  <c r="D464" i="9"/>
  <c r="E464" i="9" s="1"/>
  <c r="J522" i="9" s="1"/>
  <c r="A522" i="9"/>
  <c r="B465" i="9"/>
  <c r="B523" i="9" s="1"/>
  <c r="B401" i="9"/>
  <c r="C401" i="9" s="1"/>
  <c r="B329" i="9"/>
  <c r="A465" i="9"/>
  <c r="I465" i="9"/>
  <c r="A401" i="9"/>
  <c r="J465" i="9"/>
  <c r="A329" i="9"/>
  <c r="S401" i="9" s="1"/>
  <c r="E272" i="9"/>
  <c r="F272" i="9" s="1"/>
  <c r="L272" i="9"/>
  <c r="M329" i="9" s="1"/>
  <c r="BM332" i="2" s="1"/>
  <c r="K272" i="9"/>
  <c r="J329" i="9" s="1"/>
  <c r="BE332" i="2" s="1"/>
  <c r="Q400" i="9"/>
  <c r="T400" i="9"/>
  <c r="R400" i="9"/>
  <c r="D400" i="9"/>
  <c r="E400" i="9"/>
  <c r="F400" i="9" s="1"/>
  <c r="H400" i="9"/>
  <c r="L464" i="9" s="1"/>
  <c r="M464" i="9" s="1"/>
  <c r="I400" i="9"/>
  <c r="A273" i="9"/>
  <c r="O328" i="2"/>
  <c r="K385" i="2"/>
  <c r="J385" i="2"/>
  <c r="AS328" i="2" s="1"/>
  <c r="I385" i="2"/>
  <c r="AR328" i="2" s="1"/>
  <c r="AT328" i="2" s="1"/>
  <c r="E385" i="2"/>
  <c r="D385" i="2"/>
  <c r="AG328" i="2" s="1"/>
  <c r="C385" i="2"/>
  <c r="AF328" i="2" s="1"/>
  <c r="AH328" i="2" s="1"/>
  <c r="AK328" i="2"/>
  <c r="AL328" i="2" s="1"/>
  <c r="H385" i="2"/>
  <c r="D383" i="2"/>
  <c r="AG326" i="2" s="1"/>
  <c r="AH326" i="2" s="1"/>
  <c r="K383" i="2"/>
  <c r="E383" i="2"/>
  <c r="B525" i="2"/>
  <c r="B583" i="2" s="1"/>
  <c r="B388" i="2"/>
  <c r="B461" i="2"/>
  <c r="P387" i="2"/>
  <c r="A582" i="2"/>
  <c r="Q582" i="2" s="1"/>
  <c r="D524" i="2"/>
  <c r="E524" i="2" s="1"/>
  <c r="AU525" i="2"/>
  <c r="AW525" i="2" s="1"/>
  <c r="O388" i="2"/>
  <c r="BH331" i="2" s="1"/>
  <c r="BJ331" i="2" s="1"/>
  <c r="C460" i="2"/>
  <c r="G460" i="2" s="1"/>
  <c r="D460" i="2"/>
  <c r="H460" i="2"/>
  <c r="E460" i="2"/>
  <c r="F460" i="2" s="1"/>
  <c r="N581" i="2"/>
  <c r="CA523" i="2" s="1"/>
  <c r="CC523" i="2" s="1"/>
  <c r="R581" i="2"/>
  <c r="BH459" i="2"/>
  <c r="BJ459" i="2" s="1"/>
  <c r="I581" i="2"/>
  <c r="K581" i="2"/>
  <c r="BS523" i="2" s="1"/>
  <c r="BU523" i="2" s="1"/>
  <c r="L581" i="2"/>
  <c r="O581" i="2"/>
  <c r="P581" i="2"/>
  <c r="G581" i="2"/>
  <c r="H581" i="2"/>
  <c r="BK523" i="2" s="1"/>
  <c r="BM523" i="2" s="1"/>
  <c r="AJ330" i="2"/>
  <c r="AY460" i="2"/>
  <c r="BA460" i="2" s="1"/>
  <c r="S387" i="2"/>
  <c r="T387" i="2" s="1"/>
  <c r="V387" i="2"/>
  <c r="R387" i="2"/>
  <c r="AM525" i="2"/>
  <c r="AO525" i="2" s="1"/>
  <c r="L388" i="2"/>
  <c r="AZ331" i="2" s="1"/>
  <c r="BB331" i="2" s="1"/>
  <c r="A388" i="2"/>
  <c r="U388" i="2" s="1"/>
  <c r="J525" i="2"/>
  <c r="G525" i="2"/>
  <c r="AE525" i="2" s="1"/>
  <c r="A525" i="2"/>
  <c r="I525" i="2"/>
  <c r="A461" i="2"/>
  <c r="AS326" i="2"/>
  <c r="AT326" i="2" s="1"/>
  <c r="U331" i="2"/>
  <c r="T331" i="2"/>
  <c r="M388" i="2" s="1"/>
  <c r="AV332" i="2"/>
  <c r="BL332" i="2"/>
  <c r="BN332" i="2" s="1"/>
  <c r="AY526" i="2"/>
  <c r="CE523" i="2"/>
  <c r="CG523" i="2" s="1"/>
  <c r="BD332" i="2"/>
  <c r="BF332" i="2" s="1"/>
  <c r="AQ526" i="2"/>
  <c r="AS526" i="2" s="1"/>
  <c r="BO523" i="2"/>
  <c r="BQ523" i="2" s="1"/>
  <c r="BW523" i="2"/>
  <c r="BY523" i="2" s="1"/>
  <c r="BA525" i="2"/>
  <c r="AN523" i="2"/>
  <c r="BD455" i="2"/>
  <c r="AZ455" i="2"/>
  <c r="BL459" i="2"/>
  <c r="BN459" i="2" s="1"/>
  <c r="AY456" i="2"/>
  <c r="BC456" i="2"/>
  <c r="BC460" i="2"/>
  <c r="BE460" i="2" s="1"/>
  <c r="AK460" i="2"/>
  <c r="AM456" i="2"/>
  <c r="BH330" i="2"/>
  <c r="BJ330" i="2" s="1"/>
  <c r="BA330" i="2"/>
  <c r="BA326" i="2"/>
  <c r="BB326" i="2" s="1"/>
  <c r="AW326" i="2"/>
  <c r="AX326" i="2" s="1"/>
  <c r="P213" i="9"/>
  <c r="F330" i="9" s="1"/>
  <c r="R270" i="2"/>
  <c r="S270" i="2"/>
  <c r="H331" i="2"/>
  <c r="BX524" i="2"/>
  <c r="O213" i="9"/>
  <c r="N213" i="9"/>
  <c r="E213" i="9"/>
  <c r="R213" i="9"/>
  <c r="L330" i="9" s="1"/>
  <c r="G213" i="9"/>
  <c r="Q213" i="9"/>
  <c r="I330" i="9" s="1"/>
  <c r="K213" i="9"/>
  <c r="I213" i="9"/>
  <c r="C213" i="9"/>
  <c r="D213" i="9" s="1"/>
  <c r="F213" i="9" s="1"/>
  <c r="H213" i="9" s="1"/>
  <c r="L213" i="9"/>
  <c r="J213" i="9"/>
  <c r="B213" i="9"/>
  <c r="B273" i="9" s="1"/>
  <c r="J270" i="2"/>
  <c r="C270" i="2"/>
  <c r="D270" i="2" s="1"/>
  <c r="F270" i="2" s="1"/>
  <c r="V270" i="2"/>
  <c r="W270" i="2" s="1"/>
  <c r="K270" i="2"/>
  <c r="O270" i="2" s="1"/>
  <c r="I270" i="2"/>
  <c r="U270" i="2" s="1"/>
  <c r="A332" i="2"/>
  <c r="E270" i="2"/>
  <c r="B270" i="2"/>
  <c r="B332" i="2" s="1"/>
  <c r="G270" i="2"/>
  <c r="P270" i="2"/>
  <c r="Q270" i="2" s="1"/>
  <c r="T270" i="2"/>
  <c r="L270" i="2"/>
  <c r="C331" i="2"/>
  <c r="F331" i="2"/>
  <c r="G331" i="2" s="1"/>
  <c r="D331" i="2"/>
  <c r="A271" i="2"/>
  <c r="A147" i="1"/>
  <c r="B147" i="1" s="1"/>
  <c r="A214" i="9" s="1"/>
  <c r="Q522" i="9" l="1"/>
  <c r="E522" i="9"/>
  <c r="D522" i="9"/>
  <c r="BG525" i="2" s="1"/>
  <c r="P465" i="9"/>
  <c r="M401" i="9"/>
  <c r="T461" i="2"/>
  <c r="R461" i="2"/>
  <c r="U461" i="2"/>
  <c r="O461" i="2"/>
  <c r="I461" i="2"/>
  <c r="N525" i="2"/>
  <c r="P461" i="2"/>
  <c r="J461" i="2"/>
  <c r="Q461" i="2"/>
  <c r="S461" i="2"/>
  <c r="N461" i="2"/>
  <c r="K462" i="2"/>
  <c r="L462" i="2"/>
  <c r="W332" i="2"/>
  <c r="M332" i="2"/>
  <c r="L332" i="2"/>
  <c r="D582" i="2"/>
  <c r="BC524" i="2" s="1"/>
  <c r="E582" i="2"/>
  <c r="E332" i="2"/>
  <c r="J332" i="2"/>
  <c r="H273" i="9"/>
  <c r="M273" i="9"/>
  <c r="K466" i="9" s="1"/>
  <c r="L401" i="9"/>
  <c r="O465" i="9" s="1"/>
  <c r="V332" i="2"/>
  <c r="I332" i="2"/>
  <c r="K332" i="2"/>
  <c r="D273" i="9"/>
  <c r="G273" i="9"/>
  <c r="R331" i="2"/>
  <c r="S331" i="2" s="1"/>
  <c r="O399" i="9"/>
  <c r="D386" i="2"/>
  <c r="AG329" i="2" s="1"/>
  <c r="K386" i="2"/>
  <c r="M270" i="2"/>
  <c r="N270" i="2" s="1"/>
  <c r="C386" i="2"/>
  <c r="AF329" i="2" s="1"/>
  <c r="AH329" i="2" s="1"/>
  <c r="E386" i="2"/>
  <c r="I386" i="2"/>
  <c r="AR329" i="2" s="1"/>
  <c r="AT329" i="2" s="1"/>
  <c r="J400" i="9"/>
  <c r="K400" i="9" s="1"/>
  <c r="N400" i="9" s="1"/>
  <c r="P400" i="9" s="1"/>
  <c r="AL461" i="2" s="1"/>
  <c r="M213" i="9"/>
  <c r="C330" i="9" s="1"/>
  <c r="AN333" i="2" s="1"/>
  <c r="C146" i="1"/>
  <c r="C273" i="9" s="1"/>
  <c r="D328" i="9"/>
  <c r="E328" i="9" s="1"/>
  <c r="I272" i="9"/>
  <c r="J272" i="9" s="1"/>
  <c r="AO330" i="2"/>
  <c r="AP330" i="2" s="1"/>
  <c r="M460" i="2"/>
  <c r="AF458" i="2"/>
  <c r="AK329" i="2"/>
  <c r="AL329" i="2" s="1"/>
  <c r="H386" i="2"/>
  <c r="N330" i="2"/>
  <c r="O330" i="2" s="1"/>
  <c r="R330" i="2"/>
  <c r="S330" i="2" s="1"/>
  <c r="G387" i="2" s="1"/>
  <c r="G388" i="2"/>
  <c r="AK331" i="2" s="1"/>
  <c r="G466" i="9"/>
  <c r="AI527" i="2" s="1"/>
  <c r="AD459" i="2"/>
  <c r="P331" i="2"/>
  <c r="Q331" i="2" s="1"/>
  <c r="AC459" i="2"/>
  <c r="N331" i="2"/>
  <c r="O331" i="2" s="1"/>
  <c r="AT461" i="2"/>
  <c r="J582" i="2"/>
  <c r="AW331" i="2"/>
  <c r="AX331" i="2" s="1"/>
  <c r="H328" i="9"/>
  <c r="BI330" i="2"/>
  <c r="Q387" i="2"/>
  <c r="W456" i="2"/>
  <c r="V456" i="2"/>
  <c r="BT524" i="2"/>
  <c r="D525" i="2"/>
  <c r="E525" i="2" s="1"/>
  <c r="V457" i="2"/>
  <c r="W457" i="2"/>
  <c r="G401" i="9"/>
  <c r="AE458" i="2"/>
  <c r="AG458" i="2"/>
  <c r="N329" i="9"/>
  <c r="H270" i="2"/>
  <c r="AH456" i="2"/>
  <c r="AI456" i="2" s="1"/>
  <c r="AN456" i="2" s="1"/>
  <c r="AH457" i="2"/>
  <c r="AI457" i="2" s="1"/>
  <c r="AN457" i="2" s="1"/>
  <c r="N388" i="2"/>
  <c r="K524" i="2"/>
  <c r="L524" i="2" s="1"/>
  <c r="K329" i="9"/>
  <c r="AP460" i="2"/>
  <c r="A274" i="9"/>
  <c r="B402" i="9"/>
  <c r="C402" i="9" s="1"/>
  <c r="B466" i="9"/>
  <c r="B524" i="9" s="1"/>
  <c r="B330" i="9"/>
  <c r="N522" i="9"/>
  <c r="O522" i="9"/>
  <c r="P522" i="9"/>
  <c r="G522" i="9"/>
  <c r="H522" i="9"/>
  <c r="R522" i="9"/>
  <c r="K522" i="9"/>
  <c r="L522" i="9"/>
  <c r="I522" i="9"/>
  <c r="R401" i="9"/>
  <c r="T401" i="9"/>
  <c r="Q401" i="9"/>
  <c r="D465" i="9"/>
  <c r="E465" i="9" s="1"/>
  <c r="A523" i="9"/>
  <c r="D401" i="9"/>
  <c r="E401" i="9"/>
  <c r="F401" i="9" s="1"/>
  <c r="I401" i="9"/>
  <c r="H401" i="9"/>
  <c r="L465" i="9" s="1"/>
  <c r="M465" i="9" s="1"/>
  <c r="AR525" i="2"/>
  <c r="I466" i="9"/>
  <c r="J466" i="9"/>
  <c r="A402" i="9"/>
  <c r="A330" i="9"/>
  <c r="S402" i="9" s="1"/>
  <c r="A466" i="9"/>
  <c r="L273" i="9"/>
  <c r="M330" i="9" s="1"/>
  <c r="BM333" i="2" s="1"/>
  <c r="K273" i="9"/>
  <c r="J330" i="9" s="1"/>
  <c r="BE333" i="2" s="1"/>
  <c r="E273" i="9"/>
  <c r="F273" i="9" s="1"/>
  <c r="P388" i="2"/>
  <c r="L582" i="2"/>
  <c r="N582" i="2"/>
  <c r="CA524" i="2" s="1"/>
  <c r="CC524" i="2" s="1"/>
  <c r="R582" i="2"/>
  <c r="G582" i="2"/>
  <c r="O582" i="2"/>
  <c r="P582" i="2"/>
  <c r="H582" i="2"/>
  <c r="BK524" i="2" s="1"/>
  <c r="BM524" i="2" s="1"/>
  <c r="K582" i="2"/>
  <c r="BS524" i="2" s="1"/>
  <c r="BU524" i="2" s="1"/>
  <c r="I582" i="2"/>
  <c r="BH460" i="2"/>
  <c r="BJ460" i="2" s="1"/>
  <c r="B462" i="2"/>
  <c r="B389" i="2"/>
  <c r="B526" i="2"/>
  <c r="B584" i="2" s="1"/>
  <c r="S388" i="2"/>
  <c r="T388" i="2" s="1"/>
  <c r="R388" i="2"/>
  <c r="AY461" i="2"/>
  <c r="BA461" i="2" s="1"/>
  <c r="V388" i="2"/>
  <c r="F389" i="2"/>
  <c r="A389" i="2"/>
  <c r="U389" i="2" s="1"/>
  <c r="A526" i="2"/>
  <c r="I526" i="2"/>
  <c r="J526" i="2"/>
  <c r="A462" i="2"/>
  <c r="G526" i="2"/>
  <c r="AE526" i="2" s="1"/>
  <c r="A583" i="2"/>
  <c r="Q583" i="2" s="1"/>
  <c r="AU526" i="2"/>
  <c r="AW526" i="2" s="1"/>
  <c r="O389" i="2"/>
  <c r="AM526" i="2"/>
  <c r="AO526" i="2" s="1"/>
  <c r="L389" i="2"/>
  <c r="AZ332" i="2" s="1"/>
  <c r="BB332" i="2" s="1"/>
  <c r="C461" i="2"/>
  <c r="G461" i="2" s="1"/>
  <c r="E461" i="2"/>
  <c r="F461" i="2" s="1"/>
  <c r="H461" i="2"/>
  <c r="M461" i="2" s="1"/>
  <c r="D461" i="2"/>
  <c r="AJ331" i="2"/>
  <c r="U332" i="2"/>
  <c r="T332" i="2"/>
  <c r="M389" i="2" s="1"/>
  <c r="BL333" i="2"/>
  <c r="BN333" i="2" s="1"/>
  <c r="AY527" i="2"/>
  <c r="BA527" i="2" s="1"/>
  <c r="CE524" i="2"/>
  <c r="CG524" i="2" s="1"/>
  <c r="AV333" i="2"/>
  <c r="BD333" i="2"/>
  <c r="BF333" i="2" s="1"/>
  <c r="AQ527" i="2"/>
  <c r="AS527" i="2" s="1"/>
  <c r="BO524" i="2"/>
  <c r="BQ524" i="2" s="1"/>
  <c r="BW524" i="2"/>
  <c r="BY524" i="2" s="1"/>
  <c r="BA526" i="2"/>
  <c r="AN524" i="2"/>
  <c r="AM460" i="2"/>
  <c r="BD456" i="2"/>
  <c r="AZ456" i="2"/>
  <c r="BL460" i="2"/>
  <c r="BN460" i="2" s="1"/>
  <c r="BC461" i="2"/>
  <c r="BE461" i="2" s="1"/>
  <c r="AK461" i="2"/>
  <c r="BA331" i="2"/>
  <c r="P214" i="9"/>
  <c r="F331" i="9" s="1"/>
  <c r="R271" i="2"/>
  <c r="S271" i="2"/>
  <c r="H332" i="2"/>
  <c r="BX525" i="2"/>
  <c r="O214" i="9"/>
  <c r="N214" i="9"/>
  <c r="R214" i="9"/>
  <c r="L331" i="9" s="1"/>
  <c r="C214" i="9"/>
  <c r="D214" i="9" s="1"/>
  <c r="F214" i="9" s="1"/>
  <c r="H214" i="9" s="1"/>
  <c r="L214" i="9"/>
  <c r="K214" i="9"/>
  <c r="Q214" i="9"/>
  <c r="I331" i="9" s="1"/>
  <c r="J214" i="9"/>
  <c r="G214" i="9"/>
  <c r="E214" i="9"/>
  <c r="I214" i="9"/>
  <c r="B214" i="9"/>
  <c r="B274" i="9" s="1"/>
  <c r="C332" i="2"/>
  <c r="F332" i="2"/>
  <c r="G332" i="2" s="1"/>
  <c r="D332" i="2"/>
  <c r="A272" i="2"/>
  <c r="V271" i="2"/>
  <c r="A333" i="2"/>
  <c r="B271" i="2"/>
  <c r="B333" i="2" s="1"/>
  <c r="J271" i="2"/>
  <c r="I271" i="2"/>
  <c r="U271" i="2" s="1"/>
  <c r="K271" i="2"/>
  <c r="O271" i="2" s="1"/>
  <c r="E271" i="2"/>
  <c r="G271" i="2"/>
  <c r="C271" i="2"/>
  <c r="D271" i="2" s="1"/>
  <c r="F271" i="2" s="1"/>
  <c r="T271" i="2"/>
  <c r="L271" i="2"/>
  <c r="P271" i="2"/>
  <c r="Q271" i="2" s="1"/>
  <c r="A148" i="1"/>
  <c r="Q523" i="9" l="1"/>
  <c r="D523" i="9"/>
  <c r="BG526" i="2" s="1"/>
  <c r="E523" i="9"/>
  <c r="P466" i="9"/>
  <c r="M402" i="9"/>
  <c r="P462" i="2"/>
  <c r="N526" i="2"/>
  <c r="S462" i="2"/>
  <c r="R462" i="2"/>
  <c r="U462" i="2"/>
  <c r="Q462" i="2"/>
  <c r="T462" i="2"/>
  <c r="O462" i="2"/>
  <c r="J462" i="2"/>
  <c r="I462" i="2"/>
  <c r="N462" i="2"/>
  <c r="L463" i="2"/>
  <c r="K463" i="2"/>
  <c r="L333" i="2"/>
  <c r="W333" i="2"/>
  <c r="M333" i="2"/>
  <c r="E583" i="2"/>
  <c r="D583" i="2"/>
  <c r="BC525" i="2" s="1"/>
  <c r="E333" i="2"/>
  <c r="J333" i="2"/>
  <c r="M274" i="9"/>
  <c r="K467" i="9" s="1"/>
  <c r="H274" i="9"/>
  <c r="L402" i="9"/>
  <c r="O466" i="9" s="1"/>
  <c r="V333" i="2"/>
  <c r="I333" i="2"/>
  <c r="K333" i="2"/>
  <c r="D274" i="9"/>
  <c r="G274" i="9"/>
  <c r="K387" i="2"/>
  <c r="AO331" i="2"/>
  <c r="AP331" i="2" s="1"/>
  <c r="H271" i="2"/>
  <c r="W459" i="2"/>
  <c r="O400" i="9"/>
  <c r="AD460" i="2"/>
  <c r="N332" i="2"/>
  <c r="O332" i="2" s="1"/>
  <c r="C387" i="2"/>
  <c r="AF330" i="2" s="1"/>
  <c r="AH330" i="2" s="1"/>
  <c r="M214" i="9"/>
  <c r="C331" i="9" s="1"/>
  <c r="AN334" i="2" s="1"/>
  <c r="I387" i="2"/>
  <c r="AR330" i="2" s="1"/>
  <c r="AT330" i="2" s="1"/>
  <c r="J387" i="2"/>
  <c r="AS330" i="2" s="1"/>
  <c r="D329" i="9"/>
  <c r="E329" i="9" s="1"/>
  <c r="G329" i="9"/>
  <c r="AW332" i="2" s="1"/>
  <c r="AX332" i="2" s="1"/>
  <c r="J401" i="9"/>
  <c r="K401" i="9" s="1"/>
  <c r="N401" i="9" s="1"/>
  <c r="P401" i="9" s="1"/>
  <c r="AL462" i="2" s="1"/>
  <c r="AL331" i="2"/>
  <c r="J388" i="2"/>
  <c r="AS331" i="2" s="1"/>
  <c r="V458" i="2"/>
  <c r="W458" i="2"/>
  <c r="M271" i="2"/>
  <c r="N271" i="2" s="1"/>
  <c r="AK330" i="2"/>
  <c r="AL330" i="2" s="1"/>
  <c r="H387" i="2"/>
  <c r="R332" i="2"/>
  <c r="S332" i="2" s="1"/>
  <c r="G389" i="2" s="1"/>
  <c r="G402" i="9"/>
  <c r="G467" i="9"/>
  <c r="AI528" i="2" s="1"/>
  <c r="D387" i="2"/>
  <c r="AG330" i="2" s="1"/>
  <c r="H388" i="2"/>
  <c r="W271" i="2"/>
  <c r="F390" i="2" s="1"/>
  <c r="I273" i="9"/>
  <c r="J273" i="9" s="1"/>
  <c r="D330" i="9" s="1"/>
  <c r="E330" i="9" s="1"/>
  <c r="E387" i="2"/>
  <c r="D526" i="2"/>
  <c r="E526" i="2" s="1"/>
  <c r="E388" i="2"/>
  <c r="AD461" i="2"/>
  <c r="C388" i="2"/>
  <c r="AF331" i="2" s="1"/>
  <c r="AH331" i="2" s="1"/>
  <c r="AT462" i="2"/>
  <c r="J583" i="2"/>
  <c r="J523" i="9"/>
  <c r="BX526" i="2" s="1"/>
  <c r="N389" i="2"/>
  <c r="K525" i="2"/>
  <c r="L525" i="2" s="1"/>
  <c r="K388" i="2"/>
  <c r="K330" i="9"/>
  <c r="D388" i="2"/>
  <c r="AG331" i="2" s="1"/>
  <c r="AG459" i="2"/>
  <c r="AE459" i="2"/>
  <c r="AH458" i="2"/>
  <c r="AI458" i="2" s="1"/>
  <c r="AN458" i="2" s="1"/>
  <c r="BI331" i="2"/>
  <c r="Q388" i="2"/>
  <c r="N330" i="9"/>
  <c r="I388" i="2"/>
  <c r="AR331" i="2" s="1"/>
  <c r="AT331" i="2" s="1"/>
  <c r="AF459" i="2"/>
  <c r="AP461" i="2"/>
  <c r="T402" i="9"/>
  <c r="Q402" i="9"/>
  <c r="R402" i="9"/>
  <c r="H402" i="9"/>
  <c r="L466" i="9" s="1"/>
  <c r="M466" i="9" s="1"/>
  <c r="D402" i="9"/>
  <c r="I402" i="9"/>
  <c r="E402" i="9"/>
  <c r="F402" i="9" s="1"/>
  <c r="B467" i="9"/>
  <c r="B525" i="9" s="1"/>
  <c r="B403" i="9"/>
  <c r="C403" i="9" s="1"/>
  <c r="B331" i="9"/>
  <c r="H523" i="9"/>
  <c r="L523" i="9"/>
  <c r="N523" i="9"/>
  <c r="R523" i="9"/>
  <c r="O523" i="9"/>
  <c r="K523" i="9"/>
  <c r="P523" i="9"/>
  <c r="I523" i="9"/>
  <c r="G523" i="9"/>
  <c r="I467" i="9"/>
  <c r="J467" i="9"/>
  <c r="A403" i="9"/>
  <c r="A331" i="9"/>
  <c r="S403" i="9" s="1"/>
  <c r="A467" i="9"/>
  <c r="K274" i="9"/>
  <c r="J331" i="9" s="1"/>
  <c r="BE334" i="2" s="1"/>
  <c r="E274" i="9"/>
  <c r="F274" i="9" s="1"/>
  <c r="L274" i="9"/>
  <c r="M331" i="9" s="1"/>
  <c r="BM334" i="2" s="1"/>
  <c r="A524" i="9"/>
  <c r="D466" i="9"/>
  <c r="E466" i="9" s="1"/>
  <c r="B390" i="2"/>
  <c r="B527" i="2"/>
  <c r="B585" i="2" s="1"/>
  <c r="B463" i="2"/>
  <c r="P389" i="2"/>
  <c r="AU527" i="2"/>
  <c r="AW527" i="2" s="1"/>
  <c r="O390" i="2"/>
  <c r="BH333" i="2" s="1"/>
  <c r="BJ333" i="2" s="1"/>
  <c r="C462" i="2"/>
  <c r="G462" i="2" s="1"/>
  <c r="H462" i="2"/>
  <c r="E462" i="2"/>
  <c r="F462" i="2" s="1"/>
  <c r="D462" i="2"/>
  <c r="K583" i="2"/>
  <c r="BS525" i="2" s="1"/>
  <c r="BU525" i="2" s="1"/>
  <c r="G583" i="2"/>
  <c r="N583" i="2"/>
  <c r="CA525" i="2" s="1"/>
  <c r="CC525" i="2" s="1"/>
  <c r="I583" i="2"/>
  <c r="R583" i="2"/>
  <c r="L583" i="2"/>
  <c r="BH461" i="2"/>
  <c r="BJ461" i="2" s="1"/>
  <c r="O583" i="2"/>
  <c r="P583" i="2"/>
  <c r="H583" i="2"/>
  <c r="BK525" i="2" s="1"/>
  <c r="BM525" i="2" s="1"/>
  <c r="A584" i="2"/>
  <c r="Q584" i="2" s="1"/>
  <c r="AM527" i="2"/>
  <c r="AO527" i="2" s="1"/>
  <c r="L390" i="2"/>
  <c r="AZ333" i="2" s="1"/>
  <c r="BB333" i="2" s="1"/>
  <c r="A390" i="2"/>
  <c r="U390" i="2" s="1"/>
  <c r="A527" i="2"/>
  <c r="J527" i="2"/>
  <c r="I527" i="2"/>
  <c r="G527" i="2"/>
  <c r="AE527" i="2" s="1"/>
  <c r="A463" i="2"/>
  <c r="AY462" i="2"/>
  <c r="BA462" i="2" s="1"/>
  <c r="S389" i="2"/>
  <c r="T389" i="2" s="1"/>
  <c r="V389" i="2"/>
  <c r="R389" i="2"/>
  <c r="AJ332" i="2"/>
  <c r="AV334" i="2"/>
  <c r="U333" i="2"/>
  <c r="P390" i="2" s="1"/>
  <c r="BI333" i="2" s="1"/>
  <c r="T333" i="2"/>
  <c r="M390" i="2" s="1"/>
  <c r="N390" i="2" s="1"/>
  <c r="CE525" i="2"/>
  <c r="CG525" i="2" s="1"/>
  <c r="BD334" i="2"/>
  <c r="BF334" i="2" s="1"/>
  <c r="AQ528" i="2"/>
  <c r="AS528" i="2" s="1"/>
  <c r="BL334" i="2"/>
  <c r="BN334" i="2" s="1"/>
  <c r="AY528" i="2"/>
  <c r="BA528" i="2" s="1"/>
  <c r="AN525" i="2"/>
  <c r="BT525" i="2"/>
  <c r="BO525" i="2"/>
  <c r="BQ525" i="2" s="1"/>
  <c r="BW525" i="2"/>
  <c r="BY525" i="2" s="1"/>
  <c r="AR526" i="2"/>
  <c r="AM461" i="2"/>
  <c r="BE428" i="2"/>
  <c r="BE431" i="2"/>
  <c r="BE433" i="2"/>
  <c r="BA431" i="2"/>
  <c r="BE429" i="2"/>
  <c r="BA429" i="2"/>
  <c r="BE432" i="2"/>
  <c r="BA432" i="2"/>
  <c r="BA428" i="2"/>
  <c r="BE435" i="2"/>
  <c r="BE430" i="2"/>
  <c r="BA430" i="2"/>
  <c r="BE438" i="2"/>
  <c r="BA434" i="2"/>
  <c r="BE434" i="2"/>
  <c r="BA433" i="2"/>
  <c r="BA436" i="2"/>
  <c r="BE439" i="2"/>
  <c r="BA435" i="2"/>
  <c r="BE440" i="2"/>
  <c r="BE436" i="2"/>
  <c r="BE441" i="2"/>
  <c r="BA437" i="2"/>
  <c r="BE437" i="2"/>
  <c r="BA438" i="2"/>
  <c r="BA439" i="2"/>
  <c r="BE442" i="2"/>
  <c r="BA441" i="2"/>
  <c r="BE444" i="2"/>
  <c r="BA443" i="2"/>
  <c r="BA440" i="2"/>
  <c r="BE446" i="2"/>
  <c r="BE443" i="2"/>
  <c r="BA442" i="2"/>
  <c r="BA444" i="2"/>
  <c r="BA445" i="2"/>
  <c r="BA448" i="2"/>
  <c r="BA446" i="2"/>
  <c r="BE448" i="2"/>
  <c r="BE445" i="2"/>
  <c r="BE449" i="2"/>
  <c r="BE450" i="2"/>
  <c r="BA447" i="2"/>
  <c r="BA455" i="2"/>
  <c r="BE447" i="2"/>
  <c r="BE453" i="2"/>
  <c r="BE452" i="2"/>
  <c r="BA449" i="2"/>
  <c r="BA450" i="2"/>
  <c r="BA454" i="2"/>
  <c r="BE456" i="2"/>
  <c r="BE454" i="2"/>
  <c r="BE455" i="2"/>
  <c r="BA453" i="2"/>
  <c r="BA451" i="2"/>
  <c r="BA452" i="2"/>
  <c r="BA456" i="2"/>
  <c r="BE451" i="2"/>
  <c r="BL461" i="2"/>
  <c r="BN461" i="2" s="1"/>
  <c r="BC462" i="2"/>
  <c r="BE462" i="2" s="1"/>
  <c r="AK462" i="2"/>
  <c r="BH332" i="2"/>
  <c r="BJ332" i="2" s="1"/>
  <c r="BA332" i="2"/>
  <c r="R272" i="2"/>
  <c r="S272" i="2"/>
  <c r="H333" i="2"/>
  <c r="C272" i="2"/>
  <c r="D272" i="2" s="1"/>
  <c r="F272" i="2" s="1"/>
  <c r="V272" i="2"/>
  <c r="I272" i="2"/>
  <c r="G272" i="2"/>
  <c r="J272" i="2"/>
  <c r="B272" i="2"/>
  <c r="B334" i="2" s="1"/>
  <c r="A334" i="2"/>
  <c r="K272" i="2"/>
  <c r="O272" i="2" s="1"/>
  <c r="E272" i="2"/>
  <c r="T272" i="2"/>
  <c r="L272" i="2"/>
  <c r="U272" i="2"/>
  <c r="P272" i="2"/>
  <c r="Q272" i="2" s="1"/>
  <c r="C333" i="2"/>
  <c r="F333" i="2"/>
  <c r="G333" i="2" s="1"/>
  <c r="D333" i="2"/>
  <c r="B148" i="1"/>
  <c r="R127" i="1"/>
  <c r="A149" i="1"/>
  <c r="B149" i="1" s="1"/>
  <c r="A216" i="9" s="1"/>
  <c r="Q524" i="9" l="1"/>
  <c r="E524" i="9"/>
  <c r="D524" i="9"/>
  <c r="BG527" i="2" s="1"/>
  <c r="P467" i="9"/>
  <c r="M403" i="9"/>
  <c r="K464" i="2"/>
  <c r="L464" i="2"/>
  <c r="M334" i="2"/>
  <c r="L334" i="2"/>
  <c r="W334" i="2"/>
  <c r="U463" i="2"/>
  <c r="J463" i="2"/>
  <c r="O463" i="2"/>
  <c r="R463" i="2"/>
  <c r="T463" i="2"/>
  <c r="Q463" i="2"/>
  <c r="N527" i="2"/>
  <c r="S463" i="2"/>
  <c r="P463" i="2"/>
  <c r="I463" i="2"/>
  <c r="N463" i="2"/>
  <c r="E584" i="2"/>
  <c r="D584" i="2"/>
  <c r="BC526" i="2" s="1"/>
  <c r="E334" i="2"/>
  <c r="J334" i="2"/>
  <c r="L403" i="9"/>
  <c r="O467" i="9" s="1"/>
  <c r="I334" i="2"/>
  <c r="K334" i="2"/>
  <c r="V334" i="2"/>
  <c r="AO332" i="2"/>
  <c r="AP332" i="2" s="1"/>
  <c r="V459" i="2"/>
  <c r="I274" i="9"/>
  <c r="H329" i="9"/>
  <c r="AK332" i="2"/>
  <c r="AL332" i="2" s="1"/>
  <c r="H389" i="2"/>
  <c r="M272" i="2"/>
  <c r="N272" i="2" s="1"/>
  <c r="V460" i="2"/>
  <c r="Q390" i="2"/>
  <c r="G330" i="9"/>
  <c r="H330" i="9" s="1"/>
  <c r="G403" i="9"/>
  <c r="O401" i="9"/>
  <c r="R333" i="2"/>
  <c r="S333" i="2" s="1"/>
  <c r="G390" i="2" s="1"/>
  <c r="W272" i="2"/>
  <c r="F391" i="2" s="1"/>
  <c r="K526" i="2"/>
  <c r="L526" i="2" s="1"/>
  <c r="J402" i="9"/>
  <c r="K402" i="9" s="1"/>
  <c r="N402" i="9" s="1"/>
  <c r="P402" i="9" s="1"/>
  <c r="AL463" i="2" s="1"/>
  <c r="AC460" i="2"/>
  <c r="AE460" i="2" s="1"/>
  <c r="K331" i="9"/>
  <c r="AT463" i="2"/>
  <c r="J524" i="9"/>
  <c r="BX527" i="2" s="1"/>
  <c r="N331" i="9"/>
  <c r="A215" i="9"/>
  <c r="J215" i="9" s="1"/>
  <c r="C147" i="1"/>
  <c r="C274" i="9" s="1"/>
  <c r="J274" i="9" s="1"/>
  <c r="G331" i="9" s="1"/>
  <c r="BI332" i="2"/>
  <c r="Q389" i="2"/>
  <c r="J584" i="2"/>
  <c r="AH459" i="2"/>
  <c r="AI459" i="2" s="1"/>
  <c r="AN459" i="2" s="1"/>
  <c r="BT526" i="2"/>
  <c r="H272" i="2"/>
  <c r="M462" i="2"/>
  <c r="P332" i="2"/>
  <c r="AP462" i="2"/>
  <c r="H403" i="9"/>
  <c r="L467" i="9" s="1"/>
  <c r="M467" i="9" s="1"/>
  <c r="I403" i="9"/>
  <c r="E403" i="9"/>
  <c r="F403" i="9" s="1"/>
  <c r="D403" i="9"/>
  <c r="A276" i="9"/>
  <c r="N524" i="9"/>
  <c r="R524" i="9"/>
  <c r="L524" i="9"/>
  <c r="P524" i="9"/>
  <c r="O524" i="9"/>
  <c r="K524" i="9"/>
  <c r="I524" i="9"/>
  <c r="H524" i="9"/>
  <c r="G524" i="9"/>
  <c r="R403" i="9"/>
  <c r="T403" i="9"/>
  <c r="Q403" i="9"/>
  <c r="A525" i="9"/>
  <c r="D467" i="9"/>
  <c r="A585" i="2"/>
  <c r="Q585" i="2" s="1"/>
  <c r="D527" i="2"/>
  <c r="E527" i="2" s="1"/>
  <c r="BT527" i="2" s="1"/>
  <c r="AM528" i="2"/>
  <c r="AO528" i="2" s="1"/>
  <c r="L391" i="2"/>
  <c r="B464" i="2"/>
  <c r="B391" i="2"/>
  <c r="B528" i="2"/>
  <c r="B586" i="2" s="1"/>
  <c r="C463" i="2"/>
  <c r="E463" i="2"/>
  <c r="F463" i="2" s="1"/>
  <c r="H463" i="2"/>
  <c r="D463" i="2"/>
  <c r="AY463" i="2"/>
  <c r="BA463" i="2" s="1"/>
  <c r="R390" i="2"/>
  <c r="S390" i="2"/>
  <c r="T390" i="2" s="1"/>
  <c r="V390" i="2"/>
  <c r="AU528" i="2"/>
  <c r="AW528" i="2" s="1"/>
  <c r="O391" i="2"/>
  <c r="AJ333" i="2"/>
  <c r="R584" i="2"/>
  <c r="N584" i="2"/>
  <c r="CA526" i="2" s="1"/>
  <c r="CC526" i="2" s="1"/>
  <c r="O584" i="2"/>
  <c r="G584" i="2"/>
  <c r="K584" i="2"/>
  <c r="BS526" i="2" s="1"/>
  <c r="BU526" i="2" s="1"/>
  <c r="H584" i="2"/>
  <c r="BK526" i="2" s="1"/>
  <c r="BM526" i="2" s="1"/>
  <c r="P584" i="2"/>
  <c r="BH462" i="2"/>
  <c r="BJ462" i="2" s="1"/>
  <c r="I584" i="2"/>
  <c r="L584" i="2"/>
  <c r="A391" i="2"/>
  <c r="U391" i="2" s="1"/>
  <c r="A528" i="2"/>
  <c r="J528" i="2"/>
  <c r="I528" i="2"/>
  <c r="A464" i="2"/>
  <c r="G528" i="2"/>
  <c r="AE528" i="2" s="1"/>
  <c r="U334" i="2"/>
  <c r="P391" i="2" s="1"/>
  <c r="BI334" i="2" s="1"/>
  <c r="T334" i="2"/>
  <c r="CE526" i="2"/>
  <c r="CG526" i="2" s="1"/>
  <c r="BW526" i="2"/>
  <c r="BY526" i="2" s="1"/>
  <c r="BO526" i="2"/>
  <c r="BQ526" i="2" s="1"/>
  <c r="AR527" i="2"/>
  <c r="AN526" i="2"/>
  <c r="AM462" i="2"/>
  <c r="BL462" i="2"/>
  <c r="BN462" i="2" s="1"/>
  <c r="BC463" i="2"/>
  <c r="BE463" i="2" s="1"/>
  <c r="AK463" i="2"/>
  <c r="BA333" i="2"/>
  <c r="AO333" i="2"/>
  <c r="AP333" i="2" s="1"/>
  <c r="P216" i="9"/>
  <c r="F333" i="9" s="1"/>
  <c r="H334" i="2"/>
  <c r="R216" i="9"/>
  <c r="L333" i="9" s="1"/>
  <c r="J216" i="9"/>
  <c r="Q216" i="9"/>
  <c r="I333" i="9" s="1"/>
  <c r="K216" i="9"/>
  <c r="E216" i="9"/>
  <c r="L216" i="9"/>
  <c r="I216" i="9"/>
  <c r="O216" i="9"/>
  <c r="N216" i="9"/>
  <c r="G216" i="9"/>
  <c r="C216" i="9"/>
  <c r="D216" i="9" s="1"/>
  <c r="F216" i="9" s="1"/>
  <c r="H216" i="9" s="1"/>
  <c r="Q215" i="9"/>
  <c r="I332" i="9" s="1"/>
  <c r="R215" i="9"/>
  <c r="L332" i="9" s="1"/>
  <c r="B216" i="9"/>
  <c r="B276" i="9" s="1"/>
  <c r="C148" i="1"/>
  <c r="A273" i="2"/>
  <c r="A274" i="2"/>
  <c r="F334" i="2"/>
  <c r="G334" i="2" s="1"/>
  <c r="D334" i="2"/>
  <c r="A150" i="1"/>
  <c r="B150" i="1" s="1"/>
  <c r="A217" i="9" s="1"/>
  <c r="Q525" i="9" l="1"/>
  <c r="D525" i="9"/>
  <c r="BG528" i="2" s="1"/>
  <c r="E525" i="9"/>
  <c r="Q464" i="2"/>
  <c r="T464" i="2"/>
  <c r="P464" i="2"/>
  <c r="J464" i="2"/>
  <c r="N528" i="2"/>
  <c r="U464" i="2"/>
  <c r="I464" i="2"/>
  <c r="S464" i="2"/>
  <c r="R464" i="2"/>
  <c r="O464" i="2"/>
  <c r="N464" i="2"/>
  <c r="D585" i="2"/>
  <c r="BC527" i="2" s="1"/>
  <c r="E585" i="2"/>
  <c r="M276" i="9"/>
  <c r="K469" i="9" s="1"/>
  <c r="H276" i="9"/>
  <c r="D276" i="9"/>
  <c r="G276" i="9"/>
  <c r="C215" i="9"/>
  <c r="D215" i="9" s="1"/>
  <c r="F215" i="9" s="1"/>
  <c r="H215" i="9" s="1"/>
  <c r="L215" i="9"/>
  <c r="B215" i="9"/>
  <c r="B275" i="9" s="1"/>
  <c r="B468" i="9" s="1"/>
  <c r="B526" i="9" s="1"/>
  <c r="G215" i="9"/>
  <c r="V461" i="2"/>
  <c r="W460" i="2"/>
  <c r="N334" i="2"/>
  <c r="O334" i="2" s="1"/>
  <c r="A275" i="9"/>
  <c r="AW333" i="2"/>
  <c r="AX333" i="2" s="1"/>
  <c r="C149" i="1"/>
  <c r="K215" i="9"/>
  <c r="AG460" i="2"/>
  <c r="AH460" i="2" s="1"/>
  <c r="AI460" i="2" s="1"/>
  <c r="AN460" i="2" s="1"/>
  <c r="O215" i="9"/>
  <c r="E467" i="9"/>
  <c r="J525" i="9" s="1"/>
  <c r="BX528" i="2" s="1"/>
  <c r="E215" i="9"/>
  <c r="C334" i="2"/>
  <c r="N215" i="9"/>
  <c r="I215" i="9"/>
  <c r="P215" i="9"/>
  <c r="F332" i="9" s="1"/>
  <c r="AV335" i="2" s="1"/>
  <c r="AF460" i="2"/>
  <c r="AD462" i="2"/>
  <c r="R334" i="2"/>
  <c r="S334" i="2" s="1"/>
  <c r="G391" i="2" s="1"/>
  <c r="AK333" i="2"/>
  <c r="H390" i="2"/>
  <c r="G468" i="9"/>
  <c r="AI529" i="2" s="1"/>
  <c r="O402" i="9"/>
  <c r="N333" i="2"/>
  <c r="O333" i="2" s="1"/>
  <c r="P334" i="2"/>
  <c r="Q334" i="2" s="1"/>
  <c r="AL333" i="2"/>
  <c r="AC461" i="2"/>
  <c r="AF461" i="2" s="1"/>
  <c r="M216" i="9"/>
  <c r="C333" i="9" s="1"/>
  <c r="AN336" i="2" s="1"/>
  <c r="AC462" i="2"/>
  <c r="D331" i="9"/>
  <c r="E331" i="9" s="1"/>
  <c r="W461" i="2"/>
  <c r="Q391" i="2"/>
  <c r="D528" i="2"/>
  <c r="E528" i="2" s="1"/>
  <c r="BT528" i="2" s="1"/>
  <c r="AW334" i="2"/>
  <c r="AX334" i="2" s="1"/>
  <c r="H331" i="9"/>
  <c r="M215" i="9"/>
  <c r="C332" i="9" s="1"/>
  <c r="AN335" i="2" s="1"/>
  <c r="Q332" i="2"/>
  <c r="J389" i="2"/>
  <c r="AS332" i="2" s="1"/>
  <c r="C389" i="2"/>
  <c r="AF332" i="2" s="1"/>
  <c r="AH332" i="2" s="1"/>
  <c r="D389" i="2"/>
  <c r="AG332" i="2" s="1"/>
  <c r="E389" i="2"/>
  <c r="K389" i="2"/>
  <c r="I389" i="2"/>
  <c r="AR332" i="2" s="1"/>
  <c r="AT332" i="2" s="1"/>
  <c r="J585" i="2"/>
  <c r="G469" i="9"/>
  <c r="AI530" i="2" s="1"/>
  <c r="P333" i="2"/>
  <c r="M463" i="2"/>
  <c r="AT464" i="2"/>
  <c r="J403" i="9"/>
  <c r="K403" i="9" s="1"/>
  <c r="N403" i="9" s="1"/>
  <c r="P403" i="9" s="1"/>
  <c r="AL464" i="2" s="1"/>
  <c r="G463" i="2"/>
  <c r="K527" i="2"/>
  <c r="L527" i="2" s="1"/>
  <c r="AP463" i="2"/>
  <c r="G525" i="9"/>
  <c r="N525" i="9"/>
  <c r="K525" i="9"/>
  <c r="L525" i="9"/>
  <c r="R525" i="9"/>
  <c r="I525" i="9"/>
  <c r="O525" i="9"/>
  <c r="H525" i="9"/>
  <c r="P525" i="9"/>
  <c r="A469" i="9"/>
  <c r="J469" i="9"/>
  <c r="A405" i="9"/>
  <c r="I469" i="9"/>
  <c r="A333" i="9"/>
  <c r="S405" i="9" s="1"/>
  <c r="K276" i="9"/>
  <c r="J333" i="9" s="1"/>
  <c r="BE336" i="2" s="1"/>
  <c r="C276" i="9"/>
  <c r="E276" i="9"/>
  <c r="F276" i="9" s="1"/>
  <c r="L276" i="9"/>
  <c r="M333" i="9" s="1"/>
  <c r="BM336" i="2" s="1"/>
  <c r="A277" i="9"/>
  <c r="B469" i="9"/>
  <c r="B527" i="9" s="1"/>
  <c r="B405" i="9"/>
  <c r="C405" i="9" s="1"/>
  <c r="B333" i="9"/>
  <c r="M391" i="2"/>
  <c r="AY464" i="2"/>
  <c r="BA464" i="2" s="1"/>
  <c r="V391" i="2"/>
  <c r="R391" i="2"/>
  <c r="S391" i="2"/>
  <c r="T391" i="2" s="1"/>
  <c r="C464" i="2"/>
  <c r="H464" i="2"/>
  <c r="D464" i="2"/>
  <c r="E464" i="2"/>
  <c r="F464" i="2" s="1"/>
  <c r="AJ334" i="2"/>
  <c r="BH463" i="2"/>
  <c r="BJ463" i="2" s="1"/>
  <c r="I585" i="2"/>
  <c r="N585" i="2"/>
  <c r="CA527" i="2" s="1"/>
  <c r="CC527" i="2" s="1"/>
  <c r="G585" i="2"/>
  <c r="R585" i="2"/>
  <c r="L585" i="2"/>
  <c r="P585" i="2"/>
  <c r="K585" i="2"/>
  <c r="BS527" i="2" s="1"/>
  <c r="BU527" i="2" s="1"/>
  <c r="O585" i="2"/>
  <c r="H585" i="2"/>
  <c r="BK527" i="2" s="1"/>
  <c r="BM527" i="2" s="1"/>
  <c r="A586" i="2"/>
  <c r="Q586" i="2" s="1"/>
  <c r="AV336" i="2"/>
  <c r="BD336" i="2"/>
  <c r="BF336" i="2" s="1"/>
  <c r="AQ530" i="2"/>
  <c r="AS530" i="2" s="1"/>
  <c r="BL336" i="2"/>
  <c r="BN336" i="2" s="1"/>
  <c r="AY530" i="2"/>
  <c r="BA530" i="2" s="1"/>
  <c r="CE527" i="2"/>
  <c r="CG527" i="2" s="1"/>
  <c r="BD335" i="2"/>
  <c r="BF335" i="2" s="1"/>
  <c r="AQ529" i="2"/>
  <c r="AS529" i="2" s="1"/>
  <c r="BL335" i="2"/>
  <c r="BN335" i="2" s="1"/>
  <c r="AY529" i="2"/>
  <c r="BA529" i="2" s="1"/>
  <c r="BO527" i="2"/>
  <c r="BQ527" i="2" s="1"/>
  <c r="BW527" i="2"/>
  <c r="BY527" i="2" s="1"/>
  <c r="AN527" i="2"/>
  <c r="AM463" i="2"/>
  <c r="BL463" i="2"/>
  <c r="BN463" i="2" s="1"/>
  <c r="BC464" i="2"/>
  <c r="BE464" i="2" s="1"/>
  <c r="AK464" i="2"/>
  <c r="BH334" i="2"/>
  <c r="BJ334" i="2" s="1"/>
  <c r="AZ334" i="2"/>
  <c r="BB334" i="2" s="1"/>
  <c r="P217" i="9"/>
  <c r="F334" i="9" s="1"/>
  <c r="R274" i="2"/>
  <c r="S274" i="2"/>
  <c r="S273" i="2"/>
  <c r="R273" i="2"/>
  <c r="K217" i="9"/>
  <c r="R217" i="9"/>
  <c r="L334" i="9" s="1"/>
  <c r="J217" i="9"/>
  <c r="Q217" i="9"/>
  <c r="I334" i="9" s="1"/>
  <c r="I217" i="9"/>
  <c r="E217" i="9"/>
  <c r="N217" i="9"/>
  <c r="L217" i="9"/>
  <c r="G217" i="9"/>
  <c r="C217" i="9"/>
  <c r="D217" i="9" s="1"/>
  <c r="F217" i="9" s="1"/>
  <c r="H217" i="9" s="1"/>
  <c r="O217" i="9"/>
  <c r="B217" i="9"/>
  <c r="B277" i="9" s="1"/>
  <c r="A275" i="2"/>
  <c r="J273" i="2"/>
  <c r="U273" i="2"/>
  <c r="T273" i="2"/>
  <c r="K273" i="2"/>
  <c r="V273" i="2"/>
  <c r="E273" i="2"/>
  <c r="I273" i="2"/>
  <c r="A335" i="2"/>
  <c r="B273" i="2"/>
  <c r="B335" i="2" s="1"/>
  <c r="C273" i="2"/>
  <c r="D273" i="2" s="1"/>
  <c r="F273" i="2" s="1"/>
  <c r="G273" i="2"/>
  <c r="O273" i="2"/>
  <c r="P273" i="2" s="1"/>
  <c r="Q273" i="2" s="1"/>
  <c r="L273" i="2"/>
  <c r="B274" i="2"/>
  <c r="B336" i="2" s="1"/>
  <c r="G274" i="2"/>
  <c r="A336" i="2"/>
  <c r="E274" i="2"/>
  <c r="I274" i="2"/>
  <c r="U274" i="2" s="1"/>
  <c r="K274" i="2"/>
  <c r="O274" i="2" s="1"/>
  <c r="V274" i="2"/>
  <c r="J274" i="2"/>
  <c r="C274" i="2"/>
  <c r="D274" i="2" s="1"/>
  <c r="F274" i="2" s="1"/>
  <c r="H274" i="2"/>
  <c r="T274" i="2"/>
  <c r="L274" i="2"/>
  <c r="P274" i="2"/>
  <c r="Q274" i="2" s="1"/>
  <c r="A151" i="1"/>
  <c r="B151" i="1" s="1"/>
  <c r="A218" i="9" s="1"/>
  <c r="P469" i="9" l="1"/>
  <c r="M405" i="9"/>
  <c r="L466" i="2"/>
  <c r="K466" i="2"/>
  <c r="M336" i="2"/>
  <c r="W336" i="2"/>
  <c r="L336" i="2"/>
  <c r="L465" i="2"/>
  <c r="K465" i="2"/>
  <c r="M335" i="2"/>
  <c r="L335" i="2"/>
  <c r="W335" i="2"/>
  <c r="D586" i="2"/>
  <c r="BC528" i="2" s="1"/>
  <c r="E586" i="2"/>
  <c r="E336" i="2"/>
  <c r="J336" i="2"/>
  <c r="E335" i="2"/>
  <c r="J335" i="2"/>
  <c r="H275" i="9"/>
  <c r="M275" i="9"/>
  <c r="K468" i="9" s="1"/>
  <c r="M277" i="9"/>
  <c r="K470" i="9" s="1"/>
  <c r="H277" i="9"/>
  <c r="L405" i="9"/>
  <c r="O469" i="9" s="1"/>
  <c r="I335" i="2"/>
  <c r="K335" i="2"/>
  <c r="V335" i="2"/>
  <c r="K336" i="2"/>
  <c r="I336" i="2"/>
  <c r="V336" i="2"/>
  <c r="D277" i="9"/>
  <c r="G277" i="9"/>
  <c r="B332" i="9"/>
  <c r="G275" i="9"/>
  <c r="B404" i="9"/>
  <c r="C404" i="9" s="1"/>
  <c r="I468" i="9"/>
  <c r="D275" i="9"/>
  <c r="A332" i="9"/>
  <c r="A404" i="9"/>
  <c r="M404" i="9" s="1"/>
  <c r="J468" i="9"/>
  <c r="L275" i="9"/>
  <c r="M332" i="9" s="1"/>
  <c r="BM335" i="2" s="1"/>
  <c r="K275" i="9"/>
  <c r="J332" i="9" s="1"/>
  <c r="BE335" i="2" s="1"/>
  <c r="A468" i="9"/>
  <c r="D468" i="9" s="1"/>
  <c r="E468" i="9" s="1"/>
  <c r="J526" i="9" s="1"/>
  <c r="C275" i="9"/>
  <c r="E275" i="9"/>
  <c r="F275" i="9" s="1"/>
  <c r="G470" i="9"/>
  <c r="AI531" i="2" s="1"/>
  <c r="M464" i="2"/>
  <c r="AR528" i="2"/>
  <c r="M273" i="2"/>
  <c r="N273" i="2" s="1"/>
  <c r="I275" i="9"/>
  <c r="J275" i="9" s="1"/>
  <c r="D332" i="9" s="1"/>
  <c r="E332" i="9" s="1"/>
  <c r="V462" i="2"/>
  <c r="AK334" i="2"/>
  <c r="AL334" i="2" s="1"/>
  <c r="H391" i="2"/>
  <c r="AE461" i="2"/>
  <c r="G405" i="9"/>
  <c r="W273" i="2"/>
  <c r="F392" i="2" s="1"/>
  <c r="W274" i="2"/>
  <c r="F393" i="2" s="1"/>
  <c r="AO334" i="2"/>
  <c r="AP334" i="2" s="1"/>
  <c r="M217" i="9"/>
  <c r="C334" i="9" s="1"/>
  <c r="AN337" i="2" s="1"/>
  <c r="N332" i="9"/>
  <c r="AG461" i="2"/>
  <c r="AH461" i="2" s="1"/>
  <c r="AI461" i="2" s="1"/>
  <c r="AN461" i="2" s="1"/>
  <c r="I276" i="9"/>
  <c r="J276" i="9" s="1"/>
  <c r="D333" i="9" s="1"/>
  <c r="E333" i="9" s="1"/>
  <c r="K332" i="9"/>
  <c r="AC463" i="2"/>
  <c r="I391" i="2"/>
  <c r="AR334" i="2" s="1"/>
  <c r="AT334" i="2" s="1"/>
  <c r="C391" i="2"/>
  <c r="AF334" i="2" s="1"/>
  <c r="AH334" i="2" s="1"/>
  <c r="C150" i="1"/>
  <c r="C277" i="9" s="1"/>
  <c r="E391" i="2"/>
  <c r="H273" i="2"/>
  <c r="K528" i="2"/>
  <c r="L528" i="2" s="1"/>
  <c r="G404" i="9"/>
  <c r="N333" i="9"/>
  <c r="G464" i="2"/>
  <c r="Q333" i="2"/>
  <c r="E390" i="2"/>
  <c r="I390" i="2"/>
  <c r="AR333" i="2" s="1"/>
  <c r="AT333" i="2" s="1"/>
  <c r="C390" i="2"/>
  <c r="AF333" i="2" s="1"/>
  <c r="AH333" i="2" s="1"/>
  <c r="D390" i="2"/>
  <c r="AG333" i="2" s="1"/>
  <c r="K390" i="2"/>
  <c r="J390" i="2"/>
  <c r="AS333" i="2" s="1"/>
  <c r="J391" i="2"/>
  <c r="AS334" i="2" s="1"/>
  <c r="K333" i="9"/>
  <c r="M274" i="2"/>
  <c r="N274" i="2" s="1"/>
  <c r="J586" i="2"/>
  <c r="BA334" i="2"/>
  <c r="N391" i="2"/>
  <c r="K391" i="2"/>
  <c r="AE462" i="2"/>
  <c r="AG462" i="2"/>
  <c r="AF462" i="2"/>
  <c r="AD463" i="2"/>
  <c r="O403" i="9"/>
  <c r="D391" i="2"/>
  <c r="AG334" i="2" s="1"/>
  <c r="AP464" i="2"/>
  <c r="H405" i="9"/>
  <c r="L469" i="9" s="1"/>
  <c r="M469" i="9" s="1"/>
  <c r="E405" i="9"/>
  <c r="F405" i="9" s="1"/>
  <c r="I405" i="9"/>
  <c r="D405" i="9"/>
  <c r="J470" i="9"/>
  <c r="I470" i="9"/>
  <c r="A470" i="9"/>
  <c r="A406" i="9"/>
  <c r="A334" i="9"/>
  <c r="S406" i="9" s="1"/>
  <c r="L277" i="9"/>
  <c r="M334" i="9" s="1"/>
  <c r="BM337" i="2" s="1"/>
  <c r="E277" i="9"/>
  <c r="F277" i="9" s="1"/>
  <c r="K277" i="9"/>
  <c r="J334" i="9" s="1"/>
  <c r="BE337" i="2" s="1"/>
  <c r="D469" i="9"/>
  <c r="E469" i="9" s="1"/>
  <c r="A527" i="9"/>
  <c r="B470" i="9"/>
  <c r="B528" i="9" s="1"/>
  <c r="B334" i="9"/>
  <c r="B406" i="9"/>
  <c r="C406" i="9" s="1"/>
  <c r="A278" i="9"/>
  <c r="T405" i="9"/>
  <c r="Q405" i="9"/>
  <c r="R405" i="9"/>
  <c r="A466" i="2"/>
  <c r="J530" i="2"/>
  <c r="A530" i="2"/>
  <c r="A393" i="2"/>
  <c r="U393" i="2" s="1"/>
  <c r="I530" i="2"/>
  <c r="G530" i="2"/>
  <c r="AE530" i="2" s="1"/>
  <c r="P586" i="2"/>
  <c r="N586" i="2"/>
  <c r="CA528" i="2" s="1"/>
  <c r="CC528" i="2" s="1"/>
  <c r="I586" i="2"/>
  <c r="G586" i="2"/>
  <c r="O586" i="2"/>
  <c r="BH464" i="2"/>
  <c r="BJ464" i="2" s="1"/>
  <c r="K586" i="2"/>
  <c r="BS528" i="2" s="1"/>
  <c r="BU528" i="2" s="1"/>
  <c r="L586" i="2"/>
  <c r="H586" i="2"/>
  <c r="BK528" i="2" s="1"/>
  <c r="BM528" i="2" s="1"/>
  <c r="R586" i="2"/>
  <c r="B393" i="2"/>
  <c r="B466" i="2"/>
  <c r="B530" i="2"/>
  <c r="B588" i="2" s="1"/>
  <c r="AM529" i="2"/>
  <c r="AO529" i="2" s="1"/>
  <c r="L392" i="2"/>
  <c r="AZ335" i="2" s="1"/>
  <c r="BB335" i="2" s="1"/>
  <c r="AU529" i="2"/>
  <c r="AW529" i="2" s="1"/>
  <c r="O392" i="2"/>
  <c r="B392" i="2"/>
  <c r="B529" i="2"/>
  <c r="B587" i="2" s="1"/>
  <c r="B465" i="2"/>
  <c r="A392" i="2"/>
  <c r="U392" i="2" s="1"/>
  <c r="G529" i="2"/>
  <c r="AE529" i="2" s="1"/>
  <c r="A529" i="2"/>
  <c r="I529" i="2"/>
  <c r="J529" i="2"/>
  <c r="A465" i="2"/>
  <c r="AU530" i="2"/>
  <c r="AW530" i="2" s="1"/>
  <c r="O393" i="2"/>
  <c r="AM530" i="2"/>
  <c r="AO530" i="2" s="1"/>
  <c r="L393" i="2"/>
  <c r="AZ336" i="2" s="1"/>
  <c r="BB336" i="2" s="1"/>
  <c r="U335" i="2"/>
  <c r="P392" i="2" s="1"/>
  <c r="BI335" i="2" s="1"/>
  <c r="U336" i="2"/>
  <c r="T335" i="2"/>
  <c r="M392" i="2" s="1"/>
  <c r="T336" i="2"/>
  <c r="M393" i="2" s="1"/>
  <c r="N393" i="2" s="1"/>
  <c r="BL337" i="2"/>
  <c r="BN337" i="2" s="1"/>
  <c r="AY531" i="2"/>
  <c r="BD337" i="2"/>
  <c r="BF337" i="2" s="1"/>
  <c r="AQ531" i="2"/>
  <c r="AS531" i="2" s="1"/>
  <c r="CE528" i="2"/>
  <c r="CG528" i="2" s="1"/>
  <c r="BW528" i="2"/>
  <c r="BY528" i="2" s="1"/>
  <c r="BO528" i="2"/>
  <c r="BQ528" i="2" s="1"/>
  <c r="AN528" i="2"/>
  <c r="AM464" i="2"/>
  <c r="BL464" i="2"/>
  <c r="BN464" i="2" s="1"/>
  <c r="AV337" i="2"/>
  <c r="P218" i="9"/>
  <c r="F335" i="9" s="1"/>
  <c r="R275" i="2"/>
  <c r="S275" i="2"/>
  <c r="H336" i="2"/>
  <c r="H335" i="2"/>
  <c r="L218" i="9"/>
  <c r="K218" i="9"/>
  <c r="R218" i="9"/>
  <c r="L335" i="9" s="1"/>
  <c r="J218" i="9"/>
  <c r="Q218" i="9"/>
  <c r="I335" i="9" s="1"/>
  <c r="I218" i="9"/>
  <c r="G218" i="9"/>
  <c r="E218" i="9"/>
  <c r="N218" i="9"/>
  <c r="C218" i="9"/>
  <c r="D218" i="9" s="1"/>
  <c r="F218" i="9" s="1"/>
  <c r="H218" i="9" s="1"/>
  <c r="O218" i="9"/>
  <c r="B218" i="9"/>
  <c r="B278" i="9" s="1"/>
  <c r="F335" i="2"/>
  <c r="G335" i="2" s="1"/>
  <c r="C335" i="2"/>
  <c r="D335" i="2"/>
  <c r="B275" i="2"/>
  <c r="B337" i="2" s="1"/>
  <c r="V275" i="2"/>
  <c r="A337" i="2"/>
  <c r="L275" i="2"/>
  <c r="O275" i="2"/>
  <c r="K275" i="2"/>
  <c r="J275" i="2"/>
  <c r="I275" i="2"/>
  <c r="U275" i="2" s="1"/>
  <c r="G275" i="2"/>
  <c r="C275" i="2"/>
  <c r="D275" i="2" s="1"/>
  <c r="F275" i="2" s="1"/>
  <c r="E275" i="2"/>
  <c r="T275" i="2"/>
  <c r="P275" i="2"/>
  <c r="Q275" i="2" s="1"/>
  <c r="F336" i="2"/>
  <c r="G336" i="2" s="1"/>
  <c r="D336" i="2"/>
  <c r="C336" i="2"/>
  <c r="A276" i="2"/>
  <c r="A152" i="1"/>
  <c r="B152" i="1" s="1"/>
  <c r="A219" i="9" s="1"/>
  <c r="P470" i="9" l="1"/>
  <c r="M406" i="9"/>
  <c r="Q527" i="9"/>
  <c r="E527" i="9"/>
  <c r="D527" i="9"/>
  <c r="BG530" i="2" s="1"/>
  <c r="T404" i="9"/>
  <c r="S404" i="9"/>
  <c r="BC465" i="2" s="1"/>
  <c r="BE465" i="2" s="1"/>
  <c r="K467" i="2"/>
  <c r="L467" i="2"/>
  <c r="M337" i="2"/>
  <c r="W337" i="2"/>
  <c r="L337" i="2"/>
  <c r="R466" i="2"/>
  <c r="U466" i="2"/>
  <c r="J466" i="2"/>
  <c r="T466" i="2"/>
  <c r="S466" i="2"/>
  <c r="Q466" i="2"/>
  <c r="O466" i="2"/>
  <c r="I466" i="2"/>
  <c r="N530" i="2"/>
  <c r="P466" i="2"/>
  <c r="N466" i="2"/>
  <c r="P465" i="2"/>
  <c r="T465" i="2"/>
  <c r="Q465" i="2"/>
  <c r="J465" i="2"/>
  <c r="R465" i="2"/>
  <c r="I465" i="2"/>
  <c r="U465" i="2"/>
  <c r="S465" i="2"/>
  <c r="O465" i="2"/>
  <c r="N529" i="2"/>
  <c r="N465" i="2"/>
  <c r="E337" i="2"/>
  <c r="J337" i="2"/>
  <c r="H404" i="9"/>
  <c r="P468" i="9"/>
  <c r="H278" i="9"/>
  <c r="M278" i="9"/>
  <c r="K471" i="9" s="1"/>
  <c r="D404" i="9"/>
  <c r="L406" i="9"/>
  <c r="O470" i="9" s="1"/>
  <c r="E404" i="9"/>
  <c r="F404" i="9" s="1"/>
  <c r="AK465" i="2" s="1"/>
  <c r="L404" i="9"/>
  <c r="O468" i="9" s="1"/>
  <c r="K337" i="2"/>
  <c r="I337" i="2"/>
  <c r="V337" i="2"/>
  <c r="D278" i="9"/>
  <c r="G278" i="9"/>
  <c r="I404" i="9"/>
  <c r="Q404" i="9"/>
  <c r="R404" i="9"/>
  <c r="A526" i="9"/>
  <c r="L468" i="9"/>
  <c r="M468" i="9" s="1"/>
  <c r="W462" i="2"/>
  <c r="R335" i="2"/>
  <c r="S335" i="2" s="1"/>
  <c r="G392" i="2" s="1"/>
  <c r="AK335" i="2" s="1"/>
  <c r="M275" i="2"/>
  <c r="N275" i="2" s="1"/>
  <c r="W275" i="2"/>
  <c r="F394" i="2" s="1"/>
  <c r="G332" i="9"/>
  <c r="AW335" i="2" s="1"/>
  <c r="AX335" i="2" s="1"/>
  <c r="C151" i="1"/>
  <c r="C278" i="9" s="1"/>
  <c r="N334" i="9"/>
  <c r="AD464" i="2"/>
  <c r="D530" i="2"/>
  <c r="E530" i="2" s="1"/>
  <c r="M218" i="9"/>
  <c r="C335" i="9" s="1"/>
  <c r="AN338" i="2" s="1"/>
  <c r="G333" i="9"/>
  <c r="AW336" i="2" s="1"/>
  <c r="AX336" i="2" s="1"/>
  <c r="J405" i="9"/>
  <c r="K405" i="9" s="1"/>
  <c r="N405" i="9" s="1"/>
  <c r="P405" i="9" s="1"/>
  <c r="AL466" i="2" s="1"/>
  <c r="J404" i="9"/>
  <c r="K404" i="9" s="1"/>
  <c r="N404" i="9" s="1"/>
  <c r="P404" i="9" s="1"/>
  <c r="AL465" i="2" s="1"/>
  <c r="Q392" i="2"/>
  <c r="J527" i="9"/>
  <c r="BX530" i="2" s="1"/>
  <c r="I277" i="9"/>
  <c r="J277" i="9" s="1"/>
  <c r="D334" i="9" s="1"/>
  <c r="E334" i="9" s="1"/>
  <c r="D529" i="2"/>
  <c r="E529" i="2" s="1"/>
  <c r="BT529" i="2" s="1"/>
  <c r="AF463" i="2"/>
  <c r="H275" i="2"/>
  <c r="G471" i="9"/>
  <c r="AI532" i="2" s="1"/>
  <c r="K334" i="9"/>
  <c r="AH462" i="2"/>
  <c r="AI462" i="2" s="1"/>
  <c r="AN462" i="2" s="1"/>
  <c r="AE463" i="2"/>
  <c r="AG463" i="2"/>
  <c r="G406" i="9"/>
  <c r="AT466" i="2"/>
  <c r="N392" i="2"/>
  <c r="AR530" i="2"/>
  <c r="I527" i="9"/>
  <c r="O527" i="9"/>
  <c r="H527" i="9"/>
  <c r="G527" i="9"/>
  <c r="P527" i="9"/>
  <c r="N527" i="9"/>
  <c r="R527" i="9"/>
  <c r="L527" i="9"/>
  <c r="K527" i="9"/>
  <c r="A279" i="9"/>
  <c r="E278" i="9"/>
  <c r="F278" i="9" s="1"/>
  <c r="I471" i="9"/>
  <c r="A471" i="9"/>
  <c r="A407" i="9"/>
  <c r="J471" i="9"/>
  <c r="A335" i="9"/>
  <c r="S407" i="9" s="1"/>
  <c r="L278" i="9"/>
  <c r="M335" i="9" s="1"/>
  <c r="BM338" i="2" s="1"/>
  <c r="K278" i="9"/>
  <c r="J335" i="9" s="1"/>
  <c r="BE338" i="2" s="1"/>
  <c r="H406" i="9"/>
  <c r="L470" i="9" s="1"/>
  <c r="M470" i="9" s="1"/>
  <c r="I406" i="9"/>
  <c r="E406" i="9"/>
  <c r="F406" i="9" s="1"/>
  <c r="D406" i="9"/>
  <c r="B471" i="9"/>
  <c r="B529" i="9" s="1"/>
  <c r="B335" i="9"/>
  <c r="B407" i="9"/>
  <c r="C407" i="9" s="1"/>
  <c r="R406" i="9"/>
  <c r="T406" i="9"/>
  <c r="Q406" i="9"/>
  <c r="D470" i="9"/>
  <c r="E470" i="9" s="1"/>
  <c r="J528" i="9" s="1"/>
  <c r="A528" i="9"/>
  <c r="AJ336" i="2"/>
  <c r="C465" i="2"/>
  <c r="G465" i="2" s="1"/>
  <c r="E465" i="2"/>
  <c r="F465" i="2" s="1"/>
  <c r="H465" i="2"/>
  <c r="D465" i="2"/>
  <c r="A588" i="2"/>
  <c r="Q588" i="2" s="1"/>
  <c r="B394" i="2"/>
  <c r="B467" i="2"/>
  <c r="B531" i="2"/>
  <c r="B589" i="2" s="1"/>
  <c r="AJ335" i="2"/>
  <c r="A394" i="2"/>
  <c r="U394" i="2" s="1"/>
  <c r="J531" i="2"/>
  <c r="G531" i="2"/>
  <c r="AE531" i="2" s="1"/>
  <c r="I531" i="2"/>
  <c r="A531" i="2"/>
  <c r="A467" i="2"/>
  <c r="V392" i="2"/>
  <c r="AY465" i="2"/>
  <c r="BA465" i="2" s="1"/>
  <c r="S392" i="2"/>
  <c r="T392" i="2" s="1"/>
  <c r="R392" i="2"/>
  <c r="AY466" i="2"/>
  <c r="BA466" i="2" s="1"/>
  <c r="R393" i="2"/>
  <c r="S393" i="2"/>
  <c r="T393" i="2" s="1"/>
  <c r="V393" i="2"/>
  <c r="P393" i="2"/>
  <c r="AU531" i="2"/>
  <c r="AW531" i="2" s="1"/>
  <c r="O394" i="2"/>
  <c r="BH337" i="2" s="1"/>
  <c r="BJ337" i="2" s="1"/>
  <c r="AM531" i="2"/>
  <c r="AO531" i="2" s="1"/>
  <c r="L394" i="2"/>
  <c r="A587" i="2"/>
  <c r="Q587" i="2" s="1"/>
  <c r="C466" i="2"/>
  <c r="G466" i="2" s="1"/>
  <c r="D466" i="2"/>
  <c r="H466" i="2"/>
  <c r="E466" i="2"/>
  <c r="F466" i="2" s="1"/>
  <c r="U337" i="2"/>
  <c r="T337" i="2"/>
  <c r="M394" i="2" s="1"/>
  <c r="AV338" i="2"/>
  <c r="BL338" i="2"/>
  <c r="BN338" i="2" s="1"/>
  <c r="AY532" i="2"/>
  <c r="BA532" i="2" s="1"/>
  <c r="BD338" i="2"/>
  <c r="BF338" i="2" s="1"/>
  <c r="AQ532" i="2"/>
  <c r="AS532" i="2" s="1"/>
  <c r="BA531" i="2"/>
  <c r="BX529" i="2"/>
  <c r="AR529" i="2"/>
  <c r="BC466" i="2"/>
  <c r="BE466" i="2" s="1"/>
  <c r="AK466" i="2"/>
  <c r="BH336" i="2"/>
  <c r="BJ336" i="2" s="1"/>
  <c r="BH335" i="2"/>
  <c r="BJ335" i="2" s="1"/>
  <c r="BA336" i="2"/>
  <c r="BA335" i="2"/>
  <c r="AO335" i="2"/>
  <c r="AP335" i="2" s="1"/>
  <c r="AO336" i="2"/>
  <c r="AP336" i="2" s="1"/>
  <c r="P219" i="9"/>
  <c r="F336" i="9" s="1"/>
  <c r="R276" i="2"/>
  <c r="S276" i="2"/>
  <c r="H337" i="2"/>
  <c r="L219" i="9"/>
  <c r="K219" i="9"/>
  <c r="Q219" i="9"/>
  <c r="I336" i="9" s="1"/>
  <c r="I219" i="9"/>
  <c r="G219" i="9"/>
  <c r="J219" i="9"/>
  <c r="N219" i="9"/>
  <c r="C219" i="9"/>
  <c r="D219" i="9" s="1"/>
  <c r="F219" i="9" s="1"/>
  <c r="H219" i="9" s="1"/>
  <c r="R219" i="9"/>
  <c r="L336" i="9" s="1"/>
  <c r="O219" i="9"/>
  <c r="E219" i="9"/>
  <c r="B219" i="9"/>
  <c r="B279" i="9" s="1"/>
  <c r="A277" i="2"/>
  <c r="I276" i="2"/>
  <c r="K276" i="2"/>
  <c r="O276" i="2" s="1"/>
  <c r="P276" i="2" s="1"/>
  <c r="Q276" i="2" s="1"/>
  <c r="J276" i="2"/>
  <c r="V276" i="2"/>
  <c r="W276" i="2" s="1"/>
  <c r="A338" i="2"/>
  <c r="G276" i="2"/>
  <c r="B276" i="2"/>
  <c r="B338" i="2" s="1"/>
  <c r="E276" i="2"/>
  <c r="C276" i="2"/>
  <c r="D276" i="2" s="1"/>
  <c r="F276" i="2" s="1"/>
  <c r="T276" i="2"/>
  <c r="U276" i="2"/>
  <c r="L276" i="2"/>
  <c r="D337" i="2"/>
  <c r="C337" i="2"/>
  <c r="F337" i="2"/>
  <c r="G337" i="2" s="1"/>
  <c r="A153" i="1"/>
  <c r="B153" i="1" s="1"/>
  <c r="A220" i="9" s="1"/>
  <c r="Q526" i="9" l="1"/>
  <c r="D526" i="9"/>
  <c r="BG529" i="2" s="1"/>
  <c r="E526" i="9"/>
  <c r="Q528" i="9"/>
  <c r="E528" i="9"/>
  <c r="D528" i="9"/>
  <c r="BG531" i="2" s="1"/>
  <c r="P471" i="9"/>
  <c r="M407" i="9"/>
  <c r="AT465" i="2"/>
  <c r="K468" i="2"/>
  <c r="L468" i="2"/>
  <c r="W338" i="2"/>
  <c r="M338" i="2"/>
  <c r="L338" i="2"/>
  <c r="N531" i="2"/>
  <c r="S467" i="2"/>
  <c r="Q467" i="2"/>
  <c r="P467" i="2"/>
  <c r="T467" i="2"/>
  <c r="U467" i="2"/>
  <c r="I467" i="2"/>
  <c r="J467" i="2"/>
  <c r="R467" i="2"/>
  <c r="O467" i="2"/>
  <c r="N467" i="2"/>
  <c r="D588" i="2"/>
  <c r="BC530" i="2" s="1"/>
  <c r="E588" i="2"/>
  <c r="D587" i="2"/>
  <c r="BC529" i="2" s="1"/>
  <c r="E587" i="2"/>
  <c r="E338" i="2"/>
  <c r="J338" i="2"/>
  <c r="L407" i="9"/>
  <c r="O471" i="9" s="1"/>
  <c r="I526" i="9"/>
  <c r="BL465" i="2"/>
  <c r="BN465" i="2" s="1"/>
  <c r="H279" i="9"/>
  <c r="M279" i="9"/>
  <c r="K472" i="9" s="1"/>
  <c r="K338" i="2"/>
  <c r="I338" i="2"/>
  <c r="V338" i="2"/>
  <c r="D279" i="9"/>
  <c r="G279" i="9"/>
  <c r="L526" i="9"/>
  <c r="P526" i="9"/>
  <c r="G526" i="9"/>
  <c r="H526" i="9"/>
  <c r="BO529" i="2" s="1"/>
  <c r="BQ529" i="2" s="1"/>
  <c r="K526" i="9"/>
  <c r="BW529" i="2" s="1"/>
  <c r="BY529" i="2" s="1"/>
  <c r="N526" i="9"/>
  <c r="CE529" i="2" s="1"/>
  <c r="CG529" i="2" s="1"/>
  <c r="O526" i="9"/>
  <c r="R526" i="9"/>
  <c r="AC464" i="2"/>
  <c r="AG464" i="2" s="1"/>
  <c r="AH464" i="2" s="1"/>
  <c r="AI464" i="2" s="1"/>
  <c r="AN464" i="2" s="1"/>
  <c r="K530" i="2"/>
  <c r="L530" i="2" s="1"/>
  <c r="H332" i="9"/>
  <c r="R337" i="2"/>
  <c r="S337" i="2" s="1"/>
  <c r="M276" i="2"/>
  <c r="N276" i="2" s="1"/>
  <c r="W464" i="2"/>
  <c r="N335" i="2"/>
  <c r="O335" i="2" s="1"/>
  <c r="M219" i="9"/>
  <c r="C336" i="9" s="1"/>
  <c r="AN339" i="2" s="1"/>
  <c r="H333" i="9"/>
  <c r="D531" i="2"/>
  <c r="E531" i="2" s="1"/>
  <c r="N336" i="2"/>
  <c r="O336" i="2" s="1"/>
  <c r="R336" i="2"/>
  <c r="S336" i="2" s="1"/>
  <c r="G393" i="2" s="1"/>
  <c r="G407" i="9"/>
  <c r="H392" i="2"/>
  <c r="AL335" i="2"/>
  <c r="O405" i="9"/>
  <c r="G394" i="2"/>
  <c r="AK337" i="2" s="1"/>
  <c r="P337" i="2"/>
  <c r="Q337" i="2" s="1"/>
  <c r="H276" i="2"/>
  <c r="G472" i="9"/>
  <c r="AI533" i="2" s="1"/>
  <c r="N394" i="2"/>
  <c r="K529" i="2"/>
  <c r="L529" i="2" s="1"/>
  <c r="J406" i="9"/>
  <c r="K406" i="9" s="1"/>
  <c r="N406" i="9" s="1"/>
  <c r="P406" i="9" s="1"/>
  <c r="AL467" i="2" s="1"/>
  <c r="O404" i="9"/>
  <c r="I278" i="9"/>
  <c r="J278" i="9" s="1"/>
  <c r="G335" i="9" s="1"/>
  <c r="N337" i="2"/>
  <c r="K335" i="9"/>
  <c r="AT467" i="2"/>
  <c r="C152" i="1"/>
  <c r="C279" i="9" s="1"/>
  <c r="J588" i="2"/>
  <c r="V463" i="2"/>
  <c r="W463" i="2"/>
  <c r="P336" i="2"/>
  <c r="Q336" i="2" s="1"/>
  <c r="M466" i="2"/>
  <c r="N335" i="9"/>
  <c r="AH463" i="2"/>
  <c r="AI463" i="2" s="1"/>
  <c r="AN463" i="2" s="1"/>
  <c r="BI336" i="2"/>
  <c r="Q393" i="2"/>
  <c r="G334" i="9"/>
  <c r="J587" i="2"/>
  <c r="H394" i="2"/>
  <c r="BT530" i="2"/>
  <c r="M465" i="2"/>
  <c r="P335" i="2"/>
  <c r="AP466" i="2"/>
  <c r="AP465" i="2"/>
  <c r="D407" i="9"/>
  <c r="E407" i="9"/>
  <c r="F407" i="9" s="1"/>
  <c r="I407" i="9"/>
  <c r="H407" i="9"/>
  <c r="L471" i="9" s="1"/>
  <c r="M471" i="9" s="1"/>
  <c r="B408" i="9"/>
  <c r="C408" i="9" s="1"/>
  <c r="B336" i="9"/>
  <c r="B472" i="9"/>
  <c r="B530" i="9" s="1"/>
  <c r="K528" i="9"/>
  <c r="H528" i="9"/>
  <c r="R528" i="9"/>
  <c r="I528" i="9"/>
  <c r="L528" i="9"/>
  <c r="N528" i="9"/>
  <c r="O528" i="9"/>
  <c r="P528" i="9"/>
  <c r="G528" i="9"/>
  <c r="I472" i="9"/>
  <c r="J472" i="9"/>
  <c r="A472" i="9"/>
  <c r="A408" i="9"/>
  <c r="A336" i="9"/>
  <c r="S408" i="9" s="1"/>
  <c r="K279" i="9"/>
  <c r="J336" i="9" s="1"/>
  <c r="BE339" i="2" s="1"/>
  <c r="E279" i="9"/>
  <c r="F279" i="9" s="1"/>
  <c r="L279" i="9"/>
  <c r="M336" i="9" s="1"/>
  <c r="BM339" i="2" s="1"/>
  <c r="R407" i="9"/>
  <c r="T407" i="9"/>
  <c r="Q407" i="9"/>
  <c r="A529" i="9"/>
  <c r="D471" i="9"/>
  <c r="E471" i="9" s="1"/>
  <c r="A280" i="9"/>
  <c r="A395" i="2"/>
  <c r="U395" i="2" s="1"/>
  <c r="A532" i="2"/>
  <c r="A468" i="2"/>
  <c r="I532" i="2"/>
  <c r="J532" i="2"/>
  <c r="G532" i="2"/>
  <c r="AE532" i="2" s="1"/>
  <c r="N588" i="2"/>
  <c r="CA530" i="2" s="1"/>
  <c r="CC530" i="2" s="1"/>
  <c r="H588" i="2"/>
  <c r="BK530" i="2" s="1"/>
  <c r="BM530" i="2" s="1"/>
  <c r="O588" i="2"/>
  <c r="G588" i="2"/>
  <c r="P588" i="2"/>
  <c r="K588" i="2"/>
  <c r="BS530" i="2" s="1"/>
  <c r="BU530" i="2" s="1"/>
  <c r="I588" i="2"/>
  <c r="L588" i="2"/>
  <c r="BH466" i="2"/>
  <c r="BJ466" i="2" s="1"/>
  <c r="R588" i="2"/>
  <c r="F395" i="2"/>
  <c r="O587" i="2"/>
  <c r="N587" i="2"/>
  <c r="CA529" i="2" s="1"/>
  <c r="CC529" i="2" s="1"/>
  <c r="L587" i="2"/>
  <c r="R587" i="2"/>
  <c r="I587" i="2"/>
  <c r="BH465" i="2"/>
  <c r="BJ465" i="2" s="1"/>
  <c r="G587" i="2"/>
  <c r="P587" i="2"/>
  <c r="H587" i="2"/>
  <c r="BK529" i="2" s="1"/>
  <c r="BM529" i="2" s="1"/>
  <c r="K587" i="2"/>
  <c r="BS529" i="2" s="1"/>
  <c r="BU529" i="2" s="1"/>
  <c r="C467" i="2"/>
  <c r="G467" i="2" s="1"/>
  <c r="E467" i="2"/>
  <c r="F467" i="2" s="1"/>
  <c r="H467" i="2"/>
  <c r="D467" i="2"/>
  <c r="R394" i="2"/>
  <c r="V394" i="2"/>
  <c r="S394" i="2"/>
  <c r="T394" i="2" s="1"/>
  <c r="AY467" i="2"/>
  <c r="BA467" i="2" s="1"/>
  <c r="B395" i="2"/>
  <c r="B468" i="2"/>
  <c r="B532" i="2"/>
  <c r="B590" i="2" s="1"/>
  <c r="P394" i="2"/>
  <c r="BI337" i="2" s="1"/>
  <c r="AM532" i="2"/>
  <c r="AO532" i="2" s="1"/>
  <c r="L395" i="2"/>
  <c r="AZ338" i="2" s="1"/>
  <c r="BB338" i="2" s="1"/>
  <c r="AU532" i="2"/>
  <c r="AW532" i="2" s="1"/>
  <c r="O395" i="2"/>
  <c r="AJ337" i="2"/>
  <c r="AL337" i="2" s="1"/>
  <c r="A589" i="2"/>
  <c r="Q589" i="2" s="1"/>
  <c r="U338" i="2"/>
  <c r="T338" i="2"/>
  <c r="M395" i="2" s="1"/>
  <c r="AV339" i="2"/>
  <c r="BD339" i="2"/>
  <c r="BF339" i="2" s="1"/>
  <c r="AQ533" i="2"/>
  <c r="AS533" i="2" s="1"/>
  <c r="CE530" i="2"/>
  <c r="CG530" i="2" s="1"/>
  <c r="BL339" i="2"/>
  <c r="BN339" i="2" s="1"/>
  <c r="AY533" i="2"/>
  <c r="BW530" i="2"/>
  <c r="BY530" i="2" s="1"/>
  <c r="BO530" i="2"/>
  <c r="BQ530" i="2" s="1"/>
  <c r="BX531" i="2"/>
  <c r="AR531" i="2"/>
  <c r="AN529" i="2"/>
  <c r="AN530" i="2"/>
  <c r="AM466" i="2"/>
  <c r="AM465" i="2"/>
  <c r="BL466" i="2"/>
  <c r="BN466" i="2" s="1"/>
  <c r="BC467" i="2"/>
  <c r="BE467" i="2" s="1"/>
  <c r="AK467" i="2"/>
  <c r="AZ337" i="2"/>
  <c r="BB337" i="2" s="1"/>
  <c r="AO337" i="2"/>
  <c r="AP337" i="2" s="1"/>
  <c r="P220" i="9"/>
  <c r="F337" i="9" s="1"/>
  <c r="S277" i="2"/>
  <c r="R277" i="2"/>
  <c r="H338" i="2"/>
  <c r="N220" i="9"/>
  <c r="L220" i="9"/>
  <c r="O220" i="9"/>
  <c r="J220" i="9"/>
  <c r="K220" i="9"/>
  <c r="R220" i="9"/>
  <c r="L337" i="9" s="1"/>
  <c r="E220" i="9"/>
  <c r="Q220" i="9"/>
  <c r="I337" i="9" s="1"/>
  <c r="C220" i="9"/>
  <c r="D220" i="9" s="1"/>
  <c r="F220" i="9" s="1"/>
  <c r="H220" i="9" s="1"/>
  <c r="G220" i="9"/>
  <c r="I220" i="9"/>
  <c r="B220" i="9"/>
  <c r="B280" i="9" s="1"/>
  <c r="A278" i="2"/>
  <c r="BA337" i="2"/>
  <c r="E277" i="2"/>
  <c r="O277" i="2"/>
  <c r="P277" i="2" s="1"/>
  <c r="Q277" i="2" s="1"/>
  <c r="A339" i="2"/>
  <c r="J277" i="2"/>
  <c r="C277" i="2"/>
  <c r="D277" i="2" s="1"/>
  <c r="F277" i="2" s="1"/>
  <c r="B277" i="2"/>
  <c r="B339" i="2" s="1"/>
  <c r="K277" i="2"/>
  <c r="L277" i="2" s="1"/>
  <c r="G277" i="2"/>
  <c r="V277" i="2"/>
  <c r="I277" i="2"/>
  <c r="T277" i="2" s="1"/>
  <c r="U277" i="2"/>
  <c r="C338" i="2"/>
  <c r="F338" i="2"/>
  <c r="G338" i="2" s="1"/>
  <c r="D338" i="2"/>
  <c r="A154" i="1"/>
  <c r="B154" i="1" s="1"/>
  <c r="A221" i="9" s="1"/>
  <c r="Q529" i="9" l="1"/>
  <c r="E529" i="9"/>
  <c r="D529" i="9"/>
  <c r="BG532" i="2" s="1"/>
  <c r="P472" i="9"/>
  <c r="M408" i="9"/>
  <c r="L469" i="2"/>
  <c r="K469" i="2"/>
  <c r="L339" i="2"/>
  <c r="W339" i="2"/>
  <c r="M339" i="2"/>
  <c r="O468" i="2"/>
  <c r="S468" i="2"/>
  <c r="P468" i="2"/>
  <c r="I468" i="2"/>
  <c r="N532" i="2"/>
  <c r="U468" i="2"/>
  <c r="Q468" i="2"/>
  <c r="J468" i="2"/>
  <c r="R468" i="2"/>
  <c r="T468" i="2"/>
  <c r="N468" i="2"/>
  <c r="D589" i="2"/>
  <c r="BC531" i="2" s="1"/>
  <c r="E589" i="2"/>
  <c r="E339" i="2"/>
  <c r="J339" i="2"/>
  <c r="H280" i="9"/>
  <c r="M280" i="9"/>
  <c r="K473" i="9" s="1"/>
  <c r="G408" i="9"/>
  <c r="L408" i="9"/>
  <c r="O472" i="9" s="1"/>
  <c r="V339" i="2"/>
  <c r="K339" i="2"/>
  <c r="I339" i="2"/>
  <c r="D280" i="9"/>
  <c r="G280" i="9"/>
  <c r="AF464" i="2"/>
  <c r="AE464" i="2"/>
  <c r="C394" i="2"/>
  <c r="AF337" i="2" s="1"/>
  <c r="AH337" i="2" s="1"/>
  <c r="D335" i="9"/>
  <c r="E335" i="9" s="1"/>
  <c r="V464" i="2"/>
  <c r="AD466" i="2"/>
  <c r="G473" i="9"/>
  <c r="AI534" i="2" s="1"/>
  <c r="P338" i="2"/>
  <c r="Q338" i="2" s="1"/>
  <c r="O337" i="2"/>
  <c r="O406" i="9"/>
  <c r="N336" i="9"/>
  <c r="I279" i="9"/>
  <c r="J279" i="9" s="1"/>
  <c r="G336" i="9" s="1"/>
  <c r="AK336" i="2"/>
  <c r="AL336" i="2" s="1"/>
  <c r="H393" i="2"/>
  <c r="D532" i="2"/>
  <c r="E532" i="2" s="1"/>
  <c r="BT532" i="2" s="1"/>
  <c r="E394" i="2"/>
  <c r="W277" i="2"/>
  <c r="F396" i="2" s="1"/>
  <c r="J407" i="9"/>
  <c r="K407" i="9" s="1"/>
  <c r="N407" i="9" s="1"/>
  <c r="P407" i="9" s="1"/>
  <c r="AL468" i="2" s="1"/>
  <c r="M277" i="2"/>
  <c r="N277" i="2" s="1"/>
  <c r="C153" i="1"/>
  <c r="C280" i="9" s="1"/>
  <c r="M220" i="9"/>
  <c r="C337" i="9" s="1"/>
  <c r="AN340" i="2" s="1"/>
  <c r="R338" i="2"/>
  <c r="S338" i="2" s="1"/>
  <c r="G395" i="2" s="1"/>
  <c r="AK338" i="2" s="1"/>
  <c r="K336" i="9"/>
  <c r="I394" i="2"/>
  <c r="AR337" i="2" s="1"/>
  <c r="AT337" i="2" s="1"/>
  <c r="AD465" i="2"/>
  <c r="J529" i="9"/>
  <c r="BX532" i="2" s="1"/>
  <c r="AT468" i="2"/>
  <c r="N395" i="2"/>
  <c r="D393" i="2"/>
  <c r="AG336" i="2" s="1"/>
  <c r="Q335" i="2"/>
  <c r="D392" i="2"/>
  <c r="AG335" i="2" s="1"/>
  <c r="J392" i="2"/>
  <c r="AS335" i="2" s="1"/>
  <c r="K392" i="2"/>
  <c r="I392" i="2"/>
  <c r="AR335" i="2" s="1"/>
  <c r="AT335" i="2" s="1"/>
  <c r="E392" i="2"/>
  <c r="C392" i="2"/>
  <c r="AF335" i="2" s="1"/>
  <c r="AH335" i="2" s="1"/>
  <c r="J393" i="2"/>
  <c r="AS336" i="2" s="1"/>
  <c r="J394" i="2"/>
  <c r="AS337" i="2" s="1"/>
  <c r="J589" i="2"/>
  <c r="E393" i="2"/>
  <c r="BT531" i="2"/>
  <c r="C393" i="2"/>
  <c r="AF336" i="2" s="1"/>
  <c r="AH336" i="2" s="1"/>
  <c r="K531" i="2"/>
  <c r="L531" i="2" s="1"/>
  <c r="I393" i="2"/>
  <c r="AR336" i="2" s="1"/>
  <c r="AT336" i="2" s="1"/>
  <c r="K394" i="2"/>
  <c r="AW338" i="2"/>
  <c r="AX338" i="2" s="1"/>
  <c r="H335" i="9"/>
  <c r="AW337" i="2"/>
  <c r="AX337" i="2" s="1"/>
  <c r="H334" i="9"/>
  <c r="Q394" i="2"/>
  <c r="D394" i="2"/>
  <c r="AG337" i="2" s="1"/>
  <c r="M467" i="2"/>
  <c r="H277" i="2"/>
  <c r="K393" i="2"/>
  <c r="AP467" i="2"/>
  <c r="D472" i="9"/>
  <c r="E472" i="9" s="1"/>
  <c r="A530" i="9"/>
  <c r="B473" i="9"/>
  <c r="B531" i="9" s="1"/>
  <c r="B337" i="9"/>
  <c r="B409" i="9"/>
  <c r="C409" i="9" s="1"/>
  <c r="R408" i="9"/>
  <c r="T408" i="9"/>
  <c r="Q408" i="9"/>
  <c r="A473" i="9"/>
  <c r="I473" i="9"/>
  <c r="J473" i="9"/>
  <c r="A337" i="9"/>
  <c r="S409" i="9" s="1"/>
  <c r="A409" i="9"/>
  <c r="L280" i="9"/>
  <c r="M337" i="9" s="1"/>
  <c r="BM340" i="2" s="1"/>
  <c r="E280" i="9"/>
  <c r="F280" i="9" s="1"/>
  <c r="K280" i="9"/>
  <c r="J337" i="9" s="1"/>
  <c r="BE340" i="2" s="1"/>
  <c r="L529" i="9"/>
  <c r="N529" i="9"/>
  <c r="O529" i="9"/>
  <c r="H529" i="9"/>
  <c r="G529" i="9"/>
  <c r="I529" i="9"/>
  <c r="P529" i="9"/>
  <c r="R529" i="9"/>
  <c r="K529" i="9"/>
  <c r="A281" i="9"/>
  <c r="H408" i="9"/>
  <c r="L472" i="9" s="1"/>
  <c r="M472" i="9" s="1"/>
  <c r="I408" i="9"/>
  <c r="D408" i="9"/>
  <c r="E408" i="9"/>
  <c r="F408" i="9" s="1"/>
  <c r="B396" i="2"/>
  <c r="B533" i="2"/>
  <c r="B591" i="2" s="1"/>
  <c r="B469" i="2"/>
  <c r="P395" i="2"/>
  <c r="AU533" i="2"/>
  <c r="AW533" i="2" s="1"/>
  <c r="O396" i="2"/>
  <c r="AM533" i="2"/>
  <c r="AO533" i="2" s="1"/>
  <c r="L396" i="2"/>
  <c r="AZ339" i="2" s="1"/>
  <c r="BB339" i="2" s="1"/>
  <c r="C468" i="2"/>
  <c r="G468" i="2" s="1"/>
  <c r="D468" i="2"/>
  <c r="H468" i="2"/>
  <c r="E468" i="2"/>
  <c r="F468" i="2" s="1"/>
  <c r="A396" i="2"/>
  <c r="U396" i="2" s="1"/>
  <c r="A533" i="2"/>
  <c r="J533" i="2"/>
  <c r="G533" i="2"/>
  <c r="AE533" i="2" s="1"/>
  <c r="I533" i="2"/>
  <c r="A469" i="2"/>
  <c r="O589" i="2"/>
  <c r="I589" i="2"/>
  <c r="R589" i="2"/>
  <c r="L589" i="2"/>
  <c r="N589" i="2"/>
  <c r="CA531" i="2" s="1"/>
  <c r="CC531" i="2" s="1"/>
  <c r="H589" i="2"/>
  <c r="BK531" i="2" s="1"/>
  <c r="BM531" i="2" s="1"/>
  <c r="P589" i="2"/>
  <c r="BH467" i="2"/>
  <c r="BJ467" i="2" s="1"/>
  <c r="G589" i="2"/>
  <c r="K589" i="2"/>
  <c r="BS531" i="2" s="1"/>
  <c r="BU531" i="2" s="1"/>
  <c r="A590" i="2"/>
  <c r="Q590" i="2" s="1"/>
  <c r="AY468" i="2"/>
  <c r="BA468" i="2" s="1"/>
  <c r="R395" i="2"/>
  <c r="S395" i="2"/>
  <c r="T395" i="2" s="1"/>
  <c r="V395" i="2"/>
  <c r="AJ338" i="2"/>
  <c r="U339" i="2"/>
  <c r="T339" i="2"/>
  <c r="M396" i="2" s="1"/>
  <c r="AV340" i="2"/>
  <c r="CE531" i="2"/>
  <c r="CG531" i="2" s="1"/>
  <c r="BL340" i="2"/>
  <c r="BN340" i="2" s="1"/>
  <c r="AY534" i="2"/>
  <c r="BD340" i="2"/>
  <c r="BF340" i="2" s="1"/>
  <c r="AQ534" i="2"/>
  <c r="AS534" i="2" s="1"/>
  <c r="BW531" i="2"/>
  <c r="BY531" i="2" s="1"/>
  <c r="BO531" i="2"/>
  <c r="BQ531" i="2" s="1"/>
  <c r="BA533" i="2"/>
  <c r="AR532" i="2"/>
  <c r="AN531" i="2"/>
  <c r="AM467" i="2"/>
  <c r="BL467" i="2"/>
  <c r="BN467" i="2" s="1"/>
  <c r="BC468" i="2"/>
  <c r="BE468" i="2" s="1"/>
  <c r="AK468" i="2"/>
  <c r="BH338" i="2"/>
  <c r="BJ338" i="2" s="1"/>
  <c r="BA338" i="2"/>
  <c r="P221" i="9"/>
  <c r="F338" i="9" s="1"/>
  <c r="R278" i="2"/>
  <c r="S278" i="2"/>
  <c r="H339" i="2"/>
  <c r="O221" i="9"/>
  <c r="N221" i="9"/>
  <c r="J221" i="9"/>
  <c r="M221" i="9" s="1"/>
  <c r="C338" i="9" s="1"/>
  <c r="Q221" i="9"/>
  <c r="I338" i="9" s="1"/>
  <c r="C221" i="9"/>
  <c r="D221" i="9" s="1"/>
  <c r="F221" i="9" s="1"/>
  <c r="H221" i="9" s="1"/>
  <c r="R221" i="9"/>
  <c r="L338" i="9" s="1"/>
  <c r="G221" i="9"/>
  <c r="K221" i="9"/>
  <c r="E221" i="9"/>
  <c r="I221" i="9"/>
  <c r="L221" i="9"/>
  <c r="B221" i="9"/>
  <c r="B281" i="9" s="1"/>
  <c r="K278" i="2"/>
  <c r="L278" i="2" s="1"/>
  <c r="I278" i="2"/>
  <c r="J278" i="2"/>
  <c r="O278" i="2"/>
  <c r="E278" i="2"/>
  <c r="C278" i="2"/>
  <c r="D278" i="2" s="1"/>
  <c r="F278" i="2" s="1"/>
  <c r="A340" i="2"/>
  <c r="K397" i="2" s="1"/>
  <c r="B278" i="2"/>
  <c r="B340" i="2" s="1"/>
  <c r="V278" i="2"/>
  <c r="G278" i="2"/>
  <c r="T278" i="2"/>
  <c r="U278" i="2"/>
  <c r="P278" i="2"/>
  <c r="Q278" i="2" s="1"/>
  <c r="C339" i="2"/>
  <c r="F339" i="2"/>
  <c r="G339" i="2" s="1"/>
  <c r="D339" i="2"/>
  <c r="A279" i="2"/>
  <c r="A155" i="1"/>
  <c r="B155" i="1" s="1"/>
  <c r="A222" i="9" s="1"/>
  <c r="Q530" i="9" l="1"/>
  <c r="E530" i="9"/>
  <c r="D530" i="9"/>
  <c r="BG533" i="2" s="1"/>
  <c r="P473" i="9"/>
  <c r="M409" i="9"/>
  <c r="L470" i="2"/>
  <c r="K470" i="2"/>
  <c r="W340" i="2"/>
  <c r="M340" i="2"/>
  <c r="L340" i="2"/>
  <c r="T469" i="2"/>
  <c r="R469" i="2"/>
  <c r="I469" i="2"/>
  <c r="N533" i="2"/>
  <c r="S469" i="2"/>
  <c r="P469" i="2"/>
  <c r="U469" i="2"/>
  <c r="Q469" i="2"/>
  <c r="J469" i="2"/>
  <c r="O469" i="2"/>
  <c r="N469" i="2"/>
  <c r="E590" i="2"/>
  <c r="D590" i="2"/>
  <c r="BC532" i="2" s="1"/>
  <c r="E340" i="2"/>
  <c r="J340" i="2"/>
  <c r="L409" i="9"/>
  <c r="O473" i="9" s="1"/>
  <c r="H281" i="9"/>
  <c r="M281" i="9"/>
  <c r="K474" i="9" s="1"/>
  <c r="V340" i="2"/>
  <c r="K340" i="2"/>
  <c r="I340" i="2"/>
  <c r="D281" i="9"/>
  <c r="G281" i="9"/>
  <c r="AO338" i="2"/>
  <c r="AP338" i="2" s="1"/>
  <c r="I280" i="9"/>
  <c r="D336" i="9"/>
  <c r="E336" i="9" s="1"/>
  <c r="AC465" i="2"/>
  <c r="AE465" i="2" s="1"/>
  <c r="M468" i="2"/>
  <c r="M278" i="2"/>
  <c r="N278" i="2" s="1"/>
  <c r="W466" i="2"/>
  <c r="AC466" i="2"/>
  <c r="AF466" i="2" s="1"/>
  <c r="N338" i="2"/>
  <c r="J395" i="2" s="1"/>
  <c r="AS338" i="2" s="1"/>
  <c r="G474" i="9"/>
  <c r="AI535" i="2" s="1"/>
  <c r="J280" i="9"/>
  <c r="G337" i="9" s="1"/>
  <c r="P339" i="2"/>
  <c r="Q339" i="2" s="1"/>
  <c r="AL338" i="2"/>
  <c r="J408" i="9"/>
  <c r="K408" i="9" s="1"/>
  <c r="N408" i="9" s="1"/>
  <c r="P408" i="9" s="1"/>
  <c r="AL469" i="2" s="1"/>
  <c r="D533" i="2"/>
  <c r="E533" i="2" s="1"/>
  <c r="BT533" i="2" s="1"/>
  <c r="C154" i="1"/>
  <c r="C281" i="9" s="1"/>
  <c r="O407" i="9"/>
  <c r="G409" i="9"/>
  <c r="W278" i="2"/>
  <c r="F397" i="2" s="1"/>
  <c r="H395" i="2"/>
  <c r="K532" i="2"/>
  <c r="L532" i="2" s="1"/>
  <c r="K337" i="9"/>
  <c r="J530" i="9"/>
  <c r="BX533" i="2" s="1"/>
  <c r="AC467" i="2"/>
  <c r="AT469" i="2"/>
  <c r="AW339" i="2"/>
  <c r="AX339" i="2" s="1"/>
  <c r="H336" i="9"/>
  <c r="H278" i="2"/>
  <c r="N337" i="9"/>
  <c r="J590" i="2"/>
  <c r="AD467" i="2"/>
  <c r="N396" i="2"/>
  <c r="BI338" i="2"/>
  <c r="Q395" i="2"/>
  <c r="AP468" i="2"/>
  <c r="A282" i="9"/>
  <c r="A531" i="9"/>
  <c r="D473" i="9"/>
  <c r="E473" i="9" s="1"/>
  <c r="J531" i="9" s="1"/>
  <c r="L281" i="9"/>
  <c r="M338" i="9" s="1"/>
  <c r="BM341" i="2" s="1"/>
  <c r="A474" i="9"/>
  <c r="I474" i="9"/>
  <c r="J474" i="9"/>
  <c r="A410" i="9"/>
  <c r="A338" i="9"/>
  <c r="S410" i="9" s="1"/>
  <c r="K281" i="9"/>
  <c r="J338" i="9" s="1"/>
  <c r="BE341" i="2" s="1"/>
  <c r="E281" i="9"/>
  <c r="F281" i="9" s="1"/>
  <c r="N530" i="9"/>
  <c r="G530" i="9"/>
  <c r="H530" i="9"/>
  <c r="R530" i="9"/>
  <c r="I530" i="9"/>
  <c r="K530" i="9"/>
  <c r="L530" i="9"/>
  <c r="O530" i="9"/>
  <c r="P530" i="9"/>
  <c r="B410" i="9"/>
  <c r="C410" i="9" s="1"/>
  <c r="B474" i="9"/>
  <c r="B532" i="9" s="1"/>
  <c r="B338" i="9"/>
  <c r="Q409" i="9"/>
  <c r="T409" i="9"/>
  <c r="R409" i="9"/>
  <c r="I409" i="9"/>
  <c r="D409" i="9"/>
  <c r="E409" i="9"/>
  <c r="F409" i="9" s="1"/>
  <c r="H409" i="9"/>
  <c r="L473" i="9" s="1"/>
  <c r="M473" i="9" s="1"/>
  <c r="AU534" i="2"/>
  <c r="AW534" i="2" s="1"/>
  <c r="O397" i="2"/>
  <c r="L590" i="2"/>
  <c r="O590" i="2"/>
  <c r="G590" i="2"/>
  <c r="P590" i="2"/>
  <c r="BH468" i="2"/>
  <c r="BJ468" i="2" s="1"/>
  <c r="K590" i="2"/>
  <c r="BS532" i="2" s="1"/>
  <c r="BU532" i="2" s="1"/>
  <c r="N590" i="2"/>
  <c r="CA532" i="2" s="1"/>
  <c r="CC532" i="2" s="1"/>
  <c r="R590" i="2"/>
  <c r="H590" i="2"/>
  <c r="BK532" i="2" s="1"/>
  <c r="BM532" i="2" s="1"/>
  <c r="I590" i="2"/>
  <c r="AM534" i="2"/>
  <c r="AO534" i="2" s="1"/>
  <c r="L397" i="2"/>
  <c r="AZ340" i="2" s="1"/>
  <c r="BB340" i="2" s="1"/>
  <c r="C469" i="2"/>
  <c r="E469" i="2"/>
  <c r="F469" i="2" s="1"/>
  <c r="D469" i="2"/>
  <c r="H469" i="2"/>
  <c r="A591" i="2"/>
  <c r="Q591" i="2" s="1"/>
  <c r="B397" i="2"/>
  <c r="B470" i="2"/>
  <c r="B534" i="2"/>
  <c r="B592" i="2" s="1"/>
  <c r="AY469" i="2"/>
  <c r="BA469" i="2" s="1"/>
  <c r="R396" i="2"/>
  <c r="V396" i="2"/>
  <c r="S396" i="2"/>
  <c r="T396" i="2" s="1"/>
  <c r="AJ339" i="2"/>
  <c r="P396" i="2"/>
  <c r="A397" i="2"/>
  <c r="U397" i="2" s="1"/>
  <c r="I534" i="2"/>
  <c r="A470" i="2"/>
  <c r="A534" i="2"/>
  <c r="J534" i="2"/>
  <c r="G534" i="2"/>
  <c r="AE534" i="2" s="1"/>
  <c r="U340" i="2"/>
  <c r="P397" i="2" s="1"/>
  <c r="BI340" i="2" s="1"/>
  <c r="T340" i="2"/>
  <c r="M397" i="2" s="1"/>
  <c r="BA340" i="2" s="1"/>
  <c r="BL341" i="2"/>
  <c r="BN341" i="2" s="1"/>
  <c r="AY535" i="2"/>
  <c r="BA535" i="2" s="1"/>
  <c r="BD341" i="2"/>
  <c r="BF341" i="2" s="1"/>
  <c r="AQ535" i="2"/>
  <c r="AS535" i="2" s="1"/>
  <c r="CE532" i="2"/>
  <c r="CG532" i="2" s="1"/>
  <c r="BO532" i="2"/>
  <c r="BQ532" i="2" s="1"/>
  <c r="BW532" i="2"/>
  <c r="BY532" i="2" s="1"/>
  <c r="AR533" i="2"/>
  <c r="BA534" i="2"/>
  <c r="AN532" i="2"/>
  <c r="AM468" i="2"/>
  <c r="BL468" i="2"/>
  <c r="BN468" i="2" s="1"/>
  <c r="BC469" i="2"/>
  <c r="BE469" i="2" s="1"/>
  <c r="AK469" i="2"/>
  <c r="BH339" i="2"/>
  <c r="BJ339" i="2" s="1"/>
  <c r="BA339" i="2"/>
  <c r="AV341" i="2"/>
  <c r="AN341" i="2"/>
  <c r="P222" i="9"/>
  <c r="F339" i="9" s="1"/>
  <c r="R279" i="2"/>
  <c r="S279" i="2"/>
  <c r="H340" i="2"/>
  <c r="O222" i="9"/>
  <c r="N222" i="9"/>
  <c r="Q222" i="9"/>
  <c r="I339" i="9" s="1"/>
  <c r="L222" i="9"/>
  <c r="J222" i="9"/>
  <c r="G222" i="9"/>
  <c r="R222" i="9"/>
  <c r="L339" i="9" s="1"/>
  <c r="I222" i="9"/>
  <c r="E222" i="9"/>
  <c r="C222" i="9"/>
  <c r="D222" i="9" s="1"/>
  <c r="F222" i="9" s="1"/>
  <c r="H222" i="9" s="1"/>
  <c r="K222" i="9"/>
  <c r="B222" i="9"/>
  <c r="B282" i="9" s="1"/>
  <c r="A341" i="2"/>
  <c r="V279" i="2"/>
  <c r="B279" i="2"/>
  <c r="B341" i="2" s="1"/>
  <c r="E279" i="2"/>
  <c r="G279" i="2"/>
  <c r="J279" i="2"/>
  <c r="K279" i="2"/>
  <c r="C279" i="2"/>
  <c r="D279" i="2" s="1"/>
  <c r="F279" i="2" s="1"/>
  <c r="I279" i="2"/>
  <c r="O279" i="2"/>
  <c r="P279" i="2" s="1"/>
  <c r="Q279" i="2" s="1"/>
  <c r="T279" i="2"/>
  <c r="U279" i="2"/>
  <c r="L279" i="2"/>
  <c r="F340" i="2"/>
  <c r="G340" i="2" s="1"/>
  <c r="C340" i="2"/>
  <c r="D340" i="2"/>
  <c r="A280" i="2"/>
  <c r="A156" i="1"/>
  <c r="B156" i="1" s="1"/>
  <c r="A223" i="9" s="1"/>
  <c r="P474" i="9" l="1"/>
  <c r="M410" i="9"/>
  <c r="Q531" i="9"/>
  <c r="E531" i="9"/>
  <c r="D531" i="9"/>
  <c r="BG534" i="2" s="1"/>
  <c r="K471" i="2"/>
  <c r="L471" i="2"/>
  <c r="W341" i="2"/>
  <c r="M341" i="2"/>
  <c r="L341" i="2"/>
  <c r="P470" i="2"/>
  <c r="N534" i="2"/>
  <c r="S470" i="2"/>
  <c r="U470" i="2"/>
  <c r="O470" i="2"/>
  <c r="T470" i="2"/>
  <c r="Q470" i="2"/>
  <c r="R470" i="2"/>
  <c r="J470" i="2"/>
  <c r="I470" i="2"/>
  <c r="N470" i="2"/>
  <c r="E591" i="2"/>
  <c r="D591" i="2"/>
  <c r="BC533" i="2" s="1"/>
  <c r="E341" i="2"/>
  <c r="J341" i="2"/>
  <c r="L410" i="9"/>
  <c r="O474" i="9" s="1"/>
  <c r="H282" i="9"/>
  <c r="M282" i="9"/>
  <c r="K475" i="9" s="1"/>
  <c r="V341" i="2"/>
  <c r="K341" i="2"/>
  <c r="I341" i="2"/>
  <c r="D282" i="9"/>
  <c r="G282" i="9"/>
  <c r="AO339" i="2"/>
  <c r="AP339" i="2" s="1"/>
  <c r="AG465" i="2"/>
  <c r="AH465" i="2" s="1"/>
  <c r="AI465" i="2" s="1"/>
  <c r="AN465" i="2" s="1"/>
  <c r="AF465" i="2"/>
  <c r="AD468" i="2"/>
  <c r="AG466" i="2"/>
  <c r="AH466" i="2" s="1"/>
  <c r="AI466" i="2" s="1"/>
  <c r="AN466" i="2" s="1"/>
  <c r="AE466" i="2"/>
  <c r="O338" i="2"/>
  <c r="M469" i="2"/>
  <c r="V466" i="2"/>
  <c r="I395" i="2"/>
  <c r="AR338" i="2" s="1"/>
  <c r="AT338" i="2" s="1"/>
  <c r="K395" i="2"/>
  <c r="D337" i="9"/>
  <c r="E337" i="9" s="1"/>
  <c r="C395" i="2"/>
  <c r="AF338" i="2" s="1"/>
  <c r="AH338" i="2" s="1"/>
  <c r="E395" i="2"/>
  <c r="D395" i="2"/>
  <c r="AG338" i="2" s="1"/>
  <c r="O408" i="9"/>
  <c r="C155" i="1"/>
  <c r="C282" i="9" s="1"/>
  <c r="M222" i="9"/>
  <c r="C339" i="9" s="1"/>
  <c r="AN342" i="2" s="1"/>
  <c r="W279" i="2"/>
  <c r="F398" i="2" s="1"/>
  <c r="N339" i="2"/>
  <c r="J396" i="2" s="1"/>
  <c r="AS339" i="2" s="1"/>
  <c r="R339" i="2"/>
  <c r="S339" i="2" s="1"/>
  <c r="G396" i="2" s="1"/>
  <c r="G410" i="9"/>
  <c r="H279" i="2"/>
  <c r="G475" i="9"/>
  <c r="AI536" i="2" s="1"/>
  <c r="R340" i="2"/>
  <c r="S340" i="2" s="1"/>
  <c r="G397" i="2" s="1"/>
  <c r="D534" i="2"/>
  <c r="E534" i="2" s="1"/>
  <c r="I281" i="9"/>
  <c r="J281" i="9" s="1"/>
  <c r="D338" i="9" s="1"/>
  <c r="E338" i="9" s="1"/>
  <c r="P340" i="2"/>
  <c r="Q340" i="2" s="1"/>
  <c r="K533" i="2"/>
  <c r="L533" i="2" s="1"/>
  <c r="W465" i="2"/>
  <c r="V465" i="2"/>
  <c r="K338" i="9"/>
  <c r="J409" i="9"/>
  <c r="K409" i="9" s="1"/>
  <c r="N409" i="9" s="1"/>
  <c r="P409" i="9" s="1"/>
  <c r="AL470" i="2" s="1"/>
  <c r="BI339" i="2"/>
  <c r="Q396" i="2"/>
  <c r="AG467" i="2"/>
  <c r="AE467" i="2"/>
  <c r="G469" i="2"/>
  <c r="M279" i="2"/>
  <c r="N279" i="2" s="1"/>
  <c r="Q397" i="2"/>
  <c r="AT470" i="2"/>
  <c r="AF467" i="2"/>
  <c r="N338" i="9"/>
  <c r="N397" i="2"/>
  <c r="J591" i="2"/>
  <c r="AW340" i="2"/>
  <c r="AX340" i="2" s="1"/>
  <c r="H337" i="9"/>
  <c r="AP469" i="2"/>
  <c r="R410" i="9"/>
  <c r="T410" i="9"/>
  <c r="Q410" i="9"/>
  <c r="H410" i="9"/>
  <c r="L474" i="9" s="1"/>
  <c r="M474" i="9" s="1"/>
  <c r="I410" i="9"/>
  <c r="E410" i="9"/>
  <c r="F410" i="9" s="1"/>
  <c r="D410" i="9"/>
  <c r="P531" i="9"/>
  <c r="L531" i="9"/>
  <c r="R531" i="9"/>
  <c r="N531" i="9"/>
  <c r="K531" i="9"/>
  <c r="O531" i="9"/>
  <c r="I531" i="9"/>
  <c r="H531" i="9"/>
  <c r="G531" i="9"/>
  <c r="I475" i="9"/>
  <c r="J475" i="9"/>
  <c r="A411" i="9"/>
  <c r="A475" i="9"/>
  <c r="A339" i="9"/>
  <c r="S411" i="9" s="1"/>
  <c r="E282" i="9"/>
  <c r="F282" i="9" s="1"/>
  <c r="L282" i="9"/>
  <c r="M339" i="9" s="1"/>
  <c r="BM342" i="2" s="1"/>
  <c r="K282" i="9"/>
  <c r="J339" i="9" s="1"/>
  <c r="BE342" i="2" s="1"/>
  <c r="D474" i="9"/>
  <c r="E474" i="9" s="1"/>
  <c r="A532" i="9"/>
  <c r="A283" i="9"/>
  <c r="B411" i="9"/>
  <c r="C411" i="9" s="1"/>
  <c r="B475" i="9"/>
  <c r="B533" i="9" s="1"/>
  <c r="B339" i="9"/>
  <c r="AU535" i="2"/>
  <c r="AW535" i="2" s="1"/>
  <c r="O398" i="2"/>
  <c r="AM535" i="2"/>
  <c r="AO535" i="2" s="1"/>
  <c r="L398" i="2"/>
  <c r="AZ341" i="2" s="1"/>
  <c r="BB341" i="2" s="1"/>
  <c r="B535" i="2"/>
  <c r="B593" i="2" s="1"/>
  <c r="B398" i="2"/>
  <c r="B471" i="2"/>
  <c r="A592" i="2"/>
  <c r="Q592" i="2" s="1"/>
  <c r="K591" i="2"/>
  <c r="BS533" i="2" s="1"/>
  <c r="BU533" i="2" s="1"/>
  <c r="G591" i="2"/>
  <c r="O591" i="2"/>
  <c r="H591" i="2"/>
  <c r="BK533" i="2" s="1"/>
  <c r="BM533" i="2" s="1"/>
  <c r="R591" i="2"/>
  <c r="L591" i="2"/>
  <c r="N591" i="2"/>
  <c r="CA533" i="2" s="1"/>
  <c r="CC533" i="2" s="1"/>
  <c r="I591" i="2"/>
  <c r="BH469" i="2"/>
  <c r="BJ469" i="2" s="1"/>
  <c r="P591" i="2"/>
  <c r="AJ340" i="2"/>
  <c r="AY470" i="2"/>
  <c r="BA470" i="2" s="1"/>
  <c r="S397" i="2"/>
  <c r="T397" i="2" s="1"/>
  <c r="V397" i="2"/>
  <c r="R397" i="2"/>
  <c r="A398" i="2"/>
  <c r="U398" i="2" s="1"/>
  <c r="A535" i="2"/>
  <c r="G535" i="2"/>
  <c r="AE535" i="2" s="1"/>
  <c r="I535" i="2"/>
  <c r="J535" i="2"/>
  <c r="A471" i="2"/>
  <c r="C470" i="2"/>
  <c r="D470" i="2"/>
  <c r="E470" i="2"/>
  <c r="F470" i="2" s="1"/>
  <c r="H470" i="2"/>
  <c r="U341" i="2"/>
  <c r="T341" i="2"/>
  <c r="BL342" i="2"/>
  <c r="BN342" i="2" s="1"/>
  <c r="AY536" i="2"/>
  <c r="BA536" i="2" s="1"/>
  <c r="CE533" i="2"/>
  <c r="CG533" i="2" s="1"/>
  <c r="BD342" i="2"/>
  <c r="BF342" i="2" s="1"/>
  <c r="AQ536" i="2"/>
  <c r="AS536" i="2" s="1"/>
  <c r="BW533" i="2"/>
  <c r="BY533" i="2" s="1"/>
  <c r="BO533" i="2"/>
  <c r="BQ533" i="2" s="1"/>
  <c r="BX534" i="2"/>
  <c r="AR534" i="2"/>
  <c r="AN533" i="2"/>
  <c r="AM469" i="2"/>
  <c r="BL469" i="2"/>
  <c r="BN469" i="2" s="1"/>
  <c r="BC470" i="2"/>
  <c r="BE470" i="2" s="1"/>
  <c r="AK470" i="2"/>
  <c r="BH340" i="2"/>
  <c r="BJ340" i="2" s="1"/>
  <c r="AV342" i="2"/>
  <c r="P223" i="9"/>
  <c r="F340" i="9" s="1"/>
  <c r="R280" i="2"/>
  <c r="S280" i="2"/>
  <c r="H341" i="2"/>
  <c r="Q223" i="9"/>
  <c r="I340" i="9" s="1"/>
  <c r="I223" i="9"/>
  <c r="O223" i="9"/>
  <c r="E223" i="9"/>
  <c r="R223" i="9"/>
  <c r="L340" i="9" s="1"/>
  <c r="N223" i="9"/>
  <c r="L223" i="9"/>
  <c r="J223" i="9"/>
  <c r="G223" i="9"/>
  <c r="C223" i="9"/>
  <c r="D223" i="9" s="1"/>
  <c r="F223" i="9" s="1"/>
  <c r="H223" i="9" s="1"/>
  <c r="K223" i="9"/>
  <c r="B223" i="9"/>
  <c r="B283" i="9" s="1"/>
  <c r="A281" i="2"/>
  <c r="C280" i="2"/>
  <c r="D280" i="2" s="1"/>
  <c r="F280" i="2" s="1"/>
  <c r="V280" i="2"/>
  <c r="J280" i="2"/>
  <c r="O280" i="2"/>
  <c r="P280" i="2" s="1"/>
  <c r="Q280" i="2" s="1"/>
  <c r="B280" i="2"/>
  <c r="B342" i="2" s="1"/>
  <c r="K280" i="2"/>
  <c r="A342" i="2"/>
  <c r="I280" i="2"/>
  <c r="U280" i="2" s="1"/>
  <c r="G280" i="2"/>
  <c r="L280" i="2"/>
  <c r="E280" i="2"/>
  <c r="T280" i="2"/>
  <c r="D341" i="2"/>
  <c r="F341" i="2"/>
  <c r="G341" i="2" s="1"/>
  <c r="C341" i="2"/>
  <c r="A157" i="1"/>
  <c r="B157" i="1" s="1"/>
  <c r="A224" i="9" s="1"/>
  <c r="P475" i="9" l="1"/>
  <c r="M411" i="9"/>
  <c r="Q532" i="9"/>
  <c r="D532" i="9"/>
  <c r="BG535" i="2" s="1"/>
  <c r="E532" i="9"/>
  <c r="K472" i="2"/>
  <c r="L472" i="2"/>
  <c r="W342" i="2"/>
  <c r="L342" i="2"/>
  <c r="M342" i="2"/>
  <c r="U471" i="2"/>
  <c r="J471" i="2"/>
  <c r="O471" i="2"/>
  <c r="N535" i="2"/>
  <c r="R471" i="2"/>
  <c r="I471" i="2"/>
  <c r="P471" i="2"/>
  <c r="S471" i="2"/>
  <c r="Q471" i="2"/>
  <c r="T471" i="2"/>
  <c r="N471" i="2"/>
  <c r="E592" i="2"/>
  <c r="D592" i="2"/>
  <c r="BC534" i="2" s="1"/>
  <c r="E342" i="2"/>
  <c r="J342" i="2"/>
  <c r="L411" i="9"/>
  <c r="O475" i="9" s="1"/>
  <c r="M283" i="9"/>
  <c r="K476" i="9" s="1"/>
  <c r="H283" i="9"/>
  <c r="I342" i="2"/>
  <c r="V342" i="2"/>
  <c r="K342" i="2"/>
  <c r="D283" i="9"/>
  <c r="G283" i="9"/>
  <c r="AO340" i="2"/>
  <c r="AP340" i="2" s="1"/>
  <c r="D396" i="2"/>
  <c r="AG339" i="2" s="1"/>
  <c r="G338" i="9"/>
  <c r="AW341" i="2" s="1"/>
  <c r="AX341" i="2" s="1"/>
  <c r="K396" i="2"/>
  <c r="R341" i="2"/>
  <c r="S341" i="2" s="1"/>
  <c r="H280" i="2"/>
  <c r="M470" i="2"/>
  <c r="C396" i="2"/>
  <c r="AF339" i="2" s="1"/>
  <c r="AH339" i="2" s="1"/>
  <c r="I282" i="9"/>
  <c r="J282" i="9" s="1"/>
  <c r="G339" i="9" s="1"/>
  <c r="O409" i="9"/>
  <c r="AD469" i="2"/>
  <c r="E396" i="2"/>
  <c r="AK340" i="2"/>
  <c r="AL340" i="2" s="1"/>
  <c r="H397" i="2"/>
  <c r="G398" i="2"/>
  <c r="AK341" i="2" s="1"/>
  <c r="W280" i="2"/>
  <c r="F399" i="2" s="1"/>
  <c r="I396" i="2"/>
  <c r="AR339" i="2" s="1"/>
  <c r="AT339" i="2" s="1"/>
  <c r="O339" i="2"/>
  <c r="G476" i="9"/>
  <c r="AI537" i="2" s="1"/>
  <c r="D535" i="2"/>
  <c r="E535" i="2" s="1"/>
  <c r="BT535" i="2" s="1"/>
  <c r="M280" i="2"/>
  <c r="N280" i="2" s="1"/>
  <c r="H398" i="2"/>
  <c r="AK339" i="2"/>
  <c r="AL339" i="2" s="1"/>
  <c r="H396" i="2"/>
  <c r="C156" i="1"/>
  <c r="C283" i="9" s="1"/>
  <c r="J410" i="9"/>
  <c r="K410" i="9" s="1"/>
  <c r="N410" i="9" s="1"/>
  <c r="P410" i="9" s="1"/>
  <c r="AL471" i="2" s="1"/>
  <c r="N340" i="2"/>
  <c r="O340" i="2" s="1"/>
  <c r="K339" i="9"/>
  <c r="N341" i="2"/>
  <c r="O341" i="2" s="1"/>
  <c r="AT471" i="2"/>
  <c r="J532" i="9"/>
  <c r="BX535" i="2" s="1"/>
  <c r="J592" i="2"/>
  <c r="N339" i="9"/>
  <c r="AC468" i="2"/>
  <c r="AH467" i="2"/>
  <c r="AI467" i="2" s="1"/>
  <c r="AN467" i="2" s="1"/>
  <c r="G470" i="2"/>
  <c r="W467" i="2"/>
  <c r="V467" i="2"/>
  <c r="M223" i="9"/>
  <c r="C340" i="9" s="1"/>
  <c r="AN343" i="2" s="1"/>
  <c r="G411" i="9"/>
  <c r="K534" i="2"/>
  <c r="L534" i="2" s="1"/>
  <c r="AP470" i="2"/>
  <c r="A284" i="9"/>
  <c r="H411" i="9"/>
  <c r="L475" i="9" s="1"/>
  <c r="M475" i="9" s="1"/>
  <c r="D411" i="9"/>
  <c r="E411" i="9"/>
  <c r="F411" i="9" s="1"/>
  <c r="I411" i="9"/>
  <c r="B476" i="9"/>
  <c r="B534" i="9" s="1"/>
  <c r="B412" i="9"/>
  <c r="C412" i="9" s="1"/>
  <c r="B340" i="9"/>
  <c r="Q411" i="9"/>
  <c r="T411" i="9"/>
  <c r="R411" i="9"/>
  <c r="A476" i="9"/>
  <c r="I476" i="9"/>
  <c r="J476" i="9"/>
  <c r="A412" i="9"/>
  <c r="A340" i="9"/>
  <c r="S412" i="9" s="1"/>
  <c r="E283" i="9"/>
  <c r="F283" i="9" s="1"/>
  <c r="L283" i="9"/>
  <c r="M340" i="9" s="1"/>
  <c r="BM343" i="2" s="1"/>
  <c r="K283" i="9"/>
  <c r="J340" i="9" s="1"/>
  <c r="BE343" i="2" s="1"/>
  <c r="N532" i="9"/>
  <c r="R532" i="9"/>
  <c r="L532" i="9"/>
  <c r="P532" i="9"/>
  <c r="I532" i="9"/>
  <c r="O532" i="9"/>
  <c r="H532" i="9"/>
  <c r="G532" i="9"/>
  <c r="K532" i="9"/>
  <c r="A533" i="9"/>
  <c r="D475" i="9"/>
  <c r="E475" i="9" s="1"/>
  <c r="J533" i="9" s="1"/>
  <c r="C471" i="2"/>
  <c r="G471" i="2" s="1"/>
  <c r="D471" i="2"/>
  <c r="H471" i="2"/>
  <c r="E471" i="2"/>
  <c r="F471" i="2" s="1"/>
  <c r="M398" i="2"/>
  <c r="A593" i="2"/>
  <c r="Q593" i="2" s="1"/>
  <c r="A399" i="2"/>
  <c r="U399" i="2" s="1"/>
  <c r="G536" i="2"/>
  <c r="AE536" i="2" s="1"/>
  <c r="I536" i="2"/>
  <c r="A472" i="2"/>
  <c r="J536" i="2"/>
  <c r="A536" i="2"/>
  <c r="AU536" i="2"/>
  <c r="AW536" i="2" s="1"/>
  <c r="O399" i="2"/>
  <c r="P398" i="2"/>
  <c r="R398" i="2"/>
  <c r="S398" i="2"/>
  <c r="T398" i="2" s="1"/>
  <c r="AY471" i="2"/>
  <c r="BA471" i="2" s="1"/>
  <c r="V398" i="2"/>
  <c r="B399" i="2"/>
  <c r="B472" i="2"/>
  <c r="B536" i="2"/>
  <c r="B594" i="2" s="1"/>
  <c r="R592" i="2"/>
  <c r="O592" i="2"/>
  <c r="I592" i="2"/>
  <c r="K592" i="2"/>
  <c r="BS534" i="2" s="1"/>
  <c r="BU534" i="2" s="1"/>
  <c r="P592" i="2"/>
  <c r="G592" i="2"/>
  <c r="L592" i="2"/>
  <c r="H592" i="2"/>
  <c r="BK534" i="2" s="1"/>
  <c r="BM534" i="2" s="1"/>
  <c r="N592" i="2"/>
  <c r="CA534" i="2" s="1"/>
  <c r="CC534" i="2" s="1"/>
  <c r="BH470" i="2"/>
  <c r="BJ470" i="2" s="1"/>
  <c r="AM536" i="2"/>
  <c r="AO536" i="2" s="1"/>
  <c r="L399" i="2"/>
  <c r="AZ342" i="2" s="1"/>
  <c r="BB342" i="2" s="1"/>
  <c r="AJ341" i="2"/>
  <c r="AL341" i="2" s="1"/>
  <c r="U342" i="2"/>
  <c r="P399" i="2" s="1"/>
  <c r="BI342" i="2" s="1"/>
  <c r="T342" i="2"/>
  <c r="M399" i="2" s="1"/>
  <c r="AV343" i="2"/>
  <c r="BL343" i="2"/>
  <c r="BN343" i="2" s="1"/>
  <c r="AY537" i="2"/>
  <c r="BA537" i="2" s="1"/>
  <c r="CE534" i="2"/>
  <c r="CG534" i="2" s="1"/>
  <c r="BD343" i="2"/>
  <c r="BF343" i="2" s="1"/>
  <c r="AQ537" i="2"/>
  <c r="AS537" i="2" s="1"/>
  <c r="AN534" i="2"/>
  <c r="BT534" i="2"/>
  <c r="BO534" i="2"/>
  <c r="BQ534" i="2" s="1"/>
  <c r="BW534" i="2"/>
  <c r="BY534" i="2" s="1"/>
  <c r="AR535" i="2"/>
  <c r="AM470" i="2"/>
  <c r="BL470" i="2"/>
  <c r="BN470" i="2" s="1"/>
  <c r="BC471" i="2"/>
  <c r="BE471" i="2" s="1"/>
  <c r="AK471" i="2"/>
  <c r="BH341" i="2"/>
  <c r="BJ341" i="2" s="1"/>
  <c r="AO341" i="2"/>
  <c r="AP341" i="2" s="1"/>
  <c r="P224" i="9"/>
  <c r="F341" i="9" s="1"/>
  <c r="R281" i="2"/>
  <c r="S281" i="2"/>
  <c r="H342" i="2"/>
  <c r="R224" i="9"/>
  <c r="L341" i="9" s="1"/>
  <c r="J224" i="9"/>
  <c r="Q224" i="9"/>
  <c r="I341" i="9" s="1"/>
  <c r="N224" i="9"/>
  <c r="E224" i="9"/>
  <c r="O224" i="9"/>
  <c r="I224" i="9"/>
  <c r="L224" i="9"/>
  <c r="K224" i="9"/>
  <c r="G224" i="9"/>
  <c r="C224" i="9"/>
  <c r="D224" i="9" s="1"/>
  <c r="F224" i="9" s="1"/>
  <c r="H224" i="9" s="1"/>
  <c r="B224" i="9"/>
  <c r="B284" i="9" s="1"/>
  <c r="A282" i="2"/>
  <c r="G281" i="2"/>
  <c r="B281" i="2"/>
  <c r="B343" i="2" s="1"/>
  <c r="V281" i="2"/>
  <c r="A343" i="2"/>
  <c r="J281" i="2"/>
  <c r="T281" i="2"/>
  <c r="K281" i="2"/>
  <c r="O281" i="2" s="1"/>
  <c r="P281" i="2" s="1"/>
  <c r="Q281" i="2" s="1"/>
  <c r="I281" i="2"/>
  <c r="U281" i="2" s="1"/>
  <c r="C281" i="2"/>
  <c r="D281" i="2" s="1"/>
  <c r="F281" i="2" s="1"/>
  <c r="E281" i="2"/>
  <c r="L281" i="2"/>
  <c r="C342" i="2"/>
  <c r="D342" i="2"/>
  <c r="F342" i="2"/>
  <c r="G342" i="2" s="1"/>
  <c r="A158" i="1"/>
  <c r="B158" i="1" s="1"/>
  <c r="A225" i="9" s="1"/>
  <c r="P476" i="9" l="1"/>
  <c r="M412" i="9"/>
  <c r="Q533" i="9"/>
  <c r="E533" i="9"/>
  <c r="D533" i="9"/>
  <c r="BG536" i="2" s="1"/>
  <c r="Q472" i="2"/>
  <c r="T472" i="2"/>
  <c r="U472" i="2"/>
  <c r="R472" i="2"/>
  <c r="O472" i="2"/>
  <c r="N536" i="2"/>
  <c r="S472" i="2"/>
  <c r="J472" i="2"/>
  <c r="I472" i="2"/>
  <c r="P472" i="2"/>
  <c r="N472" i="2"/>
  <c r="L473" i="2"/>
  <c r="K473" i="2"/>
  <c r="L343" i="2"/>
  <c r="W343" i="2"/>
  <c r="M343" i="2"/>
  <c r="E593" i="2"/>
  <c r="D593" i="2"/>
  <c r="BC535" i="2" s="1"/>
  <c r="E343" i="2"/>
  <c r="J343" i="2"/>
  <c r="M284" i="9"/>
  <c r="K477" i="9" s="1"/>
  <c r="H284" i="9"/>
  <c r="G412" i="9"/>
  <c r="L412" i="9"/>
  <c r="O476" i="9" s="1"/>
  <c r="I343" i="2"/>
  <c r="V343" i="2"/>
  <c r="K343" i="2"/>
  <c r="D284" i="9"/>
  <c r="G284" i="9"/>
  <c r="H338" i="9"/>
  <c r="E397" i="2"/>
  <c r="C397" i="2"/>
  <c r="AF340" i="2" s="1"/>
  <c r="AH340" i="2" s="1"/>
  <c r="D339" i="9"/>
  <c r="E339" i="9" s="1"/>
  <c r="C157" i="1"/>
  <c r="AC469" i="2"/>
  <c r="AF469" i="2" s="1"/>
  <c r="G477" i="9"/>
  <c r="AI538" i="2" s="1"/>
  <c r="N340" i="9"/>
  <c r="O410" i="9"/>
  <c r="W281" i="2"/>
  <c r="F400" i="2" s="1"/>
  <c r="J397" i="2"/>
  <c r="AS340" i="2" s="1"/>
  <c r="D397" i="2"/>
  <c r="AG340" i="2" s="1"/>
  <c r="M224" i="9"/>
  <c r="C341" i="9" s="1"/>
  <c r="AN344" i="2" s="1"/>
  <c r="I397" i="2"/>
  <c r="AR340" i="2" s="1"/>
  <c r="AT340" i="2" s="1"/>
  <c r="P342" i="2"/>
  <c r="Q342" i="2" s="1"/>
  <c r="AD470" i="2"/>
  <c r="K535" i="2"/>
  <c r="L535" i="2" s="1"/>
  <c r="Q399" i="2"/>
  <c r="I283" i="9"/>
  <c r="J283" i="9" s="1"/>
  <c r="G340" i="9" s="1"/>
  <c r="J411" i="9"/>
  <c r="K411" i="9" s="1"/>
  <c r="N411" i="9" s="1"/>
  <c r="P411" i="9" s="1"/>
  <c r="AL472" i="2" s="1"/>
  <c r="AT472" i="2"/>
  <c r="H281" i="2"/>
  <c r="BA341" i="2"/>
  <c r="N398" i="2"/>
  <c r="K340" i="9"/>
  <c r="AW342" i="2"/>
  <c r="AX342" i="2" s="1"/>
  <c r="H339" i="9"/>
  <c r="BI341" i="2"/>
  <c r="Q398" i="2"/>
  <c r="N399" i="2"/>
  <c r="M281" i="2"/>
  <c r="N281" i="2" s="1"/>
  <c r="J593" i="2"/>
  <c r="V468" i="2"/>
  <c r="W468" i="2"/>
  <c r="V469" i="2"/>
  <c r="W469" i="2"/>
  <c r="AG468" i="2"/>
  <c r="AE468" i="2"/>
  <c r="AF468" i="2"/>
  <c r="P341" i="2"/>
  <c r="M471" i="2"/>
  <c r="AP471" i="2"/>
  <c r="AR536" i="2"/>
  <c r="A534" i="9"/>
  <c r="D476" i="9"/>
  <c r="E476" i="9" s="1"/>
  <c r="D412" i="9"/>
  <c r="H412" i="9"/>
  <c r="I412" i="9"/>
  <c r="E412" i="9"/>
  <c r="F412" i="9" s="1"/>
  <c r="A285" i="9"/>
  <c r="R412" i="9"/>
  <c r="T412" i="9"/>
  <c r="Q412" i="9"/>
  <c r="G533" i="9"/>
  <c r="N533" i="9"/>
  <c r="K533" i="9"/>
  <c r="L533" i="9"/>
  <c r="R533" i="9"/>
  <c r="I533" i="9"/>
  <c r="O533" i="9"/>
  <c r="P533" i="9"/>
  <c r="H533" i="9"/>
  <c r="I477" i="9"/>
  <c r="J477" i="9"/>
  <c r="A341" i="9"/>
  <c r="S413" i="9" s="1"/>
  <c r="A477" i="9"/>
  <c r="A413" i="9"/>
  <c r="C284" i="9"/>
  <c r="L284" i="9"/>
  <c r="M341" i="9" s="1"/>
  <c r="BM344" i="2" s="1"/>
  <c r="K284" i="9"/>
  <c r="J341" i="9" s="1"/>
  <c r="BE344" i="2" s="1"/>
  <c r="E284" i="9"/>
  <c r="F284" i="9" s="1"/>
  <c r="B341" i="9"/>
  <c r="B477" i="9"/>
  <c r="B535" i="9" s="1"/>
  <c r="B413" i="9"/>
  <c r="C413" i="9" s="1"/>
  <c r="AJ342" i="2"/>
  <c r="AU537" i="2"/>
  <c r="AW537" i="2" s="1"/>
  <c r="O400" i="2"/>
  <c r="BH343" i="2" s="1"/>
  <c r="BJ343" i="2" s="1"/>
  <c r="B400" i="2"/>
  <c r="B537" i="2"/>
  <c r="B595" i="2" s="1"/>
  <c r="B473" i="2"/>
  <c r="AY472" i="2"/>
  <c r="BA472" i="2" s="1"/>
  <c r="V399" i="2"/>
  <c r="S399" i="2"/>
  <c r="T399" i="2" s="1"/>
  <c r="R399" i="2"/>
  <c r="AM537" i="2"/>
  <c r="AO537" i="2" s="1"/>
  <c r="L400" i="2"/>
  <c r="AZ343" i="2" s="1"/>
  <c r="BB343" i="2" s="1"/>
  <c r="A537" i="2"/>
  <c r="J537" i="2"/>
  <c r="A400" i="2"/>
  <c r="U400" i="2" s="1"/>
  <c r="I537" i="2"/>
  <c r="A473" i="2"/>
  <c r="G537" i="2"/>
  <c r="AE537" i="2" s="1"/>
  <c r="A594" i="2"/>
  <c r="Q594" i="2" s="1"/>
  <c r="D536" i="2"/>
  <c r="E536" i="2" s="1"/>
  <c r="BT536" i="2" s="1"/>
  <c r="BH471" i="2"/>
  <c r="BJ471" i="2" s="1"/>
  <c r="I593" i="2"/>
  <c r="O593" i="2"/>
  <c r="K593" i="2"/>
  <c r="BS535" i="2" s="1"/>
  <c r="BU535" i="2" s="1"/>
  <c r="N593" i="2"/>
  <c r="CA535" i="2" s="1"/>
  <c r="CC535" i="2" s="1"/>
  <c r="H593" i="2"/>
  <c r="BK535" i="2" s="1"/>
  <c r="BM535" i="2" s="1"/>
  <c r="L593" i="2"/>
  <c r="P593" i="2"/>
  <c r="R593" i="2"/>
  <c r="G593" i="2"/>
  <c r="C472" i="2"/>
  <c r="G472" i="2" s="1"/>
  <c r="H472" i="2"/>
  <c r="D472" i="2"/>
  <c r="E472" i="2"/>
  <c r="F472" i="2" s="1"/>
  <c r="U343" i="2"/>
  <c r="P400" i="2" s="1"/>
  <c r="BI343" i="2" s="1"/>
  <c r="T343" i="2"/>
  <c r="M400" i="2" s="1"/>
  <c r="AV344" i="2"/>
  <c r="BL344" i="2"/>
  <c r="BN344" i="2" s="1"/>
  <c r="AY538" i="2"/>
  <c r="BA538" i="2" s="1"/>
  <c r="BD344" i="2"/>
  <c r="BF344" i="2" s="1"/>
  <c r="AQ538" i="2"/>
  <c r="AS538" i="2" s="1"/>
  <c r="CE535" i="2"/>
  <c r="CG535" i="2" s="1"/>
  <c r="BW535" i="2"/>
  <c r="BY535" i="2" s="1"/>
  <c r="BO535" i="2"/>
  <c r="BQ535" i="2" s="1"/>
  <c r="AN535" i="2"/>
  <c r="AM471" i="2"/>
  <c r="BL471" i="2"/>
  <c r="BN471" i="2" s="1"/>
  <c r="BC472" i="2"/>
  <c r="BE472" i="2" s="1"/>
  <c r="AK472" i="2"/>
  <c r="BH342" i="2"/>
  <c r="BJ342" i="2" s="1"/>
  <c r="BA342" i="2"/>
  <c r="P225" i="9"/>
  <c r="F342" i="9" s="1"/>
  <c r="R282" i="2"/>
  <c r="S282" i="2"/>
  <c r="H343" i="2"/>
  <c r="BX536" i="2"/>
  <c r="K225" i="9"/>
  <c r="R225" i="9"/>
  <c r="L342" i="9" s="1"/>
  <c r="J225" i="9"/>
  <c r="M225" i="9" s="1"/>
  <c r="C342" i="9" s="1"/>
  <c r="Q225" i="9"/>
  <c r="I342" i="9" s="1"/>
  <c r="I225" i="9"/>
  <c r="N225" i="9"/>
  <c r="E225" i="9"/>
  <c r="G225" i="9"/>
  <c r="O225" i="9"/>
  <c r="L225" i="9"/>
  <c r="C225" i="9"/>
  <c r="D225" i="9" s="1"/>
  <c r="F225" i="9" s="1"/>
  <c r="H225" i="9" s="1"/>
  <c r="B225" i="9"/>
  <c r="B285" i="9" s="1"/>
  <c r="C343" i="2"/>
  <c r="D343" i="2"/>
  <c r="F343" i="2"/>
  <c r="G343" i="2" s="1"/>
  <c r="A283" i="2"/>
  <c r="G282" i="2"/>
  <c r="B282" i="2"/>
  <c r="B344" i="2" s="1"/>
  <c r="C282" i="2"/>
  <c r="D282" i="2" s="1"/>
  <c r="F282" i="2" s="1"/>
  <c r="A344" i="2"/>
  <c r="V282" i="2"/>
  <c r="E282" i="2"/>
  <c r="J282" i="2"/>
  <c r="K282" i="2"/>
  <c r="I282" i="2"/>
  <c r="U282" i="2" s="1"/>
  <c r="L282" i="2"/>
  <c r="T282" i="2"/>
  <c r="O282" i="2"/>
  <c r="P282" i="2" s="1"/>
  <c r="Q282" i="2" s="1"/>
  <c r="A159" i="1"/>
  <c r="B159" i="1" s="1"/>
  <c r="A226" i="9" s="1"/>
  <c r="P477" i="9" l="1"/>
  <c r="M413" i="9"/>
  <c r="Q534" i="9"/>
  <c r="D534" i="9"/>
  <c r="BG537" i="2" s="1"/>
  <c r="E534" i="9"/>
  <c r="L474" i="2"/>
  <c r="K474" i="2"/>
  <c r="L344" i="2"/>
  <c r="M344" i="2"/>
  <c r="W344" i="2"/>
  <c r="P473" i="2"/>
  <c r="U473" i="2"/>
  <c r="R473" i="2"/>
  <c r="Q473" i="2"/>
  <c r="O473" i="2"/>
  <c r="S473" i="2"/>
  <c r="N537" i="2"/>
  <c r="J473" i="2"/>
  <c r="T473" i="2"/>
  <c r="I473" i="2"/>
  <c r="N473" i="2"/>
  <c r="D594" i="2"/>
  <c r="BC536" i="2" s="1"/>
  <c r="E594" i="2"/>
  <c r="E344" i="2"/>
  <c r="J344" i="2"/>
  <c r="L413" i="9"/>
  <c r="O477" i="9" s="1"/>
  <c r="M285" i="9"/>
  <c r="K478" i="9" s="1"/>
  <c r="H285" i="9"/>
  <c r="I344" i="2"/>
  <c r="V344" i="2"/>
  <c r="K344" i="2"/>
  <c r="D285" i="9"/>
  <c r="G285" i="9"/>
  <c r="AO342" i="2"/>
  <c r="AP342" i="2" s="1"/>
  <c r="M282" i="2"/>
  <c r="N282" i="2" s="1"/>
  <c r="AE469" i="2"/>
  <c r="AG469" i="2"/>
  <c r="AH469" i="2" s="1"/>
  <c r="AI469" i="2" s="1"/>
  <c r="AN469" i="2" s="1"/>
  <c r="N341" i="9"/>
  <c r="V470" i="2"/>
  <c r="G478" i="9"/>
  <c r="AI539" i="2" s="1"/>
  <c r="G413" i="9"/>
  <c r="N342" i="2"/>
  <c r="O342" i="2" s="1"/>
  <c r="R342" i="2"/>
  <c r="S342" i="2" s="1"/>
  <c r="G399" i="2" s="1"/>
  <c r="W282" i="2"/>
  <c r="F401" i="2" s="1"/>
  <c r="M472" i="2"/>
  <c r="AC470" i="2"/>
  <c r="AF470" i="2" s="1"/>
  <c r="J412" i="9"/>
  <c r="K412" i="9" s="1"/>
  <c r="N412" i="9" s="1"/>
  <c r="P412" i="9" s="1"/>
  <c r="AL473" i="2" s="1"/>
  <c r="O411" i="9"/>
  <c r="AD471" i="2"/>
  <c r="D340" i="9"/>
  <c r="E340" i="9" s="1"/>
  <c r="K536" i="2"/>
  <c r="L536" i="2" s="1"/>
  <c r="J534" i="9"/>
  <c r="BX537" i="2" s="1"/>
  <c r="I284" i="9"/>
  <c r="J284" i="9" s="1"/>
  <c r="D341" i="9" s="1"/>
  <c r="E341" i="9" s="1"/>
  <c r="AH468" i="2"/>
  <c r="AI468" i="2" s="1"/>
  <c r="AN468" i="2" s="1"/>
  <c r="H282" i="2"/>
  <c r="AC471" i="2"/>
  <c r="Q400" i="2"/>
  <c r="AW343" i="2"/>
  <c r="AX343" i="2" s="1"/>
  <c r="H340" i="9"/>
  <c r="AT473" i="2"/>
  <c r="L476" i="9"/>
  <c r="M476" i="9" s="1"/>
  <c r="I399" i="2"/>
  <c r="AR342" i="2" s="1"/>
  <c r="AT342" i="2" s="1"/>
  <c r="N400" i="2"/>
  <c r="Q341" i="2"/>
  <c r="K398" i="2"/>
  <c r="J398" i="2"/>
  <c r="AS341" i="2" s="1"/>
  <c r="D398" i="2"/>
  <c r="AG341" i="2" s="1"/>
  <c r="I398" i="2"/>
  <c r="AR341" i="2" s="1"/>
  <c r="AT341" i="2" s="1"/>
  <c r="C398" i="2"/>
  <c r="AF341" i="2" s="1"/>
  <c r="AH341" i="2" s="1"/>
  <c r="E398" i="2"/>
  <c r="J594" i="2"/>
  <c r="C158" i="1"/>
  <c r="C285" i="9" s="1"/>
  <c r="K341" i="9"/>
  <c r="AP472" i="2"/>
  <c r="A535" i="9"/>
  <c r="D477" i="9"/>
  <c r="E477" i="9" s="1"/>
  <c r="H534" i="9"/>
  <c r="O534" i="9"/>
  <c r="G534" i="9"/>
  <c r="L534" i="9"/>
  <c r="K534" i="9"/>
  <c r="I534" i="9"/>
  <c r="R534" i="9"/>
  <c r="N534" i="9"/>
  <c r="P534" i="9"/>
  <c r="R413" i="9"/>
  <c r="T413" i="9"/>
  <c r="Q413" i="9"/>
  <c r="B478" i="9"/>
  <c r="B536" i="9" s="1"/>
  <c r="B342" i="9"/>
  <c r="B414" i="9"/>
  <c r="C414" i="9" s="1"/>
  <c r="J478" i="9"/>
  <c r="I478" i="9"/>
  <c r="A414" i="9"/>
  <c r="A342" i="9"/>
  <c r="S414" i="9" s="1"/>
  <c r="A478" i="9"/>
  <c r="E285" i="9"/>
  <c r="F285" i="9" s="1"/>
  <c r="L285" i="9"/>
  <c r="M342" i="9" s="1"/>
  <c r="BM345" i="2" s="1"/>
  <c r="K285" i="9"/>
  <c r="J342" i="9" s="1"/>
  <c r="BE345" i="2" s="1"/>
  <c r="A286" i="9"/>
  <c r="E413" i="9"/>
  <c r="F413" i="9" s="1"/>
  <c r="I413" i="9"/>
  <c r="H413" i="9"/>
  <c r="D413" i="9"/>
  <c r="A595" i="2"/>
  <c r="Q595" i="2" s="1"/>
  <c r="B401" i="2"/>
  <c r="B538" i="2"/>
  <c r="B596" i="2" s="1"/>
  <c r="B474" i="2"/>
  <c r="AU538" i="2"/>
  <c r="AW538" i="2" s="1"/>
  <c r="O401" i="2"/>
  <c r="C473" i="2"/>
  <c r="G473" i="2" s="1"/>
  <c r="D473" i="2"/>
  <c r="H473" i="2"/>
  <c r="E473" i="2"/>
  <c r="F473" i="2" s="1"/>
  <c r="AJ343" i="2"/>
  <c r="AY473" i="2"/>
  <c r="BA473" i="2" s="1"/>
  <c r="V400" i="2"/>
  <c r="R400" i="2"/>
  <c r="S400" i="2"/>
  <c r="T400" i="2" s="1"/>
  <c r="J538" i="2"/>
  <c r="A474" i="2"/>
  <c r="G538" i="2"/>
  <c r="AE538" i="2" s="1"/>
  <c r="A401" i="2"/>
  <c r="U401" i="2" s="1"/>
  <c r="I538" i="2"/>
  <c r="A538" i="2"/>
  <c r="AM538" i="2"/>
  <c r="AO538" i="2" s="1"/>
  <c r="L401" i="2"/>
  <c r="AZ344" i="2" s="1"/>
  <c r="BB344" i="2" s="1"/>
  <c r="P594" i="2"/>
  <c r="O594" i="2"/>
  <c r="K594" i="2"/>
  <c r="BS536" i="2" s="1"/>
  <c r="BU536" i="2" s="1"/>
  <c r="H594" i="2"/>
  <c r="BK536" i="2" s="1"/>
  <c r="BM536" i="2" s="1"/>
  <c r="G594" i="2"/>
  <c r="BH472" i="2"/>
  <c r="BJ472" i="2" s="1"/>
  <c r="R594" i="2"/>
  <c r="N594" i="2"/>
  <c r="CA536" i="2" s="1"/>
  <c r="CC536" i="2" s="1"/>
  <c r="L594" i="2"/>
  <c r="I594" i="2"/>
  <c r="U344" i="2"/>
  <c r="P401" i="2" s="1"/>
  <c r="BI344" i="2" s="1"/>
  <c r="T344" i="2"/>
  <c r="AV345" i="2"/>
  <c r="BL345" i="2"/>
  <c r="BN345" i="2" s="1"/>
  <c r="AY539" i="2"/>
  <c r="BD345" i="2"/>
  <c r="BF345" i="2" s="1"/>
  <c r="AQ539" i="2"/>
  <c r="AS539" i="2" s="1"/>
  <c r="CE536" i="2"/>
  <c r="CG536" i="2" s="1"/>
  <c r="BW536" i="2"/>
  <c r="BY536" i="2" s="1"/>
  <c r="BO536" i="2"/>
  <c r="BQ536" i="2" s="1"/>
  <c r="AR537" i="2"/>
  <c r="AN536" i="2"/>
  <c r="AM472" i="2"/>
  <c r="BL472" i="2"/>
  <c r="BN472" i="2" s="1"/>
  <c r="BC473" i="2"/>
  <c r="BE473" i="2" s="1"/>
  <c r="AK473" i="2"/>
  <c r="BA343" i="2"/>
  <c r="AN345" i="2"/>
  <c r="P226" i="9"/>
  <c r="F343" i="9" s="1"/>
  <c r="R283" i="2"/>
  <c r="S283" i="2"/>
  <c r="H344" i="2"/>
  <c r="L226" i="9"/>
  <c r="K226" i="9"/>
  <c r="R226" i="9"/>
  <c r="L343" i="9" s="1"/>
  <c r="J226" i="9"/>
  <c r="G226" i="9"/>
  <c r="O226" i="9"/>
  <c r="N226" i="9"/>
  <c r="I226" i="9"/>
  <c r="E226" i="9"/>
  <c r="C226" i="9"/>
  <c r="D226" i="9"/>
  <c r="F226" i="9" s="1"/>
  <c r="H226" i="9" s="1"/>
  <c r="Q226" i="9"/>
  <c r="I343" i="9" s="1"/>
  <c r="B226" i="9"/>
  <c r="B286" i="9" s="1"/>
  <c r="D344" i="2"/>
  <c r="C344" i="2"/>
  <c r="F344" i="2"/>
  <c r="G344" i="2" s="1"/>
  <c r="A284" i="2"/>
  <c r="K283" i="2"/>
  <c r="I283" i="2"/>
  <c r="T283" i="2" s="1"/>
  <c r="C283" i="2"/>
  <c r="D283" i="2" s="1"/>
  <c r="F283" i="2" s="1"/>
  <c r="L283" i="2"/>
  <c r="G283" i="2"/>
  <c r="J283" i="2"/>
  <c r="E283" i="2"/>
  <c r="O283" i="2"/>
  <c r="P283" i="2" s="1"/>
  <c r="Q283" i="2" s="1"/>
  <c r="A345" i="2"/>
  <c r="B283" i="2"/>
  <c r="B345" i="2" s="1"/>
  <c r="V283" i="2"/>
  <c r="U283" i="2"/>
  <c r="A160" i="1"/>
  <c r="B160" i="1" s="1"/>
  <c r="A227" i="9" s="1"/>
  <c r="P478" i="9" l="1"/>
  <c r="M414" i="9"/>
  <c r="Q535" i="9"/>
  <c r="E535" i="9"/>
  <c r="D535" i="9"/>
  <c r="BG538" i="2" s="1"/>
  <c r="K475" i="2"/>
  <c r="L475" i="2"/>
  <c r="L345" i="2"/>
  <c r="W345" i="2"/>
  <c r="M345" i="2"/>
  <c r="R474" i="2"/>
  <c r="U474" i="2"/>
  <c r="T474" i="2"/>
  <c r="Q474" i="2"/>
  <c r="J474" i="2"/>
  <c r="N538" i="2"/>
  <c r="P474" i="2"/>
  <c r="O474" i="2"/>
  <c r="S474" i="2"/>
  <c r="I474" i="2"/>
  <c r="N474" i="2"/>
  <c r="D595" i="2"/>
  <c r="BC537" i="2" s="1"/>
  <c r="E595" i="2"/>
  <c r="E345" i="2"/>
  <c r="J345" i="2"/>
  <c r="L414" i="9"/>
  <c r="O478" i="9" s="1"/>
  <c r="H286" i="9"/>
  <c r="M286" i="9"/>
  <c r="K479" i="9" s="1"/>
  <c r="K345" i="2"/>
  <c r="I345" i="2"/>
  <c r="V345" i="2"/>
  <c r="D286" i="9"/>
  <c r="G286" i="9"/>
  <c r="J413" i="9"/>
  <c r="K413" i="9" s="1"/>
  <c r="N342" i="9"/>
  <c r="W283" i="2"/>
  <c r="F402" i="2" s="1"/>
  <c r="AD472" i="2"/>
  <c r="W470" i="2"/>
  <c r="G341" i="9"/>
  <c r="AW344" i="2" s="1"/>
  <c r="AX344" i="2" s="1"/>
  <c r="I285" i="9"/>
  <c r="J285" i="9" s="1"/>
  <c r="D342" i="9" s="1"/>
  <c r="E342" i="9" s="1"/>
  <c r="N413" i="9"/>
  <c r="P413" i="9" s="1"/>
  <c r="AL474" i="2" s="1"/>
  <c r="G479" i="9"/>
  <c r="AI540" i="2" s="1"/>
  <c r="AK342" i="2"/>
  <c r="AL342" i="2" s="1"/>
  <c r="H399" i="2"/>
  <c r="C399" i="2"/>
  <c r="AF342" i="2" s="1"/>
  <c r="AH342" i="2" s="1"/>
  <c r="E399" i="2"/>
  <c r="O412" i="9"/>
  <c r="AE470" i="2"/>
  <c r="K399" i="2"/>
  <c r="AG470" i="2"/>
  <c r="AH470" i="2" s="1"/>
  <c r="AI470" i="2" s="1"/>
  <c r="AN470" i="2" s="1"/>
  <c r="N343" i="2"/>
  <c r="O343" i="2" s="1"/>
  <c r="R343" i="2"/>
  <c r="S343" i="2" s="1"/>
  <c r="G400" i="2" s="1"/>
  <c r="J399" i="2"/>
  <c r="AS342" i="2" s="1"/>
  <c r="D399" i="2"/>
  <c r="AG342" i="2" s="1"/>
  <c r="Q401" i="2"/>
  <c r="AO343" i="2"/>
  <c r="AP343" i="2" s="1"/>
  <c r="K537" i="2"/>
  <c r="L537" i="2" s="1"/>
  <c r="P344" i="2"/>
  <c r="Q344" i="2" s="1"/>
  <c r="AT474" i="2"/>
  <c r="J535" i="9"/>
  <c r="BX538" i="2" s="1"/>
  <c r="C159" i="1"/>
  <c r="C286" i="9" s="1"/>
  <c r="M226" i="9"/>
  <c r="C343" i="9" s="1"/>
  <c r="D537" i="2"/>
  <c r="E537" i="2" s="1"/>
  <c r="AN537" i="2" s="1"/>
  <c r="P343" i="2"/>
  <c r="M473" i="2"/>
  <c r="H283" i="2"/>
  <c r="G414" i="9"/>
  <c r="M283" i="2"/>
  <c r="N283" i="2" s="1"/>
  <c r="K342" i="9"/>
  <c r="L477" i="9"/>
  <c r="M477" i="9" s="1"/>
  <c r="AE471" i="2"/>
  <c r="AG471" i="2"/>
  <c r="AF471" i="2"/>
  <c r="AP473" i="2"/>
  <c r="AR538" i="2"/>
  <c r="A287" i="9"/>
  <c r="E286" i="9"/>
  <c r="F286" i="9" s="1"/>
  <c r="A479" i="9"/>
  <c r="I479" i="9"/>
  <c r="J479" i="9"/>
  <c r="A415" i="9"/>
  <c r="A343" i="9"/>
  <c r="S415" i="9" s="1"/>
  <c r="L286" i="9"/>
  <c r="M343" i="9" s="1"/>
  <c r="BM346" i="2" s="1"/>
  <c r="K286" i="9"/>
  <c r="J343" i="9" s="1"/>
  <c r="BE346" i="2" s="1"/>
  <c r="H414" i="9"/>
  <c r="L478" i="9" s="1"/>
  <c r="M478" i="9" s="1"/>
  <c r="I414" i="9"/>
  <c r="D414" i="9"/>
  <c r="E414" i="9"/>
  <c r="F414" i="9" s="1"/>
  <c r="B479" i="9"/>
  <c r="B537" i="9" s="1"/>
  <c r="B415" i="9"/>
  <c r="C415" i="9" s="1"/>
  <c r="B343" i="9"/>
  <c r="Q414" i="9"/>
  <c r="R414" i="9"/>
  <c r="T414" i="9"/>
  <c r="A536" i="9"/>
  <c r="D478" i="9"/>
  <c r="E478" i="9" s="1"/>
  <c r="J536" i="9" s="1"/>
  <c r="I535" i="9"/>
  <c r="O535" i="9"/>
  <c r="P535" i="9"/>
  <c r="H535" i="9"/>
  <c r="G535" i="9"/>
  <c r="R535" i="9"/>
  <c r="N535" i="9"/>
  <c r="L535" i="9"/>
  <c r="K535" i="9"/>
  <c r="M401" i="2"/>
  <c r="BA344" i="2" s="1"/>
  <c r="J539" i="2"/>
  <c r="A402" i="2"/>
  <c r="U402" i="2" s="1"/>
  <c r="A539" i="2"/>
  <c r="I539" i="2"/>
  <c r="G539" i="2"/>
  <c r="AE539" i="2" s="1"/>
  <c r="A475" i="2"/>
  <c r="C474" i="2"/>
  <c r="G474" i="2" s="1"/>
  <c r="H474" i="2"/>
  <c r="M474" i="2" s="1"/>
  <c r="D474" i="2"/>
  <c r="E474" i="2"/>
  <c r="F474" i="2" s="1"/>
  <c r="O595" i="2"/>
  <c r="P595" i="2"/>
  <c r="I595" i="2"/>
  <c r="K595" i="2"/>
  <c r="BS537" i="2" s="1"/>
  <c r="BU537" i="2" s="1"/>
  <c r="R595" i="2"/>
  <c r="N595" i="2"/>
  <c r="CA537" i="2" s="1"/>
  <c r="CC537" i="2" s="1"/>
  <c r="BH473" i="2"/>
  <c r="BJ473" i="2" s="1"/>
  <c r="G595" i="2"/>
  <c r="L595" i="2"/>
  <c r="H595" i="2"/>
  <c r="BK537" i="2" s="1"/>
  <c r="BM537" i="2" s="1"/>
  <c r="B402" i="2"/>
  <c r="B539" i="2"/>
  <c r="B597" i="2" s="1"/>
  <c r="B475" i="2"/>
  <c r="AM539" i="2"/>
  <c r="AO539" i="2" s="1"/>
  <c r="L402" i="2"/>
  <c r="AZ345" i="2" s="1"/>
  <c r="BB345" i="2" s="1"/>
  <c r="AU539" i="2"/>
  <c r="AW539" i="2" s="1"/>
  <c r="O402" i="2"/>
  <c r="AJ344" i="2"/>
  <c r="A596" i="2"/>
  <c r="Q596" i="2" s="1"/>
  <c r="D538" i="2"/>
  <c r="E538" i="2" s="1"/>
  <c r="BT538" i="2" s="1"/>
  <c r="AY474" i="2"/>
  <c r="BA474" i="2" s="1"/>
  <c r="V401" i="2"/>
  <c r="R401" i="2"/>
  <c r="S401" i="2"/>
  <c r="T401" i="2" s="1"/>
  <c r="U345" i="2"/>
  <c r="P402" i="2" s="1"/>
  <c r="BI345" i="2" s="1"/>
  <c r="T345" i="2"/>
  <c r="M402" i="2" s="1"/>
  <c r="BL346" i="2"/>
  <c r="BN346" i="2" s="1"/>
  <c r="AY540" i="2"/>
  <c r="BA540" i="2" s="1"/>
  <c r="CE537" i="2"/>
  <c r="CG537" i="2" s="1"/>
  <c r="AV346" i="2"/>
  <c r="BD346" i="2"/>
  <c r="BF346" i="2" s="1"/>
  <c r="AQ540" i="2"/>
  <c r="AS540" i="2" s="1"/>
  <c r="BO537" i="2"/>
  <c r="BQ537" i="2" s="1"/>
  <c r="BW537" i="2"/>
  <c r="BY537" i="2" s="1"/>
  <c r="BA539" i="2"/>
  <c r="AM473" i="2"/>
  <c r="BL473" i="2"/>
  <c r="BN473" i="2" s="1"/>
  <c r="BC474" i="2"/>
  <c r="BE474" i="2" s="1"/>
  <c r="AK474" i="2"/>
  <c r="BH344" i="2"/>
  <c r="BJ344" i="2" s="1"/>
  <c r="AO344" i="2"/>
  <c r="AP344" i="2" s="1"/>
  <c r="P227" i="9"/>
  <c r="F344" i="9" s="1"/>
  <c r="R284" i="2"/>
  <c r="S284" i="2"/>
  <c r="H345" i="2"/>
  <c r="L227" i="9"/>
  <c r="K227" i="9"/>
  <c r="G227" i="9"/>
  <c r="N227" i="9"/>
  <c r="O227" i="9"/>
  <c r="J227" i="9"/>
  <c r="I227" i="9"/>
  <c r="C227" i="9"/>
  <c r="D227" i="9" s="1"/>
  <c r="F227" i="9" s="1"/>
  <c r="H227" i="9" s="1"/>
  <c r="R227" i="9"/>
  <c r="L344" i="9" s="1"/>
  <c r="E227" i="9"/>
  <c r="Q227" i="9"/>
  <c r="I344" i="9" s="1"/>
  <c r="B227" i="9"/>
  <c r="B287" i="9" s="1"/>
  <c r="O284" i="2"/>
  <c r="V284" i="2"/>
  <c r="A346" i="2"/>
  <c r="B284" i="2"/>
  <c r="B346" i="2" s="1"/>
  <c r="E284" i="2"/>
  <c r="J284" i="2"/>
  <c r="I284" i="2"/>
  <c r="K284" i="2"/>
  <c r="L284" i="2" s="1"/>
  <c r="G284" i="2"/>
  <c r="C284" i="2"/>
  <c r="D284" i="2" s="1"/>
  <c r="F284" i="2" s="1"/>
  <c r="H284" i="2" s="1"/>
  <c r="T284" i="2"/>
  <c r="P284" i="2"/>
  <c r="Q284" i="2" s="1"/>
  <c r="U284" i="2"/>
  <c r="C345" i="2"/>
  <c r="F345" i="2"/>
  <c r="G345" i="2" s="1"/>
  <c r="D345" i="2"/>
  <c r="C160" i="1"/>
  <c r="R126" i="1" s="1"/>
  <c r="H8" i="3" s="1"/>
  <c r="A285" i="2"/>
  <c r="Q536" i="9" l="1"/>
  <c r="E536" i="9"/>
  <c r="D536" i="9"/>
  <c r="BG539" i="2" s="1"/>
  <c r="P479" i="9"/>
  <c r="M415" i="9"/>
  <c r="L476" i="2"/>
  <c r="K476" i="2"/>
  <c r="W346" i="2"/>
  <c r="M346" i="2"/>
  <c r="L346" i="2"/>
  <c r="N539" i="2"/>
  <c r="S475" i="2"/>
  <c r="Q475" i="2"/>
  <c r="T475" i="2"/>
  <c r="J475" i="2"/>
  <c r="R475" i="2"/>
  <c r="P475" i="2"/>
  <c r="U475" i="2"/>
  <c r="I475" i="2"/>
  <c r="O475" i="2"/>
  <c r="N475" i="2"/>
  <c r="E596" i="2"/>
  <c r="D596" i="2"/>
  <c r="BC538" i="2" s="1"/>
  <c r="E346" i="2"/>
  <c r="J346" i="2"/>
  <c r="L415" i="9"/>
  <c r="O479" i="9" s="1"/>
  <c r="M287" i="9"/>
  <c r="K480" i="9" s="1"/>
  <c r="H287" i="9"/>
  <c r="K346" i="2"/>
  <c r="V346" i="2"/>
  <c r="I346" i="2"/>
  <c r="D287" i="9"/>
  <c r="G287" i="9"/>
  <c r="W472" i="2"/>
  <c r="M227" i="9"/>
  <c r="C344" i="9" s="1"/>
  <c r="AN347" i="2" s="1"/>
  <c r="H341" i="9"/>
  <c r="O413" i="9"/>
  <c r="M284" i="2"/>
  <c r="N284" i="2" s="1"/>
  <c r="J414" i="9"/>
  <c r="K414" i="9" s="1"/>
  <c r="N414" i="9" s="1"/>
  <c r="P414" i="9" s="1"/>
  <c r="AL475" i="2" s="1"/>
  <c r="N343" i="9"/>
  <c r="R345" i="2"/>
  <c r="S345" i="2" s="1"/>
  <c r="G402" i="2" s="1"/>
  <c r="AK345" i="2" s="1"/>
  <c r="AK343" i="2"/>
  <c r="AL343" i="2" s="1"/>
  <c r="H400" i="2"/>
  <c r="P345" i="2"/>
  <c r="Q345" i="2" s="1"/>
  <c r="W284" i="2"/>
  <c r="F403" i="2" s="1"/>
  <c r="G480" i="9"/>
  <c r="AI541" i="2" s="1"/>
  <c r="N344" i="2"/>
  <c r="O344" i="2" s="1"/>
  <c r="R344" i="2"/>
  <c r="S344" i="2" s="1"/>
  <c r="G401" i="2" s="1"/>
  <c r="G415" i="9"/>
  <c r="AD473" i="2"/>
  <c r="K343" i="9"/>
  <c r="N401" i="2"/>
  <c r="AC472" i="2"/>
  <c r="AF472" i="2" s="1"/>
  <c r="V471" i="2"/>
  <c r="W471" i="2"/>
  <c r="I286" i="9"/>
  <c r="J286" i="9" s="1"/>
  <c r="D343" i="9" s="1"/>
  <c r="E343" i="9" s="1"/>
  <c r="Q402" i="2"/>
  <c r="AT475" i="2"/>
  <c r="D539" i="2"/>
  <c r="E539" i="2" s="1"/>
  <c r="K538" i="2"/>
  <c r="L538" i="2" s="1"/>
  <c r="K401" i="2"/>
  <c r="AN346" i="2"/>
  <c r="AD474" i="2"/>
  <c r="Q343" i="2"/>
  <c r="J400" i="2"/>
  <c r="AS343" i="2" s="1"/>
  <c r="I400" i="2"/>
  <c r="AR343" i="2" s="1"/>
  <c r="AT343" i="2" s="1"/>
  <c r="K400" i="2"/>
  <c r="D400" i="2"/>
  <c r="AG343" i="2" s="1"/>
  <c r="C400" i="2"/>
  <c r="AF343" i="2" s="1"/>
  <c r="AH343" i="2" s="1"/>
  <c r="E400" i="2"/>
  <c r="N402" i="2"/>
  <c r="G342" i="9"/>
  <c r="J595" i="2"/>
  <c r="BT537" i="2"/>
  <c r="J596" i="2"/>
  <c r="AH471" i="2"/>
  <c r="AI471" i="2" s="1"/>
  <c r="AN471" i="2" s="1"/>
  <c r="AP474" i="2"/>
  <c r="K536" i="9"/>
  <c r="L536" i="9"/>
  <c r="N536" i="9"/>
  <c r="P536" i="9"/>
  <c r="R536" i="9"/>
  <c r="H536" i="9"/>
  <c r="I536" i="9"/>
  <c r="O536" i="9"/>
  <c r="G536" i="9"/>
  <c r="A537" i="9"/>
  <c r="D479" i="9"/>
  <c r="E479" i="9" s="1"/>
  <c r="J537" i="9" s="1"/>
  <c r="H415" i="9"/>
  <c r="L479" i="9" s="1"/>
  <c r="M479" i="9" s="1"/>
  <c r="I415" i="9"/>
  <c r="E415" i="9"/>
  <c r="F415" i="9" s="1"/>
  <c r="D415" i="9"/>
  <c r="B480" i="9"/>
  <c r="B538" i="9" s="1"/>
  <c r="B416" i="9"/>
  <c r="C416" i="9" s="1"/>
  <c r="B344" i="9"/>
  <c r="I480" i="9"/>
  <c r="J480" i="9"/>
  <c r="A416" i="9"/>
  <c r="A480" i="9"/>
  <c r="A344" i="9"/>
  <c r="S416" i="9" s="1"/>
  <c r="E287" i="9"/>
  <c r="F287" i="9" s="1"/>
  <c r="L287" i="9"/>
  <c r="M344" i="9" s="1"/>
  <c r="BM347" i="2" s="1"/>
  <c r="C287" i="9"/>
  <c r="K287" i="9"/>
  <c r="J344" i="9" s="1"/>
  <c r="BE347" i="2" s="1"/>
  <c r="Q415" i="9"/>
  <c r="R415" i="9"/>
  <c r="T415" i="9"/>
  <c r="AU540" i="2"/>
  <c r="AW540" i="2" s="1"/>
  <c r="O403" i="2"/>
  <c r="A597" i="2"/>
  <c r="Q597" i="2" s="1"/>
  <c r="R402" i="2"/>
  <c r="V402" i="2"/>
  <c r="S402" i="2"/>
  <c r="T402" i="2" s="1"/>
  <c r="AY475" i="2"/>
  <c r="BA475" i="2" s="1"/>
  <c r="B403" i="2"/>
  <c r="B540" i="2"/>
  <c r="B598" i="2" s="1"/>
  <c r="B476" i="2"/>
  <c r="N596" i="2"/>
  <c r="CA538" i="2" s="1"/>
  <c r="CC538" i="2" s="1"/>
  <c r="H596" i="2"/>
  <c r="BK538" i="2" s="1"/>
  <c r="BM538" i="2" s="1"/>
  <c r="P596" i="2"/>
  <c r="K596" i="2"/>
  <c r="BS538" i="2" s="1"/>
  <c r="BU538" i="2" s="1"/>
  <c r="BH474" i="2"/>
  <c r="BJ474" i="2" s="1"/>
  <c r="G596" i="2"/>
  <c r="L596" i="2"/>
  <c r="I596" i="2"/>
  <c r="O596" i="2"/>
  <c r="R596" i="2"/>
  <c r="AM540" i="2"/>
  <c r="AO540" i="2" s="1"/>
  <c r="L403" i="2"/>
  <c r="AZ346" i="2" s="1"/>
  <c r="BB346" i="2" s="1"/>
  <c r="A403" i="2"/>
  <c r="U403" i="2" s="1"/>
  <c r="G540" i="2"/>
  <c r="AE540" i="2" s="1"/>
  <c r="A540" i="2"/>
  <c r="A476" i="2"/>
  <c r="I540" i="2"/>
  <c r="J540" i="2"/>
  <c r="AJ345" i="2"/>
  <c r="C475" i="2"/>
  <c r="H475" i="2"/>
  <c r="D475" i="2"/>
  <c r="E475" i="2"/>
  <c r="F475" i="2" s="1"/>
  <c r="U346" i="2"/>
  <c r="T346" i="2"/>
  <c r="BL347" i="2"/>
  <c r="BN347" i="2" s="1"/>
  <c r="AY541" i="2"/>
  <c r="CE538" i="2"/>
  <c r="CG538" i="2" s="1"/>
  <c r="BD347" i="2"/>
  <c r="BF347" i="2" s="1"/>
  <c r="AQ541" i="2"/>
  <c r="AS541" i="2" s="1"/>
  <c r="AV347" i="2"/>
  <c r="BO538" i="2"/>
  <c r="BQ538" i="2" s="1"/>
  <c r="BW538" i="2"/>
  <c r="BY538" i="2" s="1"/>
  <c r="AR539" i="2"/>
  <c r="AN538" i="2"/>
  <c r="AM474" i="2"/>
  <c r="BL474" i="2"/>
  <c r="BN474" i="2" s="1"/>
  <c r="BC475" i="2"/>
  <c r="BE475" i="2" s="1"/>
  <c r="AK475" i="2"/>
  <c r="BH345" i="2"/>
  <c r="BJ345" i="2" s="1"/>
  <c r="BA345" i="2"/>
  <c r="AO345" i="2"/>
  <c r="AP345" i="2" s="1"/>
  <c r="S285" i="2"/>
  <c r="R285" i="2"/>
  <c r="H346" i="2"/>
  <c r="BX539" i="2"/>
  <c r="A347" i="2"/>
  <c r="B285" i="2"/>
  <c r="B347" i="2" s="1"/>
  <c r="E285" i="2"/>
  <c r="C285" i="2"/>
  <c r="D285" i="2" s="1"/>
  <c r="F285" i="2" s="1"/>
  <c r="G285" i="2"/>
  <c r="K285" i="2"/>
  <c r="O285" i="2" s="1"/>
  <c r="P285" i="2" s="1"/>
  <c r="Q285" i="2" s="1"/>
  <c r="J285" i="2"/>
  <c r="V285" i="2"/>
  <c r="I285" i="2"/>
  <c r="U285" i="2" s="1"/>
  <c r="L285" i="2"/>
  <c r="T285" i="2"/>
  <c r="D346" i="2"/>
  <c r="F346" i="2"/>
  <c r="G346" i="2" s="1"/>
  <c r="C346" i="2"/>
  <c r="Q537" i="9" l="1"/>
  <c r="D537" i="9"/>
  <c r="BG540" i="2" s="1"/>
  <c r="E537" i="9"/>
  <c r="P480" i="9"/>
  <c r="M416" i="9"/>
  <c r="O476" i="2"/>
  <c r="Q476" i="2"/>
  <c r="T476" i="2"/>
  <c r="I476" i="2"/>
  <c r="J476" i="2"/>
  <c r="S476" i="2"/>
  <c r="R476" i="2"/>
  <c r="P476" i="2"/>
  <c r="N540" i="2"/>
  <c r="U476" i="2"/>
  <c r="N476" i="2"/>
  <c r="L477" i="2"/>
  <c r="K477" i="2"/>
  <c r="M347" i="2"/>
  <c r="W347" i="2"/>
  <c r="L347" i="2"/>
  <c r="D597" i="2"/>
  <c r="BC539" i="2" s="1"/>
  <c r="E597" i="2"/>
  <c r="E347" i="2"/>
  <c r="J347" i="2"/>
  <c r="L416" i="9"/>
  <c r="O480" i="9" s="1"/>
  <c r="V347" i="2"/>
  <c r="K347" i="2"/>
  <c r="I347" i="2"/>
  <c r="AC473" i="2"/>
  <c r="AE473" i="2" s="1"/>
  <c r="V472" i="2"/>
  <c r="C401" i="2"/>
  <c r="AF344" i="2" s="1"/>
  <c r="AH344" i="2" s="1"/>
  <c r="G416" i="9"/>
  <c r="J415" i="9"/>
  <c r="K415" i="9" s="1"/>
  <c r="N415" i="9" s="1"/>
  <c r="P415" i="9" s="1"/>
  <c r="AL476" i="2" s="1"/>
  <c r="J401" i="2"/>
  <c r="AS344" i="2" s="1"/>
  <c r="O414" i="9"/>
  <c r="N345" i="2"/>
  <c r="J402" i="2" s="1"/>
  <c r="AS345" i="2" s="1"/>
  <c r="W285" i="2"/>
  <c r="F404" i="2" s="1"/>
  <c r="AL345" i="2"/>
  <c r="N344" i="9"/>
  <c r="M475" i="2"/>
  <c r="E401" i="2"/>
  <c r="D401" i="2"/>
  <c r="AG344" i="2" s="1"/>
  <c r="I401" i="2"/>
  <c r="AR344" i="2" s="1"/>
  <c r="AT344" i="2" s="1"/>
  <c r="H402" i="2"/>
  <c r="AC474" i="2"/>
  <c r="AF474" i="2" s="1"/>
  <c r="I287" i="9"/>
  <c r="J287" i="9" s="1"/>
  <c r="G344" i="9" s="1"/>
  <c r="W473" i="2"/>
  <c r="AK344" i="2"/>
  <c r="AL344" i="2" s="1"/>
  <c r="H401" i="2"/>
  <c r="AG472" i="2"/>
  <c r="AE472" i="2"/>
  <c r="D540" i="2"/>
  <c r="E540" i="2" s="1"/>
  <c r="BT540" i="2" s="1"/>
  <c r="G343" i="9"/>
  <c r="H343" i="9" s="1"/>
  <c r="J597" i="2"/>
  <c r="BT539" i="2"/>
  <c r="AW345" i="2"/>
  <c r="AX345" i="2" s="1"/>
  <c r="H342" i="9"/>
  <c r="K539" i="2"/>
  <c r="L539" i="2" s="1"/>
  <c r="K344" i="9"/>
  <c r="AT476" i="2"/>
  <c r="H285" i="2"/>
  <c r="G475" i="2"/>
  <c r="M285" i="2"/>
  <c r="N285" i="2" s="1"/>
  <c r="AP475" i="2"/>
  <c r="D480" i="9"/>
  <c r="E480" i="9" s="1"/>
  <c r="J538" i="9" s="1"/>
  <c r="A538" i="9"/>
  <c r="R416" i="9"/>
  <c r="T416" i="9"/>
  <c r="Q416" i="9"/>
  <c r="H416" i="9"/>
  <c r="L480" i="9" s="1"/>
  <c r="M480" i="9" s="1"/>
  <c r="D416" i="9"/>
  <c r="I416" i="9"/>
  <c r="E416" i="9"/>
  <c r="F416" i="9" s="1"/>
  <c r="L537" i="9"/>
  <c r="O537" i="9"/>
  <c r="G537" i="9"/>
  <c r="P537" i="9"/>
  <c r="H537" i="9"/>
  <c r="N537" i="9"/>
  <c r="I537" i="9"/>
  <c r="R537" i="9"/>
  <c r="K537" i="9"/>
  <c r="AR540" i="2"/>
  <c r="M403" i="2"/>
  <c r="BA346" i="2" s="1"/>
  <c r="C476" i="2"/>
  <c r="G476" i="2" s="1"/>
  <c r="D476" i="2"/>
  <c r="E476" i="2"/>
  <c r="F476" i="2" s="1"/>
  <c r="H476" i="2"/>
  <c r="AM541" i="2"/>
  <c r="AO541" i="2" s="1"/>
  <c r="AT524" i="2" s="1"/>
  <c r="L404" i="2"/>
  <c r="AZ347" i="2" s="1"/>
  <c r="BB347" i="2" s="1"/>
  <c r="P403" i="2"/>
  <c r="AU541" i="2"/>
  <c r="AW541" i="2" s="1"/>
  <c r="O404" i="2"/>
  <c r="BH347" i="2" s="1"/>
  <c r="BJ347" i="2" s="1"/>
  <c r="B477" i="2"/>
  <c r="B404" i="2"/>
  <c r="B541" i="2"/>
  <c r="B599" i="2" s="1"/>
  <c r="A598" i="2"/>
  <c r="Q598" i="2" s="1"/>
  <c r="A404" i="2"/>
  <c r="U404" i="2" s="1"/>
  <c r="I541" i="2"/>
  <c r="A541" i="2"/>
  <c r="A477" i="2"/>
  <c r="G541" i="2"/>
  <c r="AE541" i="2" s="1"/>
  <c r="J541" i="2"/>
  <c r="AJ346" i="2"/>
  <c r="AY476" i="2"/>
  <c r="BA476" i="2" s="1"/>
  <c r="R403" i="2"/>
  <c r="S403" i="2"/>
  <c r="T403" i="2" s="1"/>
  <c r="V403" i="2"/>
  <c r="P597" i="2"/>
  <c r="K597" i="2"/>
  <c r="BS539" i="2" s="1"/>
  <c r="BU539" i="2" s="1"/>
  <c r="H597" i="2"/>
  <c r="BK539" i="2" s="1"/>
  <c r="BM539" i="2" s="1"/>
  <c r="N597" i="2"/>
  <c r="CA539" i="2" s="1"/>
  <c r="CC539" i="2" s="1"/>
  <c r="O597" i="2"/>
  <c r="G597" i="2"/>
  <c r="I597" i="2"/>
  <c r="L597" i="2"/>
  <c r="R597" i="2"/>
  <c r="BH475" i="2"/>
  <c r="BJ475" i="2" s="1"/>
  <c r="U347" i="2"/>
  <c r="T347" i="2"/>
  <c r="M404" i="2" s="1"/>
  <c r="CE539" i="2"/>
  <c r="CG539" i="2" s="1"/>
  <c r="BW539" i="2"/>
  <c r="BY539" i="2" s="1"/>
  <c r="BO539" i="2"/>
  <c r="BQ539" i="2" s="1"/>
  <c r="BA541" i="2"/>
  <c r="AN539" i="2"/>
  <c r="AM475" i="2"/>
  <c r="BL475" i="2"/>
  <c r="BN475" i="2" s="1"/>
  <c r="BC476" i="2"/>
  <c r="BE476" i="2" s="1"/>
  <c r="AK476" i="2"/>
  <c r="BH346" i="2"/>
  <c r="BJ346" i="2" s="1"/>
  <c r="AO346" i="2"/>
  <c r="AP346" i="2" s="1"/>
  <c r="H347" i="2"/>
  <c r="BX540" i="2"/>
  <c r="F347" i="2"/>
  <c r="G347" i="2" s="1"/>
  <c r="C347" i="2"/>
  <c r="D347" i="2"/>
  <c r="Q538" i="9" l="1"/>
  <c r="E538" i="9"/>
  <c r="D538" i="9"/>
  <c r="BG541" i="2" s="1"/>
  <c r="T477" i="2"/>
  <c r="R477" i="2"/>
  <c r="I477" i="2"/>
  <c r="Q477" i="2"/>
  <c r="S477" i="2"/>
  <c r="P477" i="2"/>
  <c r="O477" i="2"/>
  <c r="J477" i="2"/>
  <c r="N541" i="2"/>
  <c r="U477" i="2"/>
  <c r="N477" i="2"/>
  <c r="D598" i="2"/>
  <c r="BC540" i="2" s="1"/>
  <c r="E598" i="2"/>
  <c r="AG473" i="2"/>
  <c r="AH473" i="2" s="1"/>
  <c r="AI473" i="2" s="1"/>
  <c r="AN473" i="2" s="1"/>
  <c r="AF473" i="2"/>
  <c r="C402" i="2"/>
  <c r="AF345" i="2" s="1"/>
  <c r="AH345" i="2" s="1"/>
  <c r="I402" i="2"/>
  <c r="AR345" i="2" s="1"/>
  <c r="AT345" i="2" s="1"/>
  <c r="K402" i="2"/>
  <c r="E402" i="2"/>
  <c r="D402" i="2"/>
  <c r="AG345" i="2" s="1"/>
  <c r="O345" i="2"/>
  <c r="O415" i="9"/>
  <c r="K540" i="2"/>
  <c r="L540" i="2" s="1"/>
  <c r="D344" i="9"/>
  <c r="E344" i="9" s="1"/>
  <c r="V473" i="2"/>
  <c r="AG474" i="2"/>
  <c r="AH474" i="2" s="1"/>
  <c r="AI474" i="2" s="1"/>
  <c r="AN474" i="2" s="1"/>
  <c r="AE474" i="2"/>
  <c r="P347" i="2"/>
  <c r="Q347" i="2" s="1"/>
  <c r="N346" i="2"/>
  <c r="O346" i="2" s="1"/>
  <c r="R346" i="2"/>
  <c r="S346" i="2" s="1"/>
  <c r="G403" i="2" s="1"/>
  <c r="W474" i="2"/>
  <c r="AH472" i="2"/>
  <c r="AI472" i="2" s="1"/>
  <c r="AN472" i="2" s="1"/>
  <c r="J416" i="9"/>
  <c r="K416" i="9" s="1"/>
  <c r="N416" i="9" s="1"/>
  <c r="P416" i="9" s="1"/>
  <c r="AL477" i="2" s="1"/>
  <c r="AW346" i="2"/>
  <c r="AX346" i="2" s="1"/>
  <c r="D541" i="2"/>
  <c r="E541" i="2" s="1"/>
  <c r="BT541" i="2" s="1"/>
  <c r="AD475" i="2"/>
  <c r="AW347" i="2"/>
  <c r="AX347" i="2" s="1"/>
  <c r="H344" i="9"/>
  <c r="M476" i="2"/>
  <c r="P346" i="2"/>
  <c r="Q346" i="2" s="1"/>
  <c r="N404" i="2"/>
  <c r="BI346" i="2"/>
  <c r="Q403" i="2"/>
  <c r="J598" i="2"/>
  <c r="N403" i="2"/>
  <c r="AK477" i="2"/>
  <c r="AT477" i="2"/>
  <c r="AP476" i="2"/>
  <c r="AR541" i="2"/>
  <c r="N538" i="9"/>
  <c r="I538" i="9"/>
  <c r="K538" i="9"/>
  <c r="P538" i="9"/>
  <c r="R538" i="9"/>
  <c r="G538" i="9"/>
  <c r="H538" i="9"/>
  <c r="L538" i="9"/>
  <c r="O538" i="9"/>
  <c r="AP496" i="2"/>
  <c r="AT506" i="2"/>
  <c r="AT523" i="2"/>
  <c r="AT525" i="2"/>
  <c r="AT520" i="2"/>
  <c r="AT510" i="2"/>
  <c r="AP525" i="2"/>
  <c r="AT516" i="2"/>
  <c r="AP508" i="2"/>
  <c r="AP499" i="2"/>
  <c r="AT531" i="2"/>
  <c r="AT528" i="2"/>
  <c r="AP536" i="2"/>
  <c r="AP540" i="2"/>
  <c r="AP524" i="2"/>
  <c r="AP512" i="2"/>
  <c r="AT508" i="2"/>
  <c r="AP495" i="2"/>
  <c r="AT532" i="2"/>
  <c r="AT522" i="2"/>
  <c r="AP513" i="2"/>
  <c r="AT535" i="2"/>
  <c r="AP515" i="2"/>
  <c r="AT497" i="2"/>
  <c r="AP532" i="2"/>
  <c r="AT518" i="2"/>
  <c r="AT515" i="2"/>
  <c r="AT503" i="2"/>
  <c r="AP493" i="2"/>
  <c r="AT527" i="2"/>
  <c r="AP506" i="2"/>
  <c r="AP505" i="2"/>
  <c r="AT538" i="2"/>
  <c r="AP531" i="2"/>
  <c r="AP518" i="2"/>
  <c r="AT509" i="2"/>
  <c r="AP500" i="2"/>
  <c r="AT494" i="2"/>
  <c r="AT539" i="2"/>
  <c r="AP520" i="2"/>
  <c r="AT496" i="2"/>
  <c r="AP533" i="2"/>
  <c r="AP502" i="2"/>
  <c r="AP526" i="2"/>
  <c r="AP517" i="2"/>
  <c r="AT513" i="2"/>
  <c r="AP497" i="2"/>
  <c r="AT493" i="2"/>
  <c r="AT540" i="2"/>
  <c r="AJ347" i="2"/>
  <c r="P404" i="2"/>
  <c r="AP535" i="2"/>
  <c r="AP528" i="2"/>
  <c r="AT519" i="2"/>
  <c r="AP522" i="2"/>
  <c r="AP514" i="2"/>
  <c r="AP511" i="2"/>
  <c r="AP503" i="2"/>
  <c r="AP501" i="2"/>
  <c r="AT501" i="2"/>
  <c r="AP492" i="2"/>
  <c r="AT541" i="2"/>
  <c r="AT492" i="2"/>
  <c r="AT537" i="2"/>
  <c r="A599" i="2"/>
  <c r="Q599" i="2" s="1"/>
  <c r="AP541" i="2"/>
  <c r="AP530" i="2"/>
  <c r="AP523" i="2"/>
  <c r="AP521" i="2"/>
  <c r="AP510" i="2"/>
  <c r="AT511" i="2"/>
  <c r="AP504" i="2"/>
  <c r="AT500" i="2"/>
  <c r="AT499" i="2"/>
  <c r="AT495" i="2"/>
  <c r="AT536" i="2"/>
  <c r="AT534" i="2"/>
  <c r="AP539" i="2"/>
  <c r="C477" i="2"/>
  <c r="E477" i="2"/>
  <c r="F477" i="2" s="1"/>
  <c r="H477" i="2"/>
  <c r="M477" i="2" s="1"/>
  <c r="D477" i="2"/>
  <c r="AP534" i="2"/>
  <c r="AP529" i="2"/>
  <c r="AP519" i="2"/>
  <c r="AT514" i="2"/>
  <c r="AT512" i="2"/>
  <c r="AP509" i="2"/>
  <c r="AT504" i="2"/>
  <c r="AT502" i="2"/>
  <c r="AT498" i="2"/>
  <c r="AT521" i="2"/>
  <c r="AT530" i="2"/>
  <c r="AT533" i="2"/>
  <c r="AP537" i="2"/>
  <c r="S404" i="2"/>
  <c r="T404" i="2" s="1"/>
  <c r="R404" i="2"/>
  <c r="V404" i="2"/>
  <c r="AY477" i="2"/>
  <c r="AP538" i="2"/>
  <c r="AP527" i="2"/>
  <c r="AP516" i="2"/>
  <c r="AT517" i="2"/>
  <c r="AP507" i="2"/>
  <c r="AT507" i="2"/>
  <c r="AT505" i="2"/>
  <c r="AP498" i="2"/>
  <c r="AP494" i="2"/>
  <c r="AT529" i="2"/>
  <c r="AT526" i="2"/>
  <c r="L598" i="2"/>
  <c r="P598" i="2"/>
  <c r="I598" i="2"/>
  <c r="K598" i="2"/>
  <c r="BS540" i="2" s="1"/>
  <c r="BU540" i="2" s="1"/>
  <c r="G598" i="2"/>
  <c r="BH476" i="2"/>
  <c r="BJ476" i="2" s="1"/>
  <c r="R598" i="2"/>
  <c r="O598" i="2"/>
  <c r="H598" i="2"/>
  <c r="BK540" i="2" s="1"/>
  <c r="BM540" i="2" s="1"/>
  <c r="N598" i="2"/>
  <c r="CA540" i="2" s="1"/>
  <c r="CC540" i="2" s="1"/>
  <c r="CE540" i="2"/>
  <c r="CG540" i="2" s="1"/>
  <c r="BO540" i="2"/>
  <c r="BQ540" i="2" s="1"/>
  <c r="BW540" i="2"/>
  <c r="BY540" i="2" s="1"/>
  <c r="AN540" i="2"/>
  <c r="AM476" i="2"/>
  <c r="BL476" i="2"/>
  <c r="BN476" i="2" s="1"/>
  <c r="BC477" i="2"/>
  <c r="BE477" i="2" s="1"/>
  <c r="C425" i="9"/>
  <c r="BK347" i="2"/>
  <c r="BO315" i="2"/>
  <c r="BO326" i="2"/>
  <c r="BO322" i="2"/>
  <c r="BO306" i="2"/>
  <c r="BO318" i="2"/>
  <c r="BO342" i="2"/>
  <c r="BO302" i="2"/>
  <c r="BO310" i="2"/>
  <c r="BO334" i="2"/>
  <c r="BO338" i="2"/>
  <c r="BO336" i="2"/>
  <c r="BO316" i="2"/>
  <c r="BO340" i="2"/>
  <c r="BO303" i="2"/>
  <c r="BO332" i="2"/>
  <c r="BO308" i="2"/>
  <c r="BO344" i="2"/>
  <c r="BO324" i="2"/>
  <c r="BO304" i="2"/>
  <c r="BO312" i="2"/>
  <c r="BO320" i="2"/>
  <c r="BO299" i="2"/>
  <c r="BO328" i="2"/>
  <c r="BO309" i="2"/>
  <c r="BO325" i="2"/>
  <c r="BO347" i="2"/>
  <c r="BO341" i="2"/>
  <c r="BO319" i="2"/>
  <c r="BO345" i="2"/>
  <c r="BO305" i="2"/>
  <c r="BO298" i="2"/>
  <c r="BO337" i="2"/>
  <c r="BO307" i="2"/>
  <c r="BO323" i="2"/>
  <c r="BK298" i="2"/>
  <c r="BO314" i="2"/>
  <c r="BO333" i="2"/>
  <c r="BO313" i="2"/>
  <c r="BO311" i="2"/>
  <c r="BO335" i="2"/>
  <c r="BO329" i="2"/>
  <c r="BO343" i="2"/>
  <c r="BO300" i="2"/>
  <c r="BO301" i="2"/>
  <c r="BO331" i="2"/>
  <c r="BO346" i="2"/>
  <c r="BO321" i="2"/>
  <c r="BO330" i="2"/>
  <c r="BK299" i="2"/>
  <c r="BO339" i="2"/>
  <c r="BO327" i="2"/>
  <c r="BO317" i="2"/>
  <c r="BK300" i="2"/>
  <c r="BK302" i="2"/>
  <c r="BK301" i="2"/>
  <c r="BK303" i="2"/>
  <c r="BK306" i="2"/>
  <c r="BK307" i="2"/>
  <c r="BK308" i="2"/>
  <c r="BK304" i="2"/>
  <c r="BK311" i="2"/>
  <c r="BK305" i="2"/>
  <c r="BK310" i="2"/>
  <c r="BK315" i="2"/>
  <c r="BK314" i="2"/>
  <c r="BK309" i="2"/>
  <c r="BK312" i="2"/>
  <c r="BK316" i="2"/>
  <c r="BK313" i="2"/>
  <c r="BK318" i="2"/>
  <c r="BK319" i="2"/>
  <c r="BK317" i="2"/>
  <c r="BK321" i="2"/>
  <c r="BK322" i="2"/>
  <c r="BK320" i="2"/>
  <c r="BK323" i="2"/>
  <c r="BK324" i="2"/>
  <c r="BK327" i="2"/>
  <c r="BK325" i="2"/>
  <c r="BK326" i="2"/>
  <c r="BK329" i="2"/>
  <c r="BK328" i="2"/>
  <c r="BK331" i="2"/>
  <c r="BK333" i="2"/>
  <c r="BK330" i="2"/>
  <c r="BK332" i="2"/>
  <c r="BK336" i="2"/>
  <c r="BK334" i="2"/>
  <c r="BK337" i="2"/>
  <c r="BK335" i="2"/>
  <c r="BK339" i="2"/>
  <c r="BK345" i="2"/>
  <c r="BK346" i="2"/>
  <c r="BK344" i="2"/>
  <c r="BK338" i="2"/>
  <c r="BK341" i="2"/>
  <c r="BK342" i="2"/>
  <c r="BK343" i="2"/>
  <c r="BK340" i="2"/>
  <c r="BC347" i="2"/>
  <c r="BG299" i="2"/>
  <c r="BG334" i="2"/>
  <c r="BG347" i="2"/>
  <c r="BG332" i="2"/>
  <c r="BG337" i="2"/>
  <c r="BG342" i="2"/>
  <c r="BG331" i="2"/>
  <c r="BG345" i="2"/>
  <c r="BG328" i="2"/>
  <c r="BG346" i="2"/>
  <c r="BG338" i="2"/>
  <c r="BG327" i="2"/>
  <c r="BG336" i="2"/>
  <c r="BG340" i="2"/>
  <c r="BG344" i="2"/>
  <c r="BG339" i="2"/>
  <c r="BG329" i="2"/>
  <c r="BG330" i="2"/>
  <c r="BG343" i="2"/>
  <c r="BG335" i="2"/>
  <c r="BG341" i="2"/>
  <c r="BG302" i="2"/>
  <c r="BG300" i="2"/>
  <c r="BG298" i="2"/>
  <c r="BC299" i="2"/>
  <c r="BG301" i="2"/>
  <c r="BC298" i="2"/>
  <c r="BG333" i="2"/>
  <c r="BG304" i="2"/>
  <c r="BG303" i="2"/>
  <c r="BG306" i="2"/>
  <c r="BC304" i="2"/>
  <c r="BC301" i="2"/>
  <c r="BC300" i="2"/>
  <c r="BC303" i="2"/>
  <c r="BG305" i="2"/>
  <c r="BG309" i="2"/>
  <c r="BC302" i="2"/>
  <c r="BG307" i="2"/>
  <c r="BG310" i="2"/>
  <c r="BG308" i="2"/>
  <c r="BG312" i="2"/>
  <c r="BC306" i="2"/>
  <c r="BC305" i="2"/>
  <c r="BG311" i="2"/>
  <c r="BC309" i="2"/>
  <c r="BC310" i="2"/>
  <c r="BC311" i="2"/>
  <c r="BC308" i="2"/>
  <c r="BC307" i="2"/>
  <c r="BC313" i="2"/>
  <c r="BG313" i="2"/>
  <c r="BC312" i="2"/>
  <c r="BG314" i="2"/>
  <c r="BG316" i="2"/>
  <c r="BG315" i="2"/>
  <c r="BC317" i="2"/>
  <c r="BC314" i="2"/>
  <c r="BC316" i="2"/>
  <c r="BG317" i="2"/>
  <c r="BC315" i="2"/>
  <c r="BG318" i="2"/>
  <c r="BG319" i="2"/>
  <c r="BC318" i="2"/>
  <c r="BG320" i="2"/>
  <c r="BG322" i="2"/>
  <c r="BC320" i="2"/>
  <c r="BC322" i="2"/>
  <c r="BG324" i="2"/>
  <c r="BG321" i="2"/>
  <c r="BG323" i="2"/>
  <c r="BC327" i="2"/>
  <c r="BC328" i="2"/>
  <c r="BC319" i="2"/>
  <c r="BC329" i="2"/>
  <c r="BC325" i="2"/>
  <c r="BG325" i="2"/>
  <c r="BC330" i="2"/>
  <c r="BC321" i="2"/>
  <c r="BC331" i="2"/>
  <c r="BC324" i="2"/>
  <c r="BG326" i="2"/>
  <c r="BC332" i="2"/>
  <c r="BC323" i="2"/>
  <c r="BC326" i="2"/>
  <c r="BC335" i="2"/>
  <c r="BC333" i="2"/>
  <c r="BC336" i="2"/>
  <c r="BC338" i="2"/>
  <c r="BC339" i="2"/>
  <c r="BC337" i="2"/>
  <c r="BC334" i="2"/>
  <c r="BC340" i="2"/>
  <c r="BC341" i="2"/>
  <c r="BA347" i="2"/>
  <c r="BC345" i="2"/>
  <c r="BC344" i="2"/>
  <c r="BC343" i="2"/>
  <c r="BC346" i="2"/>
  <c r="BC342" i="2"/>
  <c r="BX541" i="2"/>
  <c r="K85" i="3"/>
  <c r="L85" i="3" s="1"/>
  <c r="K67" i="3"/>
  <c r="L67" i="3" s="1"/>
  <c r="E599" i="2" l="1"/>
  <c r="D599" i="2"/>
  <c r="BC541" i="2" s="1"/>
  <c r="AO347" i="2"/>
  <c r="AP347" i="2" s="1"/>
  <c r="O416" i="9"/>
  <c r="V474" i="2"/>
  <c r="W475" i="2"/>
  <c r="AC475" i="2"/>
  <c r="AF475" i="2" s="1"/>
  <c r="AM477" i="2"/>
  <c r="N347" i="2"/>
  <c r="O347" i="2" s="1"/>
  <c r="R347" i="2"/>
  <c r="S347" i="2" s="1"/>
  <c r="G404" i="2" s="1"/>
  <c r="AK346" i="2"/>
  <c r="AL346" i="2" s="1"/>
  <c r="H403" i="2"/>
  <c r="E403" i="2"/>
  <c r="I403" i="2"/>
  <c r="AR346" i="2" s="1"/>
  <c r="AT346" i="2" s="1"/>
  <c r="C403" i="2"/>
  <c r="AF346" i="2" s="1"/>
  <c r="AH346" i="2" s="1"/>
  <c r="K541" i="2"/>
  <c r="L541" i="2" s="1"/>
  <c r="AD476" i="2"/>
  <c r="G477" i="2"/>
  <c r="K403" i="2"/>
  <c r="C450" i="9"/>
  <c r="C452" i="9"/>
  <c r="AZ513" i="2" s="1"/>
  <c r="C451" i="9"/>
  <c r="AZ512" i="2" s="1"/>
  <c r="C453" i="9"/>
  <c r="AZ514" i="2" s="1"/>
  <c r="C454" i="9"/>
  <c r="AZ515" i="2" s="1"/>
  <c r="C456" i="9"/>
  <c r="AZ517" i="2" s="1"/>
  <c r="C455" i="9"/>
  <c r="AZ516" i="2" s="1"/>
  <c r="C457" i="9"/>
  <c r="AZ518" i="2" s="1"/>
  <c r="C458" i="9"/>
  <c r="AZ519" i="2" s="1"/>
  <c r="C460" i="9"/>
  <c r="C459" i="9"/>
  <c r="AZ520" i="2" s="1"/>
  <c r="C461" i="9"/>
  <c r="AZ522" i="2" s="1"/>
  <c r="C462" i="9"/>
  <c r="C463" i="9"/>
  <c r="C464" i="9"/>
  <c r="C465" i="9"/>
  <c r="C466" i="9"/>
  <c r="C467" i="9"/>
  <c r="C468" i="9"/>
  <c r="C469" i="9"/>
  <c r="C470" i="9"/>
  <c r="C471" i="9"/>
  <c r="C472" i="9"/>
  <c r="C473" i="9"/>
  <c r="C474" i="9"/>
  <c r="C475" i="9"/>
  <c r="C476" i="9"/>
  <c r="C477" i="9"/>
  <c r="C478" i="9"/>
  <c r="C479" i="9"/>
  <c r="J599" i="2"/>
  <c r="J403" i="2"/>
  <c r="AS346" i="2" s="1"/>
  <c r="C480" i="9"/>
  <c r="BI347" i="2"/>
  <c r="Q404" i="2"/>
  <c r="D403" i="2"/>
  <c r="AG346" i="2" s="1"/>
  <c r="AP477" i="2"/>
  <c r="C446" i="9"/>
  <c r="F446" i="9" s="1"/>
  <c r="C504" i="9" s="1"/>
  <c r="C447" i="9"/>
  <c r="AZ508" i="2" s="1"/>
  <c r="C448" i="9"/>
  <c r="AZ509" i="2" s="1"/>
  <c r="C449" i="9"/>
  <c r="AZ510" i="2" s="1"/>
  <c r="C432" i="9"/>
  <c r="AZ493" i="2" s="1"/>
  <c r="C433" i="9"/>
  <c r="AZ494" i="2" s="1"/>
  <c r="C434" i="9"/>
  <c r="C436" i="9"/>
  <c r="AZ497" i="2" s="1"/>
  <c r="C435" i="9"/>
  <c r="C437" i="9"/>
  <c r="AZ498" i="2" s="1"/>
  <c r="C438" i="9"/>
  <c r="C439" i="9"/>
  <c r="C440" i="9"/>
  <c r="AZ501" i="2" s="1"/>
  <c r="C442" i="9"/>
  <c r="AZ503" i="2" s="1"/>
  <c r="C441" i="9"/>
  <c r="C443" i="9"/>
  <c r="AZ504" i="2" s="1"/>
  <c r="C444" i="9"/>
  <c r="C445" i="9"/>
  <c r="AZ506" i="2" s="1"/>
  <c r="G48" i="3" a="1"/>
  <c r="G48" i="3" s="1"/>
  <c r="N47" i="3" a="1"/>
  <c r="N47" i="3" s="1"/>
  <c r="K599" i="2"/>
  <c r="BS541" i="2" s="1"/>
  <c r="BU541" i="2" s="1"/>
  <c r="G599" i="2"/>
  <c r="P599" i="2"/>
  <c r="L599" i="2"/>
  <c r="N599" i="2"/>
  <c r="CA541" i="2" s="1"/>
  <c r="CC541" i="2" s="1"/>
  <c r="I599" i="2"/>
  <c r="O599" i="2"/>
  <c r="R599" i="2"/>
  <c r="H599" i="2"/>
  <c r="BK541" i="2" s="1"/>
  <c r="BM541" i="2" s="1"/>
  <c r="CE541" i="2"/>
  <c r="CG541" i="2" s="1"/>
  <c r="BW541" i="2"/>
  <c r="BY541" i="2" s="1"/>
  <c r="BO541" i="2"/>
  <c r="BQ541" i="2" s="1"/>
  <c r="BA496" i="2"/>
  <c r="AN541" i="2"/>
  <c r="G47" i="3" s="1" a="1"/>
  <c r="G47" i="3" s="1"/>
  <c r="BA477" i="2"/>
  <c r="G42" i="3" s="1" a="1"/>
  <c r="G42" i="3" s="1"/>
  <c r="BL477" i="2"/>
  <c r="BN477" i="2" s="1"/>
  <c r="C431" i="9"/>
  <c r="N35" i="3" a="1"/>
  <c r="N35" i="3" s="1"/>
  <c r="G36" i="3" a="1"/>
  <c r="G36" i="3" s="1"/>
  <c r="G35" i="3" a="1"/>
  <c r="G35" i="3" s="1"/>
  <c r="N37" i="3" a="1"/>
  <c r="N37" i="3" s="1"/>
  <c r="I37" i="3" s="1"/>
  <c r="G38" i="3" a="1"/>
  <c r="G38" i="3" s="1"/>
  <c r="G37" i="3" a="1"/>
  <c r="G37" i="3" s="1"/>
  <c r="C486" i="2"/>
  <c r="I81" i="3"/>
  <c r="I67" i="3"/>
  <c r="I85" i="3"/>
  <c r="AG475" i="2" l="1"/>
  <c r="AE475" i="2"/>
  <c r="V475" i="2"/>
  <c r="AD477" i="2"/>
  <c r="C404" i="2"/>
  <c r="AF347" i="2" s="1"/>
  <c r="AH347" i="2" s="1"/>
  <c r="I404" i="2"/>
  <c r="AR347" i="2" s="1"/>
  <c r="AT347" i="2" s="1"/>
  <c r="AU326" i="2" s="1"/>
  <c r="E404" i="2"/>
  <c r="J404" i="2"/>
  <c r="AS347" i="2" s="1"/>
  <c r="K404" i="2"/>
  <c r="D404" i="2"/>
  <c r="AG347" i="2" s="1"/>
  <c r="V476" i="2"/>
  <c r="AK347" i="2"/>
  <c r="AL347" i="2" s="1"/>
  <c r="H404" i="2"/>
  <c r="AC476" i="2"/>
  <c r="AG476" i="2" s="1"/>
  <c r="AC477" i="2"/>
  <c r="M530" i="9"/>
  <c r="CF533" i="2" s="1"/>
  <c r="AZ533" i="2"/>
  <c r="N472" i="9"/>
  <c r="F472" i="9"/>
  <c r="C530" i="9" s="1"/>
  <c r="M522" i="9"/>
  <c r="CF525" i="2" s="1"/>
  <c r="N464" i="9"/>
  <c r="AZ525" i="2"/>
  <c r="F464" i="9"/>
  <c r="C522" i="9" s="1"/>
  <c r="M513" i="9"/>
  <c r="N455" i="9"/>
  <c r="F455" i="9"/>
  <c r="C513" i="9" s="1"/>
  <c r="M537" i="9"/>
  <c r="CF540" i="2" s="1"/>
  <c r="N479" i="9"/>
  <c r="AZ540" i="2"/>
  <c r="F479" i="9"/>
  <c r="C537" i="9" s="1"/>
  <c r="M529" i="9"/>
  <c r="CF532" i="2" s="1"/>
  <c r="AZ532" i="2"/>
  <c r="N471" i="9"/>
  <c r="F471" i="9"/>
  <c r="C529" i="9" s="1"/>
  <c r="M521" i="9"/>
  <c r="CF524" i="2" s="1"/>
  <c r="AZ524" i="2"/>
  <c r="N463" i="9"/>
  <c r="F463" i="9"/>
  <c r="C521" i="9" s="1"/>
  <c r="M514" i="9"/>
  <c r="N456" i="9"/>
  <c r="F456" i="9"/>
  <c r="C514" i="9" s="1"/>
  <c r="M528" i="9"/>
  <c r="CF531" i="2" s="1"/>
  <c r="AZ531" i="2"/>
  <c r="N470" i="9"/>
  <c r="F470" i="9"/>
  <c r="C528" i="9" s="1"/>
  <c r="M519" i="9"/>
  <c r="CF522" i="2" s="1"/>
  <c r="F461" i="9"/>
  <c r="N461" i="9"/>
  <c r="M526" i="9"/>
  <c r="CF529" i="2" s="1"/>
  <c r="AZ529" i="2"/>
  <c r="N468" i="9"/>
  <c r="F468" i="9"/>
  <c r="C526" i="9" s="1"/>
  <c r="M538" i="9"/>
  <c r="CF541" i="2" s="1"/>
  <c r="AZ541" i="2"/>
  <c r="F480" i="9"/>
  <c r="C538" i="9" s="1"/>
  <c r="N480" i="9"/>
  <c r="M533" i="9"/>
  <c r="CF536" i="2" s="1"/>
  <c r="N475" i="9"/>
  <c r="AZ536" i="2"/>
  <c r="F475" i="9"/>
  <c r="C533" i="9" s="1"/>
  <c r="M525" i="9"/>
  <c r="CF528" i="2" s="1"/>
  <c r="N467" i="9"/>
  <c r="AZ528" i="2"/>
  <c r="F467" i="9"/>
  <c r="C525" i="9" s="1"/>
  <c r="M518" i="9"/>
  <c r="CF521" i="2" s="1"/>
  <c r="N460" i="9"/>
  <c r="F460" i="9"/>
  <c r="C518" i="9" s="1"/>
  <c r="M510" i="9"/>
  <c r="N452" i="9"/>
  <c r="F452" i="9"/>
  <c r="C510" i="9" s="1"/>
  <c r="M536" i="9"/>
  <c r="CF539" i="2" s="1"/>
  <c r="AZ539" i="2"/>
  <c r="N478" i="9"/>
  <c r="F478" i="9"/>
  <c r="C536" i="9" s="1"/>
  <c r="M512" i="9"/>
  <c r="N454" i="9"/>
  <c r="F454" i="9"/>
  <c r="C512" i="9" s="1"/>
  <c r="M517" i="9"/>
  <c r="N459" i="9"/>
  <c r="F459" i="9"/>
  <c r="C517" i="9" s="1"/>
  <c r="C523" i="2"/>
  <c r="C524" i="2"/>
  <c r="C525" i="2"/>
  <c r="C526" i="2"/>
  <c r="C527" i="2"/>
  <c r="C528" i="2"/>
  <c r="C530" i="2"/>
  <c r="C529" i="2"/>
  <c r="C531" i="2"/>
  <c r="C532" i="2"/>
  <c r="C533" i="2"/>
  <c r="C534" i="2"/>
  <c r="C535" i="2"/>
  <c r="C536" i="2"/>
  <c r="C537" i="2"/>
  <c r="C538" i="2"/>
  <c r="C539" i="2"/>
  <c r="C540" i="2"/>
  <c r="M532" i="9"/>
  <c r="CF535" i="2" s="1"/>
  <c r="N474" i="9"/>
  <c r="AZ535" i="2"/>
  <c r="F474" i="9"/>
  <c r="C532" i="9" s="1"/>
  <c r="M524" i="9"/>
  <c r="CF527" i="2" s="1"/>
  <c r="AZ527" i="2"/>
  <c r="N466" i="9"/>
  <c r="F466" i="9"/>
  <c r="C524" i="9" s="1"/>
  <c r="M516" i="9"/>
  <c r="N458" i="9"/>
  <c r="F458" i="9"/>
  <c r="C516" i="9" s="1"/>
  <c r="M508" i="9"/>
  <c r="N450" i="9"/>
  <c r="F450" i="9"/>
  <c r="C508" i="9" s="1"/>
  <c r="C541" i="2"/>
  <c r="M520" i="9"/>
  <c r="CF523" i="2" s="1"/>
  <c r="N462" i="9"/>
  <c r="AZ523" i="2"/>
  <c r="F462" i="9"/>
  <c r="C520" i="9" s="1"/>
  <c r="M535" i="9"/>
  <c r="CF538" i="2" s="1"/>
  <c r="AZ538" i="2"/>
  <c r="N477" i="9"/>
  <c r="F477" i="9"/>
  <c r="C535" i="9" s="1"/>
  <c r="M527" i="9"/>
  <c r="CF530" i="2" s="1"/>
  <c r="AZ530" i="2"/>
  <c r="N469" i="9"/>
  <c r="F469" i="9"/>
  <c r="C527" i="9" s="1"/>
  <c r="M511" i="9"/>
  <c r="N453" i="9"/>
  <c r="F453" i="9"/>
  <c r="C511" i="9" s="1"/>
  <c r="AH475" i="2"/>
  <c r="AI475" i="2" s="1"/>
  <c r="AN475" i="2" s="1"/>
  <c r="M534" i="9"/>
  <c r="CF537" i="2" s="1"/>
  <c r="AZ537" i="2"/>
  <c r="N476" i="9"/>
  <c r="F476" i="9"/>
  <c r="C534" i="9" s="1"/>
  <c r="M509" i="9"/>
  <c r="N451" i="9"/>
  <c r="F451" i="9"/>
  <c r="C509" i="9" s="1"/>
  <c r="AZ507" i="2"/>
  <c r="AZ511" i="2"/>
  <c r="M531" i="9"/>
  <c r="CF534" i="2" s="1"/>
  <c r="AZ534" i="2"/>
  <c r="N473" i="9"/>
  <c r="F473" i="9"/>
  <c r="C531" i="9" s="1"/>
  <c r="M523" i="9"/>
  <c r="CF526" i="2" s="1"/>
  <c r="AZ526" i="2"/>
  <c r="N465" i="9"/>
  <c r="F465" i="9"/>
  <c r="C523" i="9" s="1"/>
  <c r="M515" i="9"/>
  <c r="F457" i="9"/>
  <c r="N457" i="9"/>
  <c r="N446" i="9"/>
  <c r="AU443" i="2" s="1"/>
  <c r="M504" i="9"/>
  <c r="M507" i="9"/>
  <c r="N449" i="9"/>
  <c r="F449" i="9"/>
  <c r="C507" i="9" s="1"/>
  <c r="M506" i="9"/>
  <c r="N448" i="9"/>
  <c r="F448" i="9"/>
  <c r="C506" i="9" s="1"/>
  <c r="M505" i="9"/>
  <c r="N447" i="9"/>
  <c r="F447" i="9"/>
  <c r="F504" i="9"/>
  <c r="H446" i="9"/>
  <c r="M502" i="9"/>
  <c r="F444" i="9"/>
  <c r="N444" i="9"/>
  <c r="M493" i="9"/>
  <c r="CF496" i="2" s="1"/>
  <c r="CG496" i="2" s="1"/>
  <c r="N435" i="9"/>
  <c r="F435" i="9"/>
  <c r="C493" i="9" s="1"/>
  <c r="E493" i="9" s="1"/>
  <c r="M501" i="9"/>
  <c r="N443" i="9"/>
  <c r="F443" i="9"/>
  <c r="C501" i="9" s="1"/>
  <c r="M494" i="9"/>
  <c r="F436" i="9"/>
  <c r="C494" i="9" s="1"/>
  <c r="E494" i="9" s="1"/>
  <c r="N436" i="9"/>
  <c r="M503" i="9"/>
  <c r="N445" i="9"/>
  <c r="F445" i="9"/>
  <c r="C503" i="9" s="1"/>
  <c r="M492" i="9"/>
  <c r="F434" i="9"/>
  <c r="C492" i="9" s="1"/>
  <c r="E492" i="9" s="1"/>
  <c r="N434" i="9"/>
  <c r="AZ495" i="2"/>
  <c r="M500" i="9"/>
  <c r="F442" i="9"/>
  <c r="C500" i="9" s="1"/>
  <c r="N442" i="9"/>
  <c r="M491" i="9"/>
  <c r="N433" i="9"/>
  <c r="F433" i="9"/>
  <c r="M497" i="9"/>
  <c r="F439" i="9"/>
  <c r="C497" i="9" s="1"/>
  <c r="N439" i="9"/>
  <c r="AZ500" i="2"/>
  <c r="M496" i="9"/>
  <c r="N438" i="9"/>
  <c r="F438" i="9"/>
  <c r="C496" i="9" s="1"/>
  <c r="M495" i="9"/>
  <c r="N437" i="9"/>
  <c r="F437" i="9"/>
  <c r="C495" i="9" s="1"/>
  <c r="M499" i="9"/>
  <c r="N441" i="9"/>
  <c r="F441" i="9"/>
  <c r="C499" i="9" s="1"/>
  <c r="AZ505" i="2"/>
  <c r="AZ502" i="2"/>
  <c r="AZ499" i="2"/>
  <c r="AZ496" i="2"/>
  <c r="M498" i="9"/>
  <c r="N440" i="9"/>
  <c r="F440" i="9"/>
  <c r="C498" i="9" s="1"/>
  <c r="M490" i="9"/>
  <c r="N432" i="9"/>
  <c r="F432" i="9"/>
  <c r="C490" i="9" s="1"/>
  <c r="E490" i="9" s="1"/>
  <c r="C521" i="2"/>
  <c r="M579" i="2" s="1"/>
  <c r="C522" i="2"/>
  <c r="AZ521" i="2"/>
  <c r="C514" i="2"/>
  <c r="J514" i="2" s="1"/>
  <c r="C515" i="2"/>
  <c r="J515" i="2" s="1"/>
  <c r="C516" i="2"/>
  <c r="J516" i="2" s="1"/>
  <c r="C517" i="2"/>
  <c r="J517" i="2" s="1"/>
  <c r="C518" i="2"/>
  <c r="J518" i="2" s="1"/>
  <c r="C519" i="2"/>
  <c r="J519" i="2" s="1"/>
  <c r="C520" i="2"/>
  <c r="J520" i="2" s="1"/>
  <c r="C493" i="2"/>
  <c r="J493" i="2" s="1"/>
  <c r="C494" i="2"/>
  <c r="J494" i="2" s="1"/>
  <c r="C495" i="2"/>
  <c r="J495" i="2" s="1"/>
  <c r="C496" i="2"/>
  <c r="J496" i="2" s="1"/>
  <c r="C497" i="2"/>
  <c r="J497" i="2" s="1"/>
  <c r="C498" i="2"/>
  <c r="J498" i="2" s="1"/>
  <c r="C499" i="2"/>
  <c r="J499" i="2" s="1"/>
  <c r="C500" i="2"/>
  <c r="J500" i="2" s="1"/>
  <c r="C501" i="2"/>
  <c r="J501" i="2" s="1"/>
  <c r="C502" i="2"/>
  <c r="J502" i="2" s="1"/>
  <c r="C503" i="2"/>
  <c r="J503" i="2" s="1"/>
  <c r="C504" i="2"/>
  <c r="J504" i="2" s="1"/>
  <c r="C505" i="2"/>
  <c r="J505" i="2" s="1"/>
  <c r="C506" i="2"/>
  <c r="J506" i="2" s="1"/>
  <c r="C507" i="2"/>
  <c r="J507" i="2" s="1"/>
  <c r="C508" i="2"/>
  <c r="J508" i="2" s="1"/>
  <c r="C509" i="2"/>
  <c r="J509" i="2" s="1"/>
  <c r="C510" i="2"/>
  <c r="J510" i="2" s="1"/>
  <c r="C511" i="2"/>
  <c r="J511" i="2" s="1"/>
  <c r="C512" i="2"/>
  <c r="J512" i="2" s="1"/>
  <c r="C513" i="2"/>
  <c r="J513" i="2" s="1"/>
  <c r="BV537" i="2"/>
  <c r="BZ536" i="2"/>
  <c r="BV540" i="2"/>
  <c r="BV538" i="2"/>
  <c r="BZ541" i="2"/>
  <c r="BZ539" i="2"/>
  <c r="BZ540" i="2"/>
  <c r="BV541" i="2"/>
  <c r="BZ493" i="2"/>
  <c r="BV494" i="2"/>
  <c r="BV493" i="2"/>
  <c r="BZ494" i="2"/>
  <c r="BZ497" i="2"/>
  <c r="BV498" i="2"/>
  <c r="BV496" i="2"/>
  <c r="BV497" i="2"/>
  <c r="BZ495" i="2"/>
  <c r="BV495" i="2"/>
  <c r="BV500" i="2"/>
  <c r="BZ499" i="2"/>
  <c r="BV501" i="2"/>
  <c r="BZ496" i="2"/>
  <c r="BV499" i="2"/>
  <c r="BV502" i="2"/>
  <c r="BV503" i="2"/>
  <c r="BZ501" i="2"/>
  <c r="BZ502" i="2"/>
  <c r="BZ504" i="2"/>
  <c r="BZ500" i="2"/>
  <c r="BZ498" i="2"/>
  <c r="BZ503" i="2"/>
  <c r="BV504" i="2"/>
  <c r="BZ505" i="2"/>
  <c r="BV506" i="2"/>
  <c r="BZ508" i="2"/>
  <c r="BV507" i="2"/>
  <c r="BZ507" i="2"/>
  <c r="BV508" i="2"/>
  <c r="BV505" i="2"/>
  <c r="BZ506" i="2"/>
  <c r="BZ509" i="2"/>
  <c r="BZ510" i="2"/>
  <c r="BV509" i="2"/>
  <c r="BV510" i="2"/>
  <c r="BV513" i="2"/>
  <c r="BZ511" i="2"/>
  <c r="BZ512" i="2"/>
  <c r="BZ513" i="2"/>
  <c r="BV515" i="2"/>
  <c r="BV512" i="2"/>
  <c r="BV511" i="2"/>
  <c r="BZ516" i="2"/>
  <c r="BV514" i="2"/>
  <c r="BV516" i="2"/>
  <c r="BZ515" i="2"/>
  <c r="BV518" i="2"/>
  <c r="BZ514" i="2"/>
  <c r="BZ518" i="2"/>
  <c r="BV519" i="2"/>
  <c r="BZ517" i="2"/>
  <c r="BZ522" i="2"/>
  <c r="BV520" i="2"/>
  <c r="BV517" i="2"/>
  <c r="BZ519" i="2"/>
  <c r="BZ521" i="2"/>
  <c r="BV521" i="2"/>
  <c r="BZ520" i="2"/>
  <c r="BV522" i="2"/>
  <c r="BV524" i="2"/>
  <c r="BZ523" i="2"/>
  <c r="BV523" i="2"/>
  <c r="BZ524" i="2"/>
  <c r="BZ525" i="2"/>
  <c r="BZ526" i="2"/>
  <c r="BV526" i="2"/>
  <c r="BV525" i="2"/>
  <c r="BZ527" i="2"/>
  <c r="BZ528" i="2"/>
  <c r="BV527" i="2"/>
  <c r="BZ529" i="2"/>
  <c r="BV530" i="2"/>
  <c r="BZ532" i="2"/>
  <c r="BZ533" i="2"/>
  <c r="BZ531" i="2"/>
  <c r="BZ530" i="2"/>
  <c r="BV528" i="2"/>
  <c r="BV531" i="2"/>
  <c r="BV533" i="2"/>
  <c r="BZ535" i="2"/>
  <c r="BV529" i="2"/>
  <c r="BZ534" i="2"/>
  <c r="BV534" i="2"/>
  <c r="BZ537" i="2"/>
  <c r="BV535" i="2"/>
  <c r="BV532" i="2"/>
  <c r="BV536" i="2"/>
  <c r="BZ538" i="2"/>
  <c r="BV539" i="2"/>
  <c r="BA505" i="2"/>
  <c r="BA502" i="2"/>
  <c r="BA510" i="2"/>
  <c r="BA501" i="2"/>
  <c r="BA512" i="2"/>
  <c r="BA511" i="2"/>
  <c r="BA515" i="2"/>
  <c r="BA517" i="2"/>
  <c r="F431" i="9"/>
  <c r="AZ492" i="2"/>
  <c r="BA492" i="2" s="1"/>
  <c r="BA494" i="2"/>
  <c r="BA498" i="2"/>
  <c r="BA504" i="2"/>
  <c r="BA493" i="2"/>
  <c r="BA520" i="2"/>
  <c r="BA506" i="2"/>
  <c r="BA516" i="2"/>
  <c r="BA508" i="2"/>
  <c r="BA507" i="2"/>
  <c r="BA519" i="2"/>
  <c r="BA514" i="2"/>
  <c r="BA518" i="2"/>
  <c r="BA513" i="2"/>
  <c r="BA500" i="2"/>
  <c r="BA499" i="2"/>
  <c r="BA503" i="2"/>
  <c r="BA495" i="2"/>
  <c r="BA497" i="2"/>
  <c r="BA509" i="2"/>
  <c r="BZ492" i="2"/>
  <c r="BV492" i="2"/>
  <c r="N41" i="3" a="1"/>
  <c r="N41" i="3" s="1"/>
  <c r="I41" i="3" s="1"/>
  <c r="G41" i="3" a="1"/>
  <c r="G41" i="3" s="1"/>
  <c r="K41" i="3" s="1"/>
  <c r="L41" i="3" s="1"/>
  <c r="BH477" i="2"/>
  <c r="BJ477" i="2" s="1"/>
  <c r="G40" i="3" a="1"/>
  <c r="G40" i="3" s="1"/>
  <c r="G33" i="3" a="1"/>
  <c r="G33" i="3" s="1"/>
  <c r="G34" i="3" a="1"/>
  <c r="G34" i="3" s="1"/>
  <c r="N33" i="3" a="1"/>
  <c r="N33" i="3" s="1"/>
  <c r="I33" i="3" s="1"/>
  <c r="N39" i="3" a="1"/>
  <c r="N39" i="3" s="1"/>
  <c r="I39" i="3" s="1"/>
  <c r="G39" i="3" a="1"/>
  <c r="G39" i="3" s="1"/>
  <c r="M489" i="9"/>
  <c r="J431" i="9"/>
  <c r="N431" i="9"/>
  <c r="P431" i="9" s="1"/>
  <c r="C492" i="2"/>
  <c r="AV492" i="2" s="1"/>
  <c r="AW492" i="2" s="1"/>
  <c r="L81" i="3"/>
  <c r="I83" i="3"/>
  <c r="I89" i="3"/>
  <c r="K37" i="3"/>
  <c r="L37" i="3" s="1"/>
  <c r="I35" i="3"/>
  <c r="I79" i="3"/>
  <c r="I95" i="3"/>
  <c r="I77" i="3"/>
  <c r="I65" i="3"/>
  <c r="I63" i="3"/>
  <c r="P436" i="9" l="1"/>
  <c r="R494" i="9"/>
  <c r="P434" i="9"/>
  <c r="AU431" i="2" s="1"/>
  <c r="R492" i="9"/>
  <c r="P433" i="9"/>
  <c r="Q433" i="9" s="1"/>
  <c r="R491" i="9"/>
  <c r="P435" i="9"/>
  <c r="AU432" i="2" s="1"/>
  <c r="AV432" i="2" s="1"/>
  <c r="R493" i="9"/>
  <c r="P432" i="9"/>
  <c r="R490" i="9"/>
  <c r="AJ492" i="2"/>
  <c r="AK492" i="2" s="1"/>
  <c r="C489" i="9"/>
  <c r="E489" i="9" s="1"/>
  <c r="AJ505" i="2"/>
  <c r="AK505" i="2" s="1"/>
  <c r="C502" i="9"/>
  <c r="AJ518" i="2"/>
  <c r="AK518" i="2" s="1"/>
  <c r="C515" i="9"/>
  <c r="AJ508" i="2"/>
  <c r="AK508" i="2" s="1"/>
  <c r="C505" i="9"/>
  <c r="AJ522" i="2"/>
  <c r="AK522" i="2" s="1"/>
  <c r="C519" i="9"/>
  <c r="AJ494" i="2"/>
  <c r="AK494" i="2" s="1"/>
  <c r="C491" i="9"/>
  <c r="E491" i="9" s="1"/>
  <c r="AM346" i="2"/>
  <c r="AY310" i="2"/>
  <c r="AU339" i="2"/>
  <c r="AY301" i="2"/>
  <c r="AY328" i="2"/>
  <c r="AU336" i="2"/>
  <c r="AU298" i="2"/>
  <c r="AU344" i="2"/>
  <c r="AY340" i="2"/>
  <c r="AU320" i="2"/>
  <c r="AY305" i="2"/>
  <c r="AU323" i="2"/>
  <c r="AU345" i="2"/>
  <c r="AY336" i="2"/>
  <c r="AY327" i="2"/>
  <c r="AY342" i="2"/>
  <c r="AU309" i="2"/>
  <c r="AU314" i="2"/>
  <c r="AY326" i="2"/>
  <c r="AY346" i="2"/>
  <c r="AY337" i="2"/>
  <c r="AU303" i="2"/>
  <c r="AU324" i="2"/>
  <c r="AU334" i="2"/>
  <c r="AY322" i="2"/>
  <c r="AU306" i="2"/>
  <c r="AY318" i="2"/>
  <c r="AY344" i="2"/>
  <c r="AY331" i="2"/>
  <c r="AY314" i="2"/>
  <c r="AY304" i="2"/>
  <c r="AU308" i="2"/>
  <c r="AY316" i="2"/>
  <c r="AY298" i="2"/>
  <c r="AI347" i="2"/>
  <c r="AI345" i="2"/>
  <c r="AM335" i="2"/>
  <c r="AQ316" i="2"/>
  <c r="AQ347" i="2"/>
  <c r="AI323" i="2"/>
  <c r="AI344" i="2"/>
  <c r="AI333" i="2"/>
  <c r="AM306" i="2"/>
  <c r="AQ299" i="2"/>
  <c r="AI311" i="2"/>
  <c r="AQ321" i="2"/>
  <c r="AM345" i="2"/>
  <c r="AM313" i="2"/>
  <c r="AQ308" i="2"/>
  <c r="AI317" i="2"/>
  <c r="AQ324" i="2"/>
  <c r="AM332" i="2"/>
  <c r="AQ341" i="2"/>
  <c r="AM339" i="2"/>
  <c r="AM319" i="2"/>
  <c r="AQ335" i="2"/>
  <c r="AM343" i="2"/>
  <c r="AM300" i="2"/>
  <c r="AQ303" i="2"/>
  <c r="AI314" i="2"/>
  <c r="AM327" i="2"/>
  <c r="AQ340" i="2"/>
  <c r="AM323" i="2"/>
  <c r="AM298" i="2"/>
  <c r="AM328" i="2"/>
  <c r="AI298" i="2"/>
  <c r="AQ310" i="2"/>
  <c r="AQ306" i="2"/>
  <c r="AI300" i="2"/>
  <c r="AI318" i="2"/>
  <c r="AM317" i="2"/>
  <c r="AM337" i="2"/>
  <c r="AQ309" i="2"/>
  <c r="AM303" i="2"/>
  <c r="AM321" i="2"/>
  <c r="AI329" i="2"/>
  <c r="AI340" i="2"/>
  <c r="AI322" i="2"/>
  <c r="AQ339" i="2"/>
  <c r="AI332" i="2"/>
  <c r="AM302" i="2"/>
  <c r="AM342" i="2"/>
  <c r="AM312" i="2"/>
  <c r="AQ312" i="2"/>
  <c r="AI338" i="2"/>
  <c r="AM308" i="2"/>
  <c r="AQ302" i="2"/>
  <c r="AM314" i="2"/>
  <c r="AQ319" i="2"/>
  <c r="AI325" i="2"/>
  <c r="AQ334" i="2"/>
  <c r="AQ330" i="2"/>
  <c r="AM344" i="2"/>
  <c r="AQ322" i="2"/>
  <c r="AI335" i="2"/>
  <c r="AM338" i="2"/>
  <c r="AI316" i="2"/>
  <c r="AQ345" i="2"/>
  <c r="AI330" i="2"/>
  <c r="AQ314" i="2"/>
  <c r="AQ315" i="2"/>
  <c r="AM333" i="2"/>
  <c r="AM336" i="2"/>
  <c r="AM316" i="2"/>
  <c r="AM320" i="2"/>
  <c r="AQ343" i="2"/>
  <c r="AI334" i="2"/>
  <c r="AM329" i="2"/>
  <c r="AI306" i="2"/>
  <c r="AI319" i="2"/>
  <c r="AI315" i="2"/>
  <c r="AI302" i="2"/>
  <c r="AI309" i="2"/>
  <c r="AI321" i="2"/>
  <c r="AM322" i="2"/>
  <c r="AQ332" i="2"/>
  <c r="AM330" i="2"/>
  <c r="AQ344" i="2"/>
  <c r="AM341" i="2"/>
  <c r="AM309" i="2"/>
  <c r="AQ304" i="2"/>
  <c r="AM334" i="2"/>
  <c r="AI301" i="2"/>
  <c r="AI342" i="2"/>
  <c r="AI307" i="2"/>
  <c r="AQ311" i="2"/>
  <c r="AI320" i="2"/>
  <c r="AQ327" i="2"/>
  <c r="AQ331" i="2"/>
  <c r="AI305" i="2"/>
  <c r="AM325" i="2"/>
  <c r="AI303" i="2"/>
  <c r="AI328" i="2"/>
  <c r="AI304" i="2"/>
  <c r="AQ320" i="2"/>
  <c r="AQ301" i="2"/>
  <c r="AI310" i="2"/>
  <c r="AQ325" i="2"/>
  <c r="AQ342" i="2"/>
  <c r="AI343" i="2"/>
  <c r="AQ329" i="2"/>
  <c r="AI337" i="2"/>
  <c r="AM304" i="2"/>
  <c r="AI326" i="2"/>
  <c r="AQ305" i="2"/>
  <c r="AQ333" i="2"/>
  <c r="AM310" i="2"/>
  <c r="AI313" i="2"/>
  <c r="AI331" i="2"/>
  <c r="AI339" i="2"/>
  <c r="AM311" i="2"/>
  <c r="AQ307" i="2"/>
  <c r="AM318" i="2"/>
  <c r="AQ328" i="2"/>
  <c r="AI327" i="2"/>
  <c r="AQ346" i="2"/>
  <c r="AM324" i="2"/>
  <c r="AQ337" i="2"/>
  <c r="AM331" i="2"/>
  <c r="AM299" i="2"/>
  <c r="AI341" i="2"/>
  <c r="AI308" i="2"/>
  <c r="AQ300" i="2"/>
  <c r="AQ323" i="2"/>
  <c r="AQ338" i="2"/>
  <c r="AQ317" i="2"/>
  <c r="AM301" i="2"/>
  <c r="AI336" i="2"/>
  <c r="AM305" i="2"/>
  <c r="AQ298" i="2"/>
  <c r="AI312" i="2"/>
  <c r="AQ313" i="2"/>
  <c r="AM326" i="2"/>
  <c r="AQ336" i="2"/>
  <c r="AI324" i="2"/>
  <c r="AM307" i="2"/>
  <c r="AM315" i="2"/>
  <c r="AM340" i="2"/>
  <c r="AQ326" i="2"/>
  <c r="AQ318" i="2"/>
  <c r="AI299" i="2"/>
  <c r="AM347" i="2"/>
  <c r="AY347" i="2"/>
  <c r="AU300" i="2"/>
  <c r="AU338" i="2"/>
  <c r="AY299" i="2"/>
  <c r="AY335" i="2"/>
  <c r="AY308" i="2"/>
  <c r="AU328" i="2"/>
  <c r="AY313" i="2"/>
  <c r="AU312" i="2"/>
  <c r="AY306" i="2"/>
  <c r="AU346" i="2"/>
  <c r="AY302" i="2"/>
  <c r="AU318" i="2"/>
  <c r="AU302" i="2"/>
  <c r="AI346" i="2"/>
  <c r="AU304" i="2"/>
  <c r="AU321" i="2"/>
  <c r="AY345" i="2"/>
  <c r="AU322" i="2"/>
  <c r="AY321" i="2"/>
  <c r="AY320" i="2"/>
  <c r="AY341" i="2"/>
  <c r="AY312" i="2"/>
  <c r="AU347" i="2"/>
  <c r="AY303" i="2"/>
  <c r="AU332" i="2"/>
  <c r="AU343" i="2"/>
  <c r="AU311" i="2"/>
  <c r="AY329" i="2"/>
  <c r="AU313" i="2"/>
  <c r="AU342" i="2"/>
  <c r="AU325" i="2"/>
  <c r="AU331" i="2"/>
  <c r="AU310" i="2"/>
  <c r="AY315" i="2"/>
  <c r="AU330" i="2"/>
  <c r="AU299" i="2"/>
  <c r="AY333" i="2"/>
  <c r="AU340" i="2"/>
  <c r="AU317" i="2"/>
  <c r="AY307" i="2"/>
  <c r="AU316" i="2"/>
  <c r="AY343" i="2"/>
  <c r="AY325" i="2"/>
  <c r="AY339" i="2"/>
  <c r="AY324" i="2"/>
  <c r="AU315" i="2"/>
  <c r="AY300" i="2"/>
  <c r="AU305" i="2"/>
  <c r="AU333" i="2"/>
  <c r="AU337" i="2"/>
  <c r="AY319" i="2"/>
  <c r="AY311" i="2"/>
  <c r="AY309" i="2"/>
  <c r="AU319" i="2"/>
  <c r="AU301" i="2"/>
  <c r="AY330" i="2"/>
  <c r="AU341" i="2"/>
  <c r="AY323" i="2"/>
  <c r="AU335" i="2"/>
  <c r="AY317" i="2"/>
  <c r="AY334" i="2"/>
  <c r="AU307" i="2"/>
  <c r="AU327" i="2"/>
  <c r="AY338" i="2"/>
  <c r="AU329" i="2"/>
  <c r="AY332" i="2"/>
  <c r="AG477" i="2"/>
  <c r="AH477" i="2" s="1"/>
  <c r="AI477" i="2" s="1"/>
  <c r="W477" i="2"/>
  <c r="AE476" i="2"/>
  <c r="W476" i="2"/>
  <c r="AE477" i="2"/>
  <c r="AF476" i="2"/>
  <c r="AF477" i="2"/>
  <c r="M521" i="2"/>
  <c r="AQ457" i="2" s="1"/>
  <c r="AR457" i="2" s="1"/>
  <c r="F531" i="9"/>
  <c r="BP534" i="2" s="1"/>
  <c r="H473" i="9"/>
  <c r="AJ534" i="2"/>
  <c r="AK534" i="2" s="1"/>
  <c r="F509" i="9"/>
  <c r="H451" i="9"/>
  <c r="F535" i="9"/>
  <c r="BP538" i="2" s="1"/>
  <c r="H477" i="9"/>
  <c r="AJ538" i="2"/>
  <c r="AK538" i="2" s="1"/>
  <c r="M599" i="2"/>
  <c r="M541" i="2"/>
  <c r="AV541" i="2"/>
  <c r="CB541" i="2"/>
  <c r="F541" i="2"/>
  <c r="C599" i="2" s="1"/>
  <c r="AU463" i="2"/>
  <c r="AV463" i="2" s="1"/>
  <c r="Q466" i="9"/>
  <c r="AH476" i="2"/>
  <c r="AI476" i="2" s="1"/>
  <c r="M592" i="2"/>
  <c r="M534" i="2"/>
  <c r="CB534" i="2"/>
  <c r="AV534" i="2"/>
  <c r="F534" i="2"/>
  <c r="C592" i="2" s="1"/>
  <c r="M584" i="2"/>
  <c r="CB526" i="2"/>
  <c r="AV526" i="2"/>
  <c r="M526" i="2"/>
  <c r="F526" i="2"/>
  <c r="C584" i="2" s="1"/>
  <c r="F512" i="9"/>
  <c r="H454" i="9"/>
  <c r="AU449" i="2"/>
  <c r="AV449" i="2" s="1"/>
  <c r="Q452" i="9"/>
  <c r="F528" i="9"/>
  <c r="BP531" i="2" s="1"/>
  <c r="H470" i="9"/>
  <c r="AJ531" i="2"/>
  <c r="AK531" i="2" s="1"/>
  <c r="AU460" i="2"/>
  <c r="AV460" i="2" s="1"/>
  <c r="Q463" i="9"/>
  <c r="AU461" i="2"/>
  <c r="AV461" i="2" s="1"/>
  <c r="Q464" i="9"/>
  <c r="F521" i="2"/>
  <c r="AU454" i="2"/>
  <c r="AV454" i="2" s="1"/>
  <c r="Q457" i="9"/>
  <c r="AU470" i="2"/>
  <c r="AV470" i="2" s="1"/>
  <c r="Q473" i="9"/>
  <c r="AU448" i="2"/>
  <c r="Q451" i="9"/>
  <c r="F511" i="9"/>
  <c r="H453" i="9"/>
  <c r="AU474" i="2"/>
  <c r="AV474" i="2" s="1"/>
  <c r="Q477" i="9"/>
  <c r="F508" i="9"/>
  <c r="H450" i="9"/>
  <c r="M591" i="2"/>
  <c r="CB533" i="2"/>
  <c r="AV533" i="2"/>
  <c r="M533" i="2"/>
  <c r="F533" i="2"/>
  <c r="C591" i="2" s="1"/>
  <c r="M583" i="2"/>
  <c r="M525" i="2"/>
  <c r="AV525" i="2"/>
  <c r="CB525" i="2"/>
  <c r="F525" i="2"/>
  <c r="C583" i="2" s="1"/>
  <c r="AU451" i="2"/>
  <c r="AV451" i="2" s="1"/>
  <c r="Q454" i="9"/>
  <c r="F533" i="9"/>
  <c r="BP536" i="2" s="1"/>
  <c r="H475" i="9"/>
  <c r="AJ536" i="2"/>
  <c r="AK536" i="2" s="1"/>
  <c r="F526" i="9"/>
  <c r="BP529" i="2" s="1"/>
  <c r="H468" i="9"/>
  <c r="AJ529" i="2"/>
  <c r="AK529" i="2" s="1"/>
  <c r="AU467" i="2"/>
  <c r="AV467" i="2" s="1"/>
  <c r="Q470" i="9"/>
  <c r="AU476" i="2"/>
  <c r="AV476" i="2" s="1"/>
  <c r="Q479" i="9"/>
  <c r="AU450" i="2"/>
  <c r="Q453" i="9"/>
  <c r="M598" i="2"/>
  <c r="CB540" i="2"/>
  <c r="M540" i="2"/>
  <c r="AV540" i="2"/>
  <c r="F540" i="2"/>
  <c r="C598" i="2" s="1"/>
  <c r="M582" i="2"/>
  <c r="AV524" i="2"/>
  <c r="M524" i="2"/>
  <c r="CB524" i="2"/>
  <c r="F524" i="2"/>
  <c r="C582" i="2" s="1"/>
  <c r="F518" i="9"/>
  <c r="BP521" i="2" s="1"/>
  <c r="H460" i="9"/>
  <c r="F534" i="9"/>
  <c r="BP537" i="2" s="1"/>
  <c r="H476" i="9"/>
  <c r="AJ537" i="2"/>
  <c r="AK537" i="2" s="1"/>
  <c r="F532" i="9"/>
  <c r="BP535" i="2" s="1"/>
  <c r="H474" i="9"/>
  <c r="AJ535" i="2"/>
  <c r="AK535" i="2" s="1"/>
  <c r="M589" i="2"/>
  <c r="AV531" i="2"/>
  <c r="CB531" i="2"/>
  <c r="M531" i="2"/>
  <c r="F531" i="2"/>
  <c r="C589" i="2" s="1"/>
  <c r="F536" i="9"/>
  <c r="BP539" i="2" s="1"/>
  <c r="H478" i="9"/>
  <c r="AJ539" i="2"/>
  <c r="AK539" i="2" s="1"/>
  <c r="AU472" i="2"/>
  <c r="AV472" i="2" s="1"/>
  <c r="Q475" i="9"/>
  <c r="F529" i="9"/>
  <c r="BP532" i="2" s="1"/>
  <c r="H471" i="9"/>
  <c r="AJ532" i="2"/>
  <c r="AK532" i="2" s="1"/>
  <c r="AU469" i="2"/>
  <c r="AV469" i="2" s="1"/>
  <c r="Q472" i="9"/>
  <c r="F523" i="9"/>
  <c r="BP526" i="2" s="1"/>
  <c r="H465" i="9"/>
  <c r="AJ526" i="2"/>
  <c r="AK526" i="2" s="1"/>
  <c r="F516" i="9"/>
  <c r="H458" i="9"/>
  <c r="AU475" i="2"/>
  <c r="AV475" i="2" s="1"/>
  <c r="Q478" i="9"/>
  <c r="AU468" i="2"/>
  <c r="AV468" i="2" s="1"/>
  <c r="Q471" i="9"/>
  <c r="AU462" i="2"/>
  <c r="AV462" i="2" s="1"/>
  <c r="Q465" i="9"/>
  <c r="AU466" i="2"/>
  <c r="AV466" i="2" s="1"/>
  <c r="Q469" i="9"/>
  <c r="AU455" i="2"/>
  <c r="Q458" i="9"/>
  <c r="AU471" i="2"/>
  <c r="AV471" i="2" s="1"/>
  <c r="Q474" i="9"/>
  <c r="M595" i="2"/>
  <c r="M537" i="2"/>
  <c r="AV537" i="2"/>
  <c r="CB537" i="2"/>
  <c r="F537" i="2"/>
  <c r="C595" i="2" s="1"/>
  <c r="M588" i="2"/>
  <c r="CB530" i="2"/>
  <c r="M530" i="2"/>
  <c r="AV530" i="2"/>
  <c r="F530" i="2"/>
  <c r="C588" i="2" s="1"/>
  <c r="AU456" i="2"/>
  <c r="AV456" i="2" s="1"/>
  <c r="Q459" i="9"/>
  <c r="F525" i="9"/>
  <c r="BP528" i="2" s="1"/>
  <c r="H467" i="9"/>
  <c r="AJ528" i="2"/>
  <c r="AK528" i="2" s="1"/>
  <c r="AU477" i="2"/>
  <c r="AV477" i="2" s="1"/>
  <c r="Q480" i="9"/>
  <c r="AU458" i="2"/>
  <c r="AV458" i="2" s="1"/>
  <c r="Q461" i="9"/>
  <c r="AU453" i="2"/>
  <c r="AV453" i="2" s="1"/>
  <c r="Q456" i="9"/>
  <c r="F515" i="9"/>
  <c r="H457" i="9"/>
  <c r="AU447" i="2"/>
  <c r="Q450" i="9"/>
  <c r="M590" i="2"/>
  <c r="AV532" i="2"/>
  <c r="M532" i="2"/>
  <c r="CB532" i="2"/>
  <c r="F532" i="2"/>
  <c r="C590" i="2" s="1"/>
  <c r="M597" i="2"/>
  <c r="CB539" i="2"/>
  <c r="M539" i="2"/>
  <c r="AV539" i="2"/>
  <c r="F539" i="2"/>
  <c r="C597" i="2" s="1"/>
  <c r="M581" i="2"/>
  <c r="M523" i="2"/>
  <c r="CB523" i="2"/>
  <c r="AV523" i="2"/>
  <c r="F523" i="2"/>
  <c r="C581" i="2" s="1"/>
  <c r="AU457" i="2"/>
  <c r="AV457" i="2" s="1"/>
  <c r="Q460" i="9"/>
  <c r="F513" i="9"/>
  <c r="H455" i="9"/>
  <c r="AJ516" i="2"/>
  <c r="AK516" i="2" s="1"/>
  <c r="AU473" i="2"/>
  <c r="AV473" i="2" s="1"/>
  <c r="Q476" i="9"/>
  <c r="F520" i="9"/>
  <c r="BP523" i="2" s="1"/>
  <c r="H462" i="9"/>
  <c r="AJ523" i="2"/>
  <c r="AK523" i="2" s="1"/>
  <c r="M596" i="2"/>
  <c r="AV538" i="2"/>
  <c r="CB538" i="2"/>
  <c r="M538" i="2"/>
  <c r="F538" i="2"/>
  <c r="C596" i="2" s="1"/>
  <c r="F517" i="9"/>
  <c r="H459" i="9"/>
  <c r="F514" i="9"/>
  <c r="H456" i="9"/>
  <c r="AU459" i="2"/>
  <c r="AV459" i="2" s="1"/>
  <c r="Q462" i="9"/>
  <c r="M594" i="2"/>
  <c r="M536" i="2"/>
  <c r="CB536" i="2"/>
  <c r="AV536" i="2"/>
  <c r="F536" i="2"/>
  <c r="C594" i="2" s="1"/>
  <c r="M586" i="2"/>
  <c r="AV528" i="2"/>
  <c r="CB528" i="2"/>
  <c r="M528" i="2"/>
  <c r="F528" i="2"/>
  <c r="C586" i="2" s="1"/>
  <c r="F538" i="9"/>
  <c r="BP541" i="2" s="1"/>
  <c r="H480" i="9"/>
  <c r="AJ541" i="2"/>
  <c r="AK541" i="2" s="1"/>
  <c r="F519" i="9"/>
  <c r="BP522" i="2" s="1"/>
  <c r="H461" i="9"/>
  <c r="F522" i="9"/>
  <c r="BP525" i="2" s="1"/>
  <c r="H464" i="9"/>
  <c r="AJ525" i="2"/>
  <c r="AK525" i="2" s="1"/>
  <c r="AU465" i="2"/>
  <c r="AV465" i="2" s="1"/>
  <c r="Q468" i="9"/>
  <c r="F530" i="9"/>
  <c r="BP533" i="2" s="1"/>
  <c r="H472" i="9"/>
  <c r="AJ533" i="2"/>
  <c r="AK533" i="2" s="1"/>
  <c r="F527" i="9"/>
  <c r="BP530" i="2" s="1"/>
  <c r="H469" i="9"/>
  <c r="AJ530" i="2"/>
  <c r="AK530" i="2" s="1"/>
  <c r="M587" i="2"/>
  <c r="M529" i="2"/>
  <c r="AV529" i="2"/>
  <c r="CB529" i="2"/>
  <c r="F529" i="2"/>
  <c r="C587" i="2" s="1"/>
  <c r="AU452" i="2"/>
  <c r="AV452" i="2" s="1"/>
  <c r="Q455" i="9"/>
  <c r="F524" i="9"/>
  <c r="BP527" i="2" s="1"/>
  <c r="H466" i="9"/>
  <c r="AJ527" i="2"/>
  <c r="AK527" i="2" s="1"/>
  <c r="M593" i="2"/>
  <c r="M535" i="2"/>
  <c r="CB535" i="2"/>
  <c r="AV535" i="2"/>
  <c r="F535" i="2"/>
  <c r="C593" i="2" s="1"/>
  <c r="M585" i="2"/>
  <c r="AV527" i="2"/>
  <c r="M527" i="2"/>
  <c r="CB527" i="2"/>
  <c r="F527" i="2"/>
  <c r="C585" i="2" s="1"/>
  <c r="V477" i="2"/>
  <c r="F510" i="9"/>
  <c r="H452" i="9"/>
  <c r="AU464" i="2"/>
  <c r="AV464" i="2" s="1"/>
  <c r="Q467" i="9"/>
  <c r="F521" i="9"/>
  <c r="BP524" i="2" s="1"/>
  <c r="H463" i="9"/>
  <c r="AJ524" i="2"/>
  <c r="AK524" i="2" s="1"/>
  <c r="F537" i="9"/>
  <c r="BP540" i="2" s="1"/>
  <c r="H479" i="9"/>
  <c r="AJ540" i="2"/>
  <c r="AK540" i="2" s="1"/>
  <c r="Q446" i="9"/>
  <c r="Q437" i="9"/>
  <c r="AU434" i="2"/>
  <c r="Q448" i="9"/>
  <c r="AU445" i="2"/>
  <c r="AV445" i="2" s="1"/>
  <c r="Q443" i="9"/>
  <c r="AU440" i="2"/>
  <c r="Q438" i="9"/>
  <c r="AU435" i="2"/>
  <c r="Q445" i="9"/>
  <c r="AU442" i="2"/>
  <c r="Q441" i="9"/>
  <c r="AU438" i="2"/>
  <c r="Q440" i="9"/>
  <c r="AU437" i="2"/>
  <c r="Q439" i="9"/>
  <c r="AU436" i="2"/>
  <c r="AV436" i="2" s="1"/>
  <c r="Q436" i="9"/>
  <c r="AU433" i="2"/>
  <c r="AV433" i="2" s="1"/>
  <c r="Q447" i="9"/>
  <c r="AU444" i="2"/>
  <c r="AV444" i="2" s="1"/>
  <c r="Q432" i="9"/>
  <c r="AU429" i="2"/>
  <c r="AV429" i="2" s="1"/>
  <c r="Q442" i="9"/>
  <c r="AU439" i="2"/>
  <c r="AV439" i="2" s="1"/>
  <c r="Q449" i="9"/>
  <c r="AU446" i="2"/>
  <c r="Q444" i="9"/>
  <c r="AU441" i="2"/>
  <c r="AV441" i="2" s="1"/>
  <c r="F506" i="9"/>
  <c r="H448" i="9"/>
  <c r="F507" i="9"/>
  <c r="H449" i="9"/>
  <c r="AJ509" i="2"/>
  <c r="AK509" i="2" s="1"/>
  <c r="F505" i="9"/>
  <c r="H447" i="9"/>
  <c r="F490" i="9"/>
  <c r="H432" i="9"/>
  <c r="F496" i="9"/>
  <c r="BP499" i="2" s="1"/>
  <c r="BQ499" i="2" s="1"/>
  <c r="H438" i="9"/>
  <c r="F498" i="9"/>
  <c r="H440" i="9"/>
  <c r="F500" i="9"/>
  <c r="H442" i="9"/>
  <c r="F503" i="9"/>
  <c r="H445" i="9"/>
  <c r="F495" i="9"/>
  <c r="H437" i="9"/>
  <c r="F497" i="9"/>
  <c r="H439" i="9"/>
  <c r="F494" i="9"/>
  <c r="H436" i="9"/>
  <c r="AJ497" i="2"/>
  <c r="AK497" i="2" s="1"/>
  <c r="F502" i="9"/>
  <c r="H444" i="9"/>
  <c r="F499" i="9"/>
  <c r="H441" i="9"/>
  <c r="F493" i="9"/>
  <c r="BP496" i="2" s="1"/>
  <c r="BQ496" i="2" s="1"/>
  <c r="H435" i="9"/>
  <c r="AJ493" i="2"/>
  <c r="AK493" i="2" s="1"/>
  <c r="AJ500" i="2"/>
  <c r="AK500" i="2" s="1"/>
  <c r="AJ496" i="2"/>
  <c r="AK496" i="2" s="1"/>
  <c r="F491" i="9"/>
  <c r="H433" i="9"/>
  <c r="F492" i="9"/>
  <c r="H434" i="9"/>
  <c r="F501" i="9"/>
  <c r="BP504" i="2" s="1"/>
  <c r="BQ504" i="2" s="1"/>
  <c r="H443" i="9"/>
  <c r="CB521" i="2"/>
  <c r="AV521" i="2"/>
  <c r="M580" i="2"/>
  <c r="M522" i="2"/>
  <c r="AQ458" i="2" s="1"/>
  <c r="AV522" i="2"/>
  <c r="CB522" i="2"/>
  <c r="F522" i="2"/>
  <c r="C580" i="2" s="1"/>
  <c r="AJ521" i="2"/>
  <c r="AK521" i="2" s="1"/>
  <c r="M577" i="2"/>
  <c r="O577" i="2" s="1"/>
  <c r="M519" i="2"/>
  <c r="F519" i="2"/>
  <c r="C577" i="2" s="1"/>
  <c r="M576" i="2"/>
  <c r="O576" i="2" s="1"/>
  <c r="M518" i="2"/>
  <c r="F518" i="2"/>
  <c r="C576" i="2" s="1"/>
  <c r="M575" i="2"/>
  <c r="O575" i="2" s="1"/>
  <c r="M517" i="2"/>
  <c r="F517" i="2"/>
  <c r="C575" i="2" s="1"/>
  <c r="M574" i="2"/>
  <c r="O574" i="2" s="1"/>
  <c r="M516" i="2"/>
  <c r="F516" i="2"/>
  <c r="C574" i="2" s="1"/>
  <c r="M573" i="2"/>
  <c r="O573" i="2" s="1"/>
  <c r="M515" i="2"/>
  <c r="F515" i="2"/>
  <c r="C573" i="2" s="1"/>
  <c r="M578" i="2"/>
  <c r="O578" i="2" s="1"/>
  <c r="M520" i="2"/>
  <c r="F520" i="2"/>
  <c r="C578" i="2" s="1"/>
  <c r="M572" i="2"/>
  <c r="O572" i="2" s="1"/>
  <c r="M514" i="2"/>
  <c r="F514" i="2"/>
  <c r="C572" i="2" s="1"/>
  <c r="M565" i="2"/>
  <c r="O565" i="2" s="1"/>
  <c r="M507" i="2"/>
  <c r="F507" i="2"/>
  <c r="C565" i="2" s="1"/>
  <c r="M557" i="2"/>
  <c r="O557" i="2" s="1"/>
  <c r="M499" i="2"/>
  <c r="F499" i="2"/>
  <c r="C557" i="2" s="1"/>
  <c r="M564" i="2"/>
  <c r="O564" i="2" s="1"/>
  <c r="M506" i="2"/>
  <c r="F506" i="2"/>
  <c r="C564" i="2" s="1"/>
  <c r="M556" i="2"/>
  <c r="O556" i="2" s="1"/>
  <c r="M498" i="2"/>
  <c r="F498" i="2"/>
  <c r="C556" i="2" s="1"/>
  <c r="M571" i="2"/>
  <c r="O571" i="2" s="1"/>
  <c r="M513" i="2"/>
  <c r="F513" i="2"/>
  <c r="C571" i="2" s="1"/>
  <c r="M563" i="2"/>
  <c r="O563" i="2" s="1"/>
  <c r="M505" i="2"/>
  <c r="F505" i="2"/>
  <c r="C563" i="2" s="1"/>
  <c r="M555" i="2"/>
  <c r="O555" i="2" s="1"/>
  <c r="M497" i="2"/>
  <c r="N497" i="2" s="1"/>
  <c r="F497" i="2"/>
  <c r="C555" i="2" s="1"/>
  <c r="E555" i="2" s="1"/>
  <c r="M570" i="2"/>
  <c r="O570" i="2" s="1"/>
  <c r="F512" i="2"/>
  <c r="C570" i="2" s="1"/>
  <c r="M512" i="2"/>
  <c r="M562" i="2"/>
  <c r="O562" i="2" s="1"/>
  <c r="M504" i="2"/>
  <c r="F504" i="2"/>
  <c r="C562" i="2" s="1"/>
  <c r="M554" i="2"/>
  <c r="O554" i="2" s="1"/>
  <c r="F496" i="2"/>
  <c r="C554" i="2" s="1"/>
  <c r="E554" i="2" s="1"/>
  <c r="M496" i="2"/>
  <c r="N496" i="2" s="1"/>
  <c r="M569" i="2"/>
  <c r="O569" i="2" s="1"/>
  <c r="M511" i="2"/>
  <c r="F511" i="2"/>
  <c r="C569" i="2" s="1"/>
  <c r="M561" i="2"/>
  <c r="O561" i="2" s="1"/>
  <c r="M503" i="2"/>
  <c r="F503" i="2"/>
  <c r="C561" i="2" s="1"/>
  <c r="M553" i="2"/>
  <c r="O553" i="2" s="1"/>
  <c r="M495" i="2"/>
  <c r="N495" i="2" s="1"/>
  <c r="F495" i="2"/>
  <c r="C553" i="2" s="1"/>
  <c r="E553" i="2" s="1"/>
  <c r="M558" i="2"/>
  <c r="O558" i="2" s="1"/>
  <c r="M500" i="2"/>
  <c r="F500" i="2"/>
  <c r="C558" i="2" s="1"/>
  <c r="M568" i="2"/>
  <c r="O568" i="2" s="1"/>
  <c r="M510" i="2"/>
  <c r="F510" i="2"/>
  <c r="C568" i="2" s="1"/>
  <c r="M560" i="2"/>
  <c r="O560" i="2" s="1"/>
  <c r="M502" i="2"/>
  <c r="F502" i="2"/>
  <c r="C560" i="2" s="1"/>
  <c r="M552" i="2"/>
  <c r="O552" i="2" s="1"/>
  <c r="M494" i="2"/>
  <c r="N494" i="2" s="1"/>
  <c r="F494" i="2"/>
  <c r="C552" i="2" s="1"/>
  <c r="E552" i="2" s="1"/>
  <c r="M566" i="2"/>
  <c r="O566" i="2" s="1"/>
  <c r="F508" i="2"/>
  <c r="C566" i="2" s="1"/>
  <c r="M508" i="2"/>
  <c r="M567" i="2"/>
  <c r="O567" i="2" s="1"/>
  <c r="M509" i="2"/>
  <c r="F509" i="2"/>
  <c r="C567" i="2" s="1"/>
  <c r="M559" i="2"/>
  <c r="O559" i="2" s="1"/>
  <c r="M501" i="2"/>
  <c r="F501" i="2"/>
  <c r="C559" i="2" s="1"/>
  <c r="M551" i="2"/>
  <c r="O551" i="2" s="1"/>
  <c r="M493" i="2"/>
  <c r="N493" i="2" s="1"/>
  <c r="F493" i="2"/>
  <c r="C551" i="2" s="1"/>
  <c r="E551" i="2" s="1"/>
  <c r="AV506" i="2"/>
  <c r="AW506" i="2" s="1"/>
  <c r="CB506" i="2"/>
  <c r="CC506" i="2" s="1"/>
  <c r="CB496" i="2"/>
  <c r="CC496" i="2" s="1"/>
  <c r="AV496" i="2"/>
  <c r="AW496" i="2" s="1"/>
  <c r="AV497" i="2"/>
  <c r="AW497" i="2" s="1"/>
  <c r="CB497" i="2"/>
  <c r="CC497" i="2" s="1"/>
  <c r="CB494" i="2"/>
  <c r="CC494" i="2" s="1"/>
  <c r="AV494" i="2"/>
  <c r="AW494" i="2" s="1"/>
  <c r="CF495" i="2"/>
  <c r="CG495" i="2" s="1"/>
  <c r="CF507" i="2"/>
  <c r="CG507" i="2" s="1"/>
  <c r="CF494" i="2"/>
  <c r="CG494" i="2" s="1"/>
  <c r="CF502" i="2"/>
  <c r="CG502" i="2" s="1"/>
  <c r="AV514" i="2"/>
  <c r="AW514" i="2" s="1"/>
  <c r="CB514" i="2"/>
  <c r="CC514" i="2" s="1"/>
  <c r="AV493" i="2"/>
  <c r="AW493" i="2" s="1"/>
  <c r="CB493" i="2"/>
  <c r="CC493" i="2" s="1"/>
  <c r="CF503" i="2"/>
  <c r="CG503" i="2" s="1"/>
  <c r="CF518" i="2"/>
  <c r="CG518" i="2" s="1"/>
  <c r="CF508" i="2"/>
  <c r="CG508" i="2" s="1"/>
  <c r="CF493" i="2"/>
  <c r="CG493" i="2" s="1"/>
  <c r="CF512" i="2"/>
  <c r="CG512" i="2" s="1"/>
  <c r="CF505" i="2"/>
  <c r="CG505" i="2" s="1"/>
  <c r="AV519" i="2"/>
  <c r="AW519" i="2" s="1"/>
  <c r="CB519" i="2"/>
  <c r="CC519" i="2" s="1"/>
  <c r="CB505" i="2"/>
  <c r="CC505" i="2" s="1"/>
  <c r="AV505" i="2"/>
  <c r="AW505" i="2" s="1"/>
  <c r="AV501" i="2"/>
  <c r="AW501" i="2" s="1"/>
  <c r="CB501" i="2"/>
  <c r="CC501" i="2" s="1"/>
  <c r="AV500" i="2"/>
  <c r="AW500" i="2" s="1"/>
  <c r="CB500" i="2"/>
  <c r="CC500" i="2" s="1"/>
  <c r="O489" i="9"/>
  <c r="CF492" i="2"/>
  <c r="CG492" i="2" s="1"/>
  <c r="CF513" i="2"/>
  <c r="CG513" i="2" s="1"/>
  <c r="CF511" i="2"/>
  <c r="CG511" i="2" s="1"/>
  <c r="CB512" i="2"/>
  <c r="CC512" i="2" s="1"/>
  <c r="AV512" i="2"/>
  <c r="AW512" i="2" s="1"/>
  <c r="AV498" i="2"/>
  <c r="AW498" i="2" s="1"/>
  <c r="CB498" i="2"/>
  <c r="CC498" i="2" s="1"/>
  <c r="AV503" i="2"/>
  <c r="AW503" i="2" s="1"/>
  <c r="CB503" i="2"/>
  <c r="CC503" i="2" s="1"/>
  <c r="AV495" i="2"/>
  <c r="AW495" i="2" s="1"/>
  <c r="CB495" i="2"/>
  <c r="CC495" i="2" s="1"/>
  <c r="CB502" i="2"/>
  <c r="CC502" i="2" s="1"/>
  <c r="AV502" i="2"/>
  <c r="AW502" i="2" s="1"/>
  <c r="AV516" i="2"/>
  <c r="AW516" i="2" s="1"/>
  <c r="CB516" i="2"/>
  <c r="CC516" i="2" s="1"/>
  <c r="CF509" i="2"/>
  <c r="CG509" i="2" s="1"/>
  <c r="CF499" i="2"/>
  <c r="CG499" i="2" s="1"/>
  <c r="CF514" i="2"/>
  <c r="CG514" i="2" s="1"/>
  <c r="CF516" i="2"/>
  <c r="CG516" i="2" s="1"/>
  <c r="CF504" i="2"/>
  <c r="CG504" i="2" s="1"/>
  <c r="CF517" i="2"/>
  <c r="CG517" i="2" s="1"/>
  <c r="CF501" i="2"/>
  <c r="CG501" i="2" s="1"/>
  <c r="AV499" i="2"/>
  <c r="AW499" i="2" s="1"/>
  <c r="CB499" i="2"/>
  <c r="CC499" i="2" s="1"/>
  <c r="CF520" i="2"/>
  <c r="CG520" i="2" s="1"/>
  <c r="AV517" i="2"/>
  <c r="AW517" i="2" s="1"/>
  <c r="CB517" i="2"/>
  <c r="CC517" i="2" s="1"/>
  <c r="CB520" i="2"/>
  <c r="CC520" i="2" s="1"/>
  <c r="AV520" i="2"/>
  <c r="AW520" i="2" s="1"/>
  <c r="CB518" i="2"/>
  <c r="CC518" i="2" s="1"/>
  <c r="AV518" i="2"/>
  <c r="AW518" i="2" s="1"/>
  <c r="CB510" i="2"/>
  <c r="CC510" i="2" s="1"/>
  <c r="AV510" i="2"/>
  <c r="AW510" i="2" s="1"/>
  <c r="AV511" i="2"/>
  <c r="AW511" i="2" s="1"/>
  <c r="CB511" i="2"/>
  <c r="CC511" i="2" s="1"/>
  <c r="CB507" i="2"/>
  <c r="CC507" i="2" s="1"/>
  <c r="AV507" i="2"/>
  <c r="AW507" i="2" s="1"/>
  <c r="AV513" i="2"/>
  <c r="AW513" i="2" s="1"/>
  <c r="CB513" i="2"/>
  <c r="CC513" i="2" s="1"/>
  <c r="CB504" i="2"/>
  <c r="CC504" i="2" s="1"/>
  <c r="AV504" i="2"/>
  <c r="AW504" i="2" s="1"/>
  <c r="AV509" i="2"/>
  <c r="AW509" i="2" s="1"/>
  <c r="CB509" i="2"/>
  <c r="CC509" i="2" s="1"/>
  <c r="AV508" i="2"/>
  <c r="AW508" i="2" s="1"/>
  <c r="CB508" i="2"/>
  <c r="CC508" i="2" s="1"/>
  <c r="AV515" i="2"/>
  <c r="AW515" i="2" s="1"/>
  <c r="CB515" i="2"/>
  <c r="CC515" i="2" s="1"/>
  <c r="CF497" i="2"/>
  <c r="CG497" i="2" s="1"/>
  <c r="CF500" i="2"/>
  <c r="CG500" i="2" s="1"/>
  <c r="CF519" i="2"/>
  <c r="CG519" i="2" s="1"/>
  <c r="CF506" i="2"/>
  <c r="CG506" i="2" s="1"/>
  <c r="CF498" i="2"/>
  <c r="CG498" i="2" s="1"/>
  <c r="CF515" i="2"/>
  <c r="CG515" i="2" s="1"/>
  <c r="CF510" i="2"/>
  <c r="CG510" i="2" s="1"/>
  <c r="N53" i="3" a="1"/>
  <c r="N53" i="3" s="1"/>
  <c r="I53" i="3" s="1"/>
  <c r="G54" i="3" a="1"/>
  <c r="G54" i="3" s="1"/>
  <c r="G53" i="3" a="1"/>
  <c r="G53" i="3" s="1"/>
  <c r="BL433" i="2"/>
  <c r="AJ510" i="2"/>
  <c r="AK510" i="2" s="1"/>
  <c r="AJ498" i="2"/>
  <c r="AK498" i="2" s="1"/>
  <c r="AJ506" i="2"/>
  <c r="AK506" i="2" s="1"/>
  <c r="AJ513" i="2"/>
  <c r="AK513" i="2" s="1"/>
  <c r="AJ519" i="2"/>
  <c r="AK519" i="2" s="1"/>
  <c r="AJ512" i="2"/>
  <c r="AK512" i="2" s="1"/>
  <c r="AJ515" i="2"/>
  <c r="AK515" i="2" s="1"/>
  <c r="AJ499" i="2"/>
  <c r="AK499" i="2" s="1"/>
  <c r="AJ507" i="2"/>
  <c r="AK507" i="2" s="1"/>
  <c r="AJ502" i="2"/>
  <c r="AK502" i="2" s="1"/>
  <c r="AJ501" i="2"/>
  <c r="AK501" i="2" s="1"/>
  <c r="BL454" i="2"/>
  <c r="AJ504" i="2"/>
  <c r="AK504" i="2" s="1"/>
  <c r="AJ514" i="2"/>
  <c r="AK514" i="2" s="1"/>
  <c r="AJ517" i="2"/>
  <c r="AK517" i="2" s="1"/>
  <c r="AJ495" i="2"/>
  <c r="AK495" i="2" s="1"/>
  <c r="AJ511" i="2"/>
  <c r="AK511" i="2" s="1"/>
  <c r="AJ503" i="2"/>
  <c r="AK503" i="2" s="1"/>
  <c r="AJ520" i="2"/>
  <c r="AK520" i="2" s="1"/>
  <c r="BL456" i="2"/>
  <c r="N43" i="3" a="1"/>
  <c r="N43" i="3" s="1"/>
  <c r="I43" i="3" s="1"/>
  <c r="G43" i="3" a="1"/>
  <c r="G43" i="3" s="1"/>
  <c r="G44" i="3" a="1"/>
  <c r="G44" i="3" s="1"/>
  <c r="AV443" i="2"/>
  <c r="BL439" i="2"/>
  <c r="BL436" i="2"/>
  <c r="BL449" i="2"/>
  <c r="BL429" i="2"/>
  <c r="BL435" i="2"/>
  <c r="BL440" i="2"/>
  <c r="BL450" i="2"/>
  <c r="F489" i="9"/>
  <c r="H431" i="9"/>
  <c r="I47" i="3"/>
  <c r="J492" i="2"/>
  <c r="F492" i="2"/>
  <c r="C550" i="2" s="1"/>
  <c r="E550" i="2" s="1"/>
  <c r="M492" i="2"/>
  <c r="N492" i="2" s="1"/>
  <c r="CB492" i="2"/>
  <c r="CC492" i="2" s="1"/>
  <c r="M550" i="2"/>
  <c r="O550" i="2" s="1"/>
  <c r="K83" i="3"/>
  <c r="L83" i="3" s="1"/>
  <c r="K95" i="3"/>
  <c r="L95" i="3" s="1"/>
  <c r="I93" i="3"/>
  <c r="K77" i="3"/>
  <c r="L77" i="3" s="1"/>
  <c r="K79" i="3"/>
  <c r="L79" i="3" s="1"/>
  <c r="I87" i="3"/>
  <c r="K33" i="3"/>
  <c r="L33" i="3" s="1"/>
  <c r="K35" i="3"/>
  <c r="L35" i="3" s="1"/>
  <c r="K89" i="3"/>
  <c r="L89" i="3" s="1"/>
  <c r="K65" i="3"/>
  <c r="L65" i="3" s="1"/>
  <c r="K63" i="3"/>
  <c r="L63" i="3" s="1"/>
  <c r="I71" i="3"/>
  <c r="I69" i="3"/>
  <c r="AN428" i="2" l="1"/>
  <c r="Q434" i="9"/>
  <c r="AQ428" i="2"/>
  <c r="AR428" i="2" s="1"/>
  <c r="O493" i="2"/>
  <c r="R551" i="2"/>
  <c r="AQ433" i="2"/>
  <c r="AR433" i="2" s="1"/>
  <c r="R555" i="2"/>
  <c r="BL432" i="2"/>
  <c r="Q435" i="9"/>
  <c r="O496" i="2"/>
  <c r="R554" i="2"/>
  <c r="BL430" i="2"/>
  <c r="BM430" i="2" s="1"/>
  <c r="AU430" i="2"/>
  <c r="AV430" i="2" s="1"/>
  <c r="R553" i="2"/>
  <c r="AQ430" i="2"/>
  <c r="R552" i="2"/>
  <c r="H521" i="2"/>
  <c r="C579" i="2"/>
  <c r="BD521" i="2" s="1"/>
  <c r="BE521" i="2" s="1"/>
  <c r="AN431" i="2"/>
  <c r="AN430" i="2"/>
  <c r="AN432" i="2"/>
  <c r="N21" i="3" a="1"/>
  <c r="N21" i="3" s="1"/>
  <c r="I21" i="3" s="1"/>
  <c r="G22" i="3" a="1"/>
  <c r="G22" i="3" s="1"/>
  <c r="G21" i="3" a="1"/>
  <c r="G21" i="3" s="1"/>
  <c r="N19" i="3" a="1"/>
  <c r="N19" i="3" s="1"/>
  <c r="I19" i="3" s="1"/>
  <c r="G20" i="3" a="1"/>
  <c r="G20" i="3" s="1"/>
  <c r="G19" i="3" a="1"/>
  <c r="G19" i="3" s="1"/>
  <c r="BH515" i="2"/>
  <c r="BI515" i="2" s="1"/>
  <c r="AF521" i="2"/>
  <c r="AG521" i="2" s="1"/>
  <c r="BH522" i="2"/>
  <c r="BI522" i="2" s="1"/>
  <c r="BH516" i="2"/>
  <c r="BI516" i="2" s="1"/>
  <c r="AJ457" i="2"/>
  <c r="AJ465" i="2"/>
  <c r="AN477" i="2"/>
  <c r="BH520" i="2"/>
  <c r="BI520" i="2" s="1"/>
  <c r="AJ451" i="2"/>
  <c r="AJ434" i="2"/>
  <c r="BH518" i="2"/>
  <c r="BI518" i="2" s="1"/>
  <c r="O521" i="2"/>
  <c r="F585" i="2"/>
  <c r="BL527" i="2" s="1"/>
  <c r="AF527" i="2"/>
  <c r="AG527" i="2" s="1"/>
  <c r="H527" i="2"/>
  <c r="AQ471" i="2"/>
  <c r="AR471" i="2" s="1"/>
  <c r="AW471" i="2" s="1"/>
  <c r="O535" i="2"/>
  <c r="AJ438" i="2"/>
  <c r="AJ462" i="2"/>
  <c r="AJ460" i="2"/>
  <c r="BH532" i="2"/>
  <c r="BI532" i="2" s="1"/>
  <c r="AQ476" i="2"/>
  <c r="AR476" i="2" s="1"/>
  <c r="AW476" i="2" s="1"/>
  <c r="O540" i="2"/>
  <c r="F591" i="2"/>
  <c r="BL533" i="2" s="1"/>
  <c r="AF533" i="2"/>
  <c r="AG533" i="2" s="1"/>
  <c r="H533" i="2"/>
  <c r="AJ452" i="2"/>
  <c r="BH531" i="2"/>
  <c r="BI531" i="2" s="1"/>
  <c r="F584" i="2"/>
  <c r="BL526" i="2" s="1"/>
  <c r="H526" i="2"/>
  <c r="AF526" i="2"/>
  <c r="AG526" i="2" s="1"/>
  <c r="AQ470" i="2"/>
  <c r="AR470" i="2" s="1"/>
  <c r="AW470" i="2" s="1"/>
  <c r="O534" i="2"/>
  <c r="BH496" i="2"/>
  <c r="BI496" i="2" s="1"/>
  <c r="AJ445" i="2"/>
  <c r="AJ435" i="2"/>
  <c r="F596" i="2"/>
  <c r="BL538" i="2" s="1"/>
  <c r="H538" i="2"/>
  <c r="AF538" i="2"/>
  <c r="AG538" i="2" s="1"/>
  <c r="AQ475" i="2"/>
  <c r="AR475" i="2" s="1"/>
  <c r="AW475" i="2" s="1"/>
  <c r="O539" i="2"/>
  <c r="AJ464" i="2"/>
  <c r="F589" i="2"/>
  <c r="BL531" i="2" s="1"/>
  <c r="H531" i="2"/>
  <c r="AF531" i="2"/>
  <c r="AG531" i="2" s="1"/>
  <c r="F582" i="2"/>
  <c r="BL524" i="2" s="1"/>
  <c r="AF524" i="2"/>
  <c r="AG524" i="2" s="1"/>
  <c r="H524" i="2"/>
  <c r="AQ469" i="2"/>
  <c r="AR469" i="2" s="1"/>
  <c r="AW469" i="2" s="1"/>
  <c r="O533" i="2"/>
  <c r="AJ454" i="2"/>
  <c r="AQ462" i="2"/>
  <c r="AR462" i="2" s="1"/>
  <c r="AW462" i="2" s="1"/>
  <c r="O526" i="2"/>
  <c r="AQ477" i="2"/>
  <c r="AR477" i="2" s="1"/>
  <c r="AW477" i="2" s="1"/>
  <c r="O541" i="2"/>
  <c r="BH540" i="2"/>
  <c r="BI540" i="2" s="1"/>
  <c r="F581" i="2"/>
  <c r="BL523" i="2" s="1"/>
  <c r="H523" i="2"/>
  <c r="AF523" i="2"/>
  <c r="AG523" i="2" s="1"/>
  <c r="F588" i="2"/>
  <c r="BL530" i="2" s="1"/>
  <c r="H530" i="2"/>
  <c r="AF530" i="2"/>
  <c r="AG530" i="2" s="1"/>
  <c r="BH526" i="2"/>
  <c r="BI526" i="2" s="1"/>
  <c r="AJ467" i="2"/>
  <c r="BH537" i="2"/>
  <c r="BI537" i="2" s="1"/>
  <c r="BH534" i="2"/>
  <c r="BI534" i="2" s="1"/>
  <c r="F590" i="2"/>
  <c r="BL532" i="2" s="1"/>
  <c r="H532" i="2"/>
  <c r="AF532" i="2"/>
  <c r="AG532" i="2" s="1"/>
  <c r="F579" i="2"/>
  <c r="BL521" i="2" s="1"/>
  <c r="F593" i="2"/>
  <c r="BL535" i="2" s="1"/>
  <c r="H535" i="2"/>
  <c r="AF535" i="2"/>
  <c r="AG535" i="2" s="1"/>
  <c r="AJ473" i="2"/>
  <c r="BH533" i="2"/>
  <c r="BI533" i="2" s="1"/>
  <c r="F586" i="2"/>
  <c r="BL528" i="2" s="1"/>
  <c r="AF528" i="2"/>
  <c r="AG528" i="2" s="1"/>
  <c r="H528" i="2"/>
  <c r="AQ472" i="2"/>
  <c r="AR472" i="2" s="1"/>
  <c r="AW472" i="2" s="1"/>
  <c r="O536" i="2"/>
  <c r="AQ459" i="2"/>
  <c r="AR459" i="2" s="1"/>
  <c r="AW459" i="2" s="1"/>
  <c r="O523" i="2"/>
  <c r="BH528" i="2"/>
  <c r="BI528" i="2" s="1"/>
  <c r="AJ429" i="2"/>
  <c r="AJ430" i="2"/>
  <c r="F592" i="2"/>
  <c r="BL534" i="2" s="1"/>
  <c r="H534" i="2"/>
  <c r="AF534" i="2"/>
  <c r="AG534" i="2" s="1"/>
  <c r="BH530" i="2"/>
  <c r="BI530" i="2" s="1"/>
  <c r="BH541" i="2"/>
  <c r="BI541" i="2" s="1"/>
  <c r="F594" i="2"/>
  <c r="BL536" i="2" s="1"/>
  <c r="H536" i="2"/>
  <c r="AF536" i="2"/>
  <c r="AG536" i="2" s="1"/>
  <c r="F587" i="2"/>
  <c r="BL529" i="2" s="1"/>
  <c r="H529" i="2"/>
  <c r="AF529" i="2"/>
  <c r="AG529" i="2" s="1"/>
  <c r="AJ475" i="2"/>
  <c r="AJ472" i="2"/>
  <c r="AJ471" i="2"/>
  <c r="BH524" i="2"/>
  <c r="BI524" i="2" s="1"/>
  <c r="AJ474" i="2"/>
  <c r="AJ436" i="2"/>
  <c r="AQ465" i="2"/>
  <c r="AR465" i="2" s="1"/>
  <c r="AW465" i="2" s="1"/>
  <c r="O529" i="2"/>
  <c r="AQ464" i="2"/>
  <c r="AR464" i="2" s="1"/>
  <c r="AW464" i="2" s="1"/>
  <c r="O528" i="2"/>
  <c r="AQ468" i="2"/>
  <c r="AR468" i="2" s="1"/>
  <c r="AW468" i="2" s="1"/>
  <c r="O532" i="2"/>
  <c r="AJ442" i="2"/>
  <c r="BH539" i="2"/>
  <c r="BI539" i="2" s="1"/>
  <c r="F598" i="2"/>
  <c r="BL540" i="2" s="1"/>
  <c r="H540" i="2"/>
  <c r="AF540" i="2"/>
  <c r="AG540" i="2" s="1"/>
  <c r="BH536" i="2"/>
  <c r="BI536" i="2" s="1"/>
  <c r="AQ461" i="2"/>
  <c r="AR461" i="2" s="1"/>
  <c r="AW461" i="2" s="1"/>
  <c r="O525" i="2"/>
  <c r="F599" i="2"/>
  <c r="BL541" i="2" s="1"/>
  <c r="H541" i="2"/>
  <c r="AF541" i="2"/>
  <c r="AG541" i="2" s="1"/>
  <c r="AQ463" i="2"/>
  <c r="AR463" i="2" s="1"/>
  <c r="AW463" i="2" s="1"/>
  <c r="O527" i="2"/>
  <c r="AQ474" i="2"/>
  <c r="AR474" i="2" s="1"/>
  <c r="AW474" i="2" s="1"/>
  <c r="O538" i="2"/>
  <c r="AQ473" i="2"/>
  <c r="AR473" i="2" s="1"/>
  <c r="AW473" i="2" s="1"/>
  <c r="O537" i="2"/>
  <c r="AQ467" i="2"/>
  <c r="AR467" i="2" s="1"/>
  <c r="AW467" i="2" s="1"/>
  <c r="O531" i="2"/>
  <c r="BH529" i="2"/>
  <c r="BI529" i="2" s="1"/>
  <c r="AN476" i="2"/>
  <c r="AJ441" i="2"/>
  <c r="AJ458" i="2"/>
  <c r="AJ443" i="2"/>
  <c r="AJ468" i="2"/>
  <c r="AJ476" i="2"/>
  <c r="AJ432" i="2"/>
  <c r="AJ440" i="2"/>
  <c r="AJ459" i="2"/>
  <c r="AJ463" i="2"/>
  <c r="AJ437" i="2"/>
  <c r="AJ456" i="2"/>
  <c r="AJ447" i="2"/>
  <c r="AJ466" i="2"/>
  <c r="AJ433" i="2"/>
  <c r="AJ450" i="2"/>
  <c r="AJ470" i="2"/>
  <c r="AJ453" i="2"/>
  <c r="AJ431" i="2"/>
  <c r="AJ439" i="2"/>
  <c r="AJ446" i="2"/>
  <c r="AJ455" i="2"/>
  <c r="AJ461" i="2"/>
  <c r="AJ469" i="2"/>
  <c r="BH527" i="2"/>
  <c r="BI527" i="2" s="1"/>
  <c r="BH525" i="2"/>
  <c r="BI525" i="2" s="1"/>
  <c r="AQ460" i="2"/>
  <c r="AR460" i="2" s="1"/>
  <c r="AW460" i="2" s="1"/>
  <c r="O524" i="2"/>
  <c r="F583" i="2"/>
  <c r="BL525" i="2" s="1"/>
  <c r="AF525" i="2"/>
  <c r="AG525" i="2" s="1"/>
  <c r="H525" i="2"/>
  <c r="AQ466" i="2"/>
  <c r="AR466" i="2" s="1"/>
  <c r="AW466" i="2" s="1"/>
  <c r="O530" i="2"/>
  <c r="BH538" i="2"/>
  <c r="BI538" i="2" s="1"/>
  <c r="AJ428" i="2"/>
  <c r="AJ449" i="2"/>
  <c r="BH523" i="2"/>
  <c r="BI523" i="2" s="1"/>
  <c r="F597" i="2"/>
  <c r="BL539" i="2" s="1"/>
  <c r="H539" i="2"/>
  <c r="AF539" i="2"/>
  <c r="AG539" i="2" s="1"/>
  <c r="F595" i="2"/>
  <c r="BL537" i="2" s="1"/>
  <c r="H537" i="2"/>
  <c r="AF537" i="2"/>
  <c r="AG537" i="2" s="1"/>
  <c r="AJ448" i="2"/>
  <c r="BH535" i="2"/>
  <c r="BI535" i="2" s="1"/>
  <c r="AJ444" i="2"/>
  <c r="AJ477" i="2"/>
  <c r="O509" i="2"/>
  <c r="AQ445" i="2"/>
  <c r="O511" i="2"/>
  <c r="AQ447" i="2"/>
  <c r="O512" i="2"/>
  <c r="AQ448" i="2"/>
  <c r="O506" i="2"/>
  <c r="AQ442" i="2"/>
  <c r="AR442" i="2" s="1"/>
  <c r="O518" i="2"/>
  <c r="AQ454" i="2"/>
  <c r="AR454" i="2" s="1"/>
  <c r="O502" i="2"/>
  <c r="AQ438" i="2"/>
  <c r="O514" i="2"/>
  <c r="AQ450" i="2"/>
  <c r="AR450" i="2" s="1"/>
  <c r="AQ429" i="2"/>
  <c r="O508" i="2"/>
  <c r="AQ444" i="2"/>
  <c r="O495" i="2"/>
  <c r="AQ431" i="2"/>
  <c r="O513" i="2"/>
  <c r="AQ449" i="2"/>
  <c r="AR449" i="2" s="1"/>
  <c r="O516" i="2"/>
  <c r="AQ452" i="2"/>
  <c r="O499" i="2"/>
  <c r="AQ435" i="2"/>
  <c r="O510" i="2"/>
  <c r="AQ446" i="2"/>
  <c r="O497" i="2"/>
  <c r="O520" i="2"/>
  <c r="AQ456" i="2"/>
  <c r="O501" i="2"/>
  <c r="AQ437" i="2"/>
  <c r="O498" i="2"/>
  <c r="AQ434" i="2"/>
  <c r="O504" i="2"/>
  <c r="AQ440" i="2"/>
  <c r="O507" i="2"/>
  <c r="AQ443" i="2"/>
  <c r="O519" i="2"/>
  <c r="AQ455" i="2"/>
  <c r="O503" i="2"/>
  <c r="AQ439" i="2"/>
  <c r="O517" i="2"/>
  <c r="AQ453" i="2"/>
  <c r="O500" i="2"/>
  <c r="AQ436" i="2"/>
  <c r="O505" i="2"/>
  <c r="AQ441" i="2"/>
  <c r="O515" i="2"/>
  <c r="AQ451" i="2"/>
  <c r="BH503" i="2"/>
  <c r="BI503" i="2" s="1"/>
  <c r="BH497" i="2"/>
  <c r="BI497" i="2" s="1"/>
  <c r="O522" i="2"/>
  <c r="AR458" i="2"/>
  <c r="AW458" i="2" s="1"/>
  <c r="F580" i="2"/>
  <c r="BL522" i="2" s="1"/>
  <c r="H522" i="2"/>
  <c r="AF522" i="2"/>
  <c r="AG522" i="2" s="1"/>
  <c r="AW457" i="2"/>
  <c r="BH521" i="2"/>
  <c r="BI521" i="2" s="1"/>
  <c r="F573" i="2"/>
  <c r="I573" i="2" s="1"/>
  <c r="H515" i="2"/>
  <c r="F572" i="2"/>
  <c r="I572" i="2" s="1"/>
  <c r="H514" i="2"/>
  <c r="F574" i="2"/>
  <c r="I574" i="2" s="1"/>
  <c r="H516" i="2"/>
  <c r="H519" i="2"/>
  <c r="F577" i="2"/>
  <c r="I577" i="2" s="1"/>
  <c r="H520" i="2"/>
  <c r="F578" i="2"/>
  <c r="I578" i="2" s="1"/>
  <c r="F576" i="2"/>
  <c r="I576" i="2" s="1"/>
  <c r="H518" i="2"/>
  <c r="F575" i="2"/>
  <c r="I575" i="2" s="1"/>
  <c r="H517" i="2"/>
  <c r="F560" i="2"/>
  <c r="I560" i="2" s="1"/>
  <c r="H502" i="2"/>
  <c r="F557" i="2"/>
  <c r="I557" i="2" s="1"/>
  <c r="H499" i="2"/>
  <c r="H508" i="2"/>
  <c r="F566" i="2"/>
  <c r="I566" i="2" s="1"/>
  <c r="F568" i="2"/>
  <c r="I568" i="2" s="1"/>
  <c r="H510" i="2"/>
  <c r="F554" i="2"/>
  <c r="I554" i="2" s="1"/>
  <c r="H496" i="2"/>
  <c r="F555" i="2"/>
  <c r="I555" i="2" s="1"/>
  <c r="H497" i="2"/>
  <c r="F551" i="2"/>
  <c r="I551" i="2" s="1"/>
  <c r="H493" i="2"/>
  <c r="H495" i="2"/>
  <c r="F553" i="2"/>
  <c r="I553" i="2" s="1"/>
  <c r="F570" i="2"/>
  <c r="I570" i="2" s="1"/>
  <c r="H512" i="2"/>
  <c r="F559" i="2"/>
  <c r="I559" i="2" s="1"/>
  <c r="H501" i="2"/>
  <c r="H503" i="2"/>
  <c r="F561" i="2"/>
  <c r="I561" i="2" s="1"/>
  <c r="F556" i="2"/>
  <c r="I556" i="2" s="1"/>
  <c r="H498" i="2"/>
  <c r="F552" i="2"/>
  <c r="I552" i="2" s="1"/>
  <c r="H494" i="2"/>
  <c r="F562" i="2"/>
  <c r="I562" i="2" s="1"/>
  <c r="H504" i="2"/>
  <c r="F565" i="2"/>
  <c r="I565" i="2" s="1"/>
  <c r="H507" i="2"/>
  <c r="F571" i="2"/>
  <c r="I571" i="2" s="1"/>
  <c r="H513" i="2"/>
  <c r="F558" i="2"/>
  <c r="I558" i="2" s="1"/>
  <c r="H500" i="2"/>
  <c r="F563" i="2"/>
  <c r="I563" i="2" s="1"/>
  <c r="H505" i="2"/>
  <c r="F567" i="2"/>
  <c r="I567" i="2" s="1"/>
  <c r="H509" i="2"/>
  <c r="H511" i="2"/>
  <c r="F569" i="2"/>
  <c r="I569" i="2" s="1"/>
  <c r="F564" i="2"/>
  <c r="I564" i="2" s="1"/>
  <c r="H506" i="2"/>
  <c r="CH501" i="2"/>
  <c r="CH514" i="2"/>
  <c r="AX517" i="2"/>
  <c r="AX500" i="2"/>
  <c r="BB537" i="2"/>
  <c r="AX528" i="2"/>
  <c r="BB539" i="2"/>
  <c r="BB520" i="2"/>
  <c r="AX494" i="2"/>
  <c r="AX492" i="2"/>
  <c r="AX523" i="2"/>
  <c r="BB533" i="2"/>
  <c r="BB508" i="2"/>
  <c r="AX510" i="2"/>
  <c r="AX505" i="2"/>
  <c r="AX507" i="2"/>
  <c r="AX499" i="2"/>
  <c r="AX496" i="2"/>
  <c r="AX520" i="2"/>
  <c r="AX516" i="2"/>
  <c r="AX498" i="2"/>
  <c r="AX513" i="2"/>
  <c r="AX515" i="2"/>
  <c r="AX503" i="2"/>
  <c r="AX508" i="2"/>
  <c r="AX509" i="2"/>
  <c r="AX502" i="2"/>
  <c r="AX512" i="2"/>
  <c r="AX519" i="2"/>
  <c r="AX495" i="2"/>
  <c r="AX501" i="2"/>
  <c r="AX518" i="2"/>
  <c r="AX497" i="2"/>
  <c r="AX504" i="2"/>
  <c r="AX511" i="2"/>
  <c r="AX514" i="2"/>
  <c r="AX506" i="2"/>
  <c r="CD515" i="2"/>
  <c r="CD501" i="2"/>
  <c r="BB498" i="2"/>
  <c r="AX533" i="2"/>
  <c r="CH520" i="2"/>
  <c r="CD502" i="2"/>
  <c r="CH505" i="2"/>
  <c r="BB519" i="2"/>
  <c r="BB525" i="2"/>
  <c r="BB504" i="2"/>
  <c r="CH519" i="2"/>
  <c r="BB509" i="2"/>
  <c r="BB505" i="2"/>
  <c r="AX537" i="2"/>
  <c r="BB531" i="2"/>
  <c r="AX526" i="2"/>
  <c r="BB524" i="2"/>
  <c r="BB538" i="2"/>
  <c r="BB516" i="2"/>
  <c r="BB500" i="2"/>
  <c r="CD508" i="2"/>
  <c r="CD499" i="2"/>
  <c r="CH504" i="2"/>
  <c r="CH509" i="2"/>
  <c r="CD495" i="2"/>
  <c r="CH492" i="2"/>
  <c r="CH512" i="2"/>
  <c r="CH503" i="2"/>
  <c r="CH502" i="2"/>
  <c r="CH538" i="2"/>
  <c r="CH522" i="2"/>
  <c r="CD492" i="2"/>
  <c r="CH530" i="2"/>
  <c r="CH529" i="2"/>
  <c r="CH526" i="2"/>
  <c r="CH537" i="2"/>
  <c r="CH532" i="2"/>
  <c r="CH536" i="2"/>
  <c r="CH523" i="2"/>
  <c r="CH535" i="2"/>
  <c r="CH527" i="2"/>
  <c r="CH533" i="2"/>
  <c r="CH521" i="2"/>
  <c r="CH540" i="2"/>
  <c r="CH525" i="2"/>
  <c r="CH531" i="2"/>
  <c r="CH528" i="2"/>
  <c r="CH524" i="2"/>
  <c r="CH539" i="2"/>
  <c r="CH541" i="2"/>
  <c r="CH534" i="2"/>
  <c r="CD521" i="2"/>
  <c r="CD522" i="2"/>
  <c r="CD523" i="2"/>
  <c r="CD524" i="2"/>
  <c r="CD525" i="2"/>
  <c r="CD526" i="2"/>
  <c r="CD527" i="2"/>
  <c r="CD528" i="2"/>
  <c r="CD529" i="2"/>
  <c r="CD530" i="2"/>
  <c r="CD531" i="2"/>
  <c r="CD532" i="2"/>
  <c r="CD533" i="2"/>
  <c r="CD534" i="2"/>
  <c r="CD535" i="2"/>
  <c r="CD536" i="2"/>
  <c r="CD537" i="2"/>
  <c r="CD538" i="2"/>
  <c r="CD539" i="2"/>
  <c r="CD540" i="2"/>
  <c r="CD541" i="2"/>
  <c r="BB502" i="2"/>
  <c r="BB512" i="2"/>
  <c r="BB506" i="2"/>
  <c r="AX536" i="2"/>
  <c r="AX531" i="2"/>
  <c r="AX525" i="2"/>
  <c r="BB540" i="2"/>
  <c r="BB527" i="2"/>
  <c r="BB514" i="2"/>
  <c r="CH515" i="2"/>
  <c r="CH500" i="2"/>
  <c r="CD513" i="2"/>
  <c r="CD520" i="2"/>
  <c r="CD505" i="2"/>
  <c r="CD494" i="2"/>
  <c r="CD506" i="2"/>
  <c r="CH507" i="2"/>
  <c r="BB510" i="2"/>
  <c r="AX534" i="2"/>
  <c r="BB521" i="2"/>
  <c r="CH517" i="2"/>
  <c r="CD498" i="2"/>
  <c r="CH495" i="2"/>
  <c r="BB495" i="2"/>
  <c r="AX532" i="2"/>
  <c r="BB530" i="2"/>
  <c r="BB515" i="2"/>
  <c r="CD504" i="2"/>
  <c r="BB507" i="2"/>
  <c r="BB492" i="2"/>
  <c r="AX493" i="2"/>
  <c r="BB496" i="2"/>
  <c r="BB541" i="2"/>
  <c r="AX535" i="2"/>
  <c r="AX530" i="2"/>
  <c r="BB523" i="2"/>
  <c r="BB529" i="2"/>
  <c r="BB536" i="2"/>
  <c r="BB499" i="2"/>
  <c r="CH516" i="2"/>
  <c r="CD516" i="2"/>
  <c r="CD512" i="2"/>
  <c r="CD500" i="2"/>
  <c r="CH493" i="2"/>
  <c r="CD493" i="2"/>
  <c r="CH494" i="2"/>
  <c r="CH511" i="2"/>
  <c r="CH508" i="2"/>
  <c r="BB518" i="2"/>
  <c r="BB513" i="2"/>
  <c r="AX540" i="2"/>
  <c r="BB526" i="2"/>
  <c r="AX522" i="2"/>
  <c r="BB501" i="2"/>
  <c r="CH506" i="2"/>
  <c r="CD507" i="2"/>
  <c r="CD514" i="2"/>
  <c r="BB503" i="2"/>
  <c r="BB497" i="2"/>
  <c r="AX539" i="2"/>
  <c r="AX527" i="2"/>
  <c r="AX521" i="2"/>
  <c r="BB535" i="2"/>
  <c r="BB517" i="2"/>
  <c r="CD518" i="2"/>
  <c r="CH499" i="2"/>
  <c r="CH513" i="2"/>
  <c r="CH518" i="2"/>
  <c r="AX538" i="2"/>
  <c r="BB532" i="2"/>
  <c r="CH510" i="2"/>
  <c r="CD511" i="2"/>
  <c r="CD496" i="2"/>
  <c r="BB493" i="2"/>
  <c r="BB511" i="2"/>
  <c r="BB494" i="2"/>
  <c r="AX541" i="2"/>
  <c r="BB534" i="2"/>
  <c r="AX529" i="2"/>
  <c r="AX524" i="2"/>
  <c r="BB522" i="2"/>
  <c r="BB528" i="2"/>
  <c r="CH498" i="2"/>
  <c r="CH497" i="2"/>
  <c r="CD509" i="2"/>
  <c r="CD510" i="2"/>
  <c r="CD517" i="2"/>
  <c r="CH496" i="2"/>
  <c r="CD503" i="2"/>
  <c r="CD519" i="2"/>
  <c r="CD497" i="2"/>
  <c r="AV440" i="2"/>
  <c r="BL444" i="2"/>
  <c r="BM444" i="2" s="1"/>
  <c r="BP507" i="2"/>
  <c r="BQ507" i="2" s="1"/>
  <c r="BP518" i="2"/>
  <c r="BQ518" i="2" s="1"/>
  <c r="BP512" i="2"/>
  <c r="BQ512" i="2" s="1"/>
  <c r="BP505" i="2"/>
  <c r="BQ505" i="2" s="1"/>
  <c r="BP493" i="2"/>
  <c r="BQ493" i="2" s="1"/>
  <c r="BP506" i="2"/>
  <c r="BQ506" i="2" s="1"/>
  <c r="BP508" i="2"/>
  <c r="BQ508" i="2" s="1"/>
  <c r="BP500" i="2"/>
  <c r="BQ500" i="2" s="1"/>
  <c r="BP497" i="2"/>
  <c r="BQ497" i="2" s="1"/>
  <c r="BP516" i="2"/>
  <c r="BQ516" i="2" s="1"/>
  <c r="BP520" i="2"/>
  <c r="BQ520" i="2" s="1"/>
  <c r="BP498" i="2"/>
  <c r="BQ498" i="2" s="1"/>
  <c r="BP513" i="2"/>
  <c r="BQ513" i="2" s="1"/>
  <c r="BP501" i="2"/>
  <c r="BQ501" i="2" s="1"/>
  <c r="I489" i="9"/>
  <c r="BP492" i="2"/>
  <c r="BQ492" i="2" s="1"/>
  <c r="BP511" i="2"/>
  <c r="BQ511" i="2" s="1"/>
  <c r="BP519" i="2"/>
  <c r="BQ519" i="2" s="1"/>
  <c r="BP502" i="2"/>
  <c r="BQ502" i="2" s="1"/>
  <c r="BP517" i="2"/>
  <c r="BQ517" i="2" s="1"/>
  <c r="BP510" i="2"/>
  <c r="BQ510" i="2" s="1"/>
  <c r="BP494" i="2"/>
  <c r="BQ494" i="2" s="1"/>
  <c r="BP509" i="2"/>
  <c r="BQ509" i="2" s="1"/>
  <c r="BP495" i="2"/>
  <c r="BQ495" i="2" s="1"/>
  <c r="BP514" i="2"/>
  <c r="BQ514" i="2" s="1"/>
  <c r="BP503" i="2"/>
  <c r="BQ503" i="2" s="1"/>
  <c r="BP515" i="2"/>
  <c r="BQ515" i="2" s="1"/>
  <c r="BL445" i="2"/>
  <c r="BM445" i="2" s="1"/>
  <c r="BL452" i="2"/>
  <c r="BM452" i="2" s="1"/>
  <c r="BH493" i="2"/>
  <c r="BI493" i="2" s="1"/>
  <c r="BH517" i="2"/>
  <c r="BI517" i="2" s="1"/>
  <c r="BH494" i="2"/>
  <c r="BI494" i="2" s="1"/>
  <c r="BH495" i="2"/>
  <c r="BI495" i="2" s="1"/>
  <c r="BL453" i="2"/>
  <c r="BM453" i="2" s="1"/>
  <c r="BH511" i="2"/>
  <c r="BI511" i="2" s="1"/>
  <c r="BH506" i="2"/>
  <c r="BI506" i="2" s="1"/>
  <c r="BH501" i="2"/>
  <c r="BI501" i="2" s="1"/>
  <c r="BH499" i="2"/>
  <c r="BI499" i="2" s="1"/>
  <c r="BH510" i="2"/>
  <c r="BI510" i="2" s="1"/>
  <c r="BH507" i="2"/>
  <c r="BI507" i="2" s="1"/>
  <c r="BH509" i="2"/>
  <c r="BI509" i="2" s="1"/>
  <c r="BH492" i="2"/>
  <c r="BI492" i="2" s="1"/>
  <c r="BH504" i="2"/>
  <c r="BI504" i="2" s="1"/>
  <c r="BH508" i="2"/>
  <c r="BI508" i="2" s="1"/>
  <c r="BH500" i="2"/>
  <c r="BI500" i="2" s="1"/>
  <c r="BL441" i="2"/>
  <c r="BM441" i="2" s="1"/>
  <c r="BH498" i="2"/>
  <c r="BI498" i="2" s="1"/>
  <c r="AV435" i="2"/>
  <c r="BH514" i="2"/>
  <c r="BI514" i="2" s="1"/>
  <c r="BH519" i="2"/>
  <c r="BI519" i="2" s="1"/>
  <c r="BH513" i="2"/>
  <c r="BI513" i="2" s="1"/>
  <c r="BH512" i="2"/>
  <c r="BI512" i="2" s="1"/>
  <c r="BH502" i="2"/>
  <c r="BI502" i="2" s="1"/>
  <c r="BH505" i="2"/>
  <c r="BI505" i="2" s="1"/>
  <c r="AF501" i="2"/>
  <c r="AG501" i="2" s="1"/>
  <c r="AF507" i="2"/>
  <c r="AG507" i="2" s="1"/>
  <c r="AF500" i="2"/>
  <c r="AG500" i="2" s="1"/>
  <c r="AF502" i="2"/>
  <c r="AG502" i="2" s="1"/>
  <c r="AF499" i="2"/>
  <c r="AG499" i="2" s="1"/>
  <c r="AF497" i="2"/>
  <c r="AG497" i="2" s="1"/>
  <c r="AF504" i="2"/>
  <c r="AG504" i="2" s="1"/>
  <c r="AF505" i="2"/>
  <c r="AG505" i="2" s="1"/>
  <c r="AF494" i="2"/>
  <c r="AG494" i="2" s="1"/>
  <c r="AF503" i="2"/>
  <c r="AG503" i="2" s="1"/>
  <c r="AF506" i="2"/>
  <c r="AG506" i="2" s="1"/>
  <c r="AF508" i="2"/>
  <c r="AG508" i="2" s="1"/>
  <c r="AF519" i="2"/>
  <c r="AG519" i="2" s="1"/>
  <c r="AF510" i="2"/>
  <c r="AG510" i="2" s="1"/>
  <c r="AF515" i="2"/>
  <c r="AG515" i="2" s="1"/>
  <c r="AF509" i="2"/>
  <c r="AG509" i="2" s="1"/>
  <c r="AF518" i="2"/>
  <c r="AG518" i="2" s="1"/>
  <c r="AF513" i="2"/>
  <c r="AG513" i="2" s="1"/>
  <c r="AF520" i="2"/>
  <c r="AG520" i="2" s="1"/>
  <c r="AF512" i="2"/>
  <c r="AG512" i="2" s="1"/>
  <c r="AF495" i="2"/>
  <c r="AG495" i="2" s="1"/>
  <c r="AF498" i="2"/>
  <c r="AG498" i="2" s="1"/>
  <c r="AF496" i="2"/>
  <c r="AG496" i="2" s="1"/>
  <c r="AF516" i="2"/>
  <c r="AG516" i="2" s="1"/>
  <c r="AF511" i="2"/>
  <c r="AG511" i="2" s="1"/>
  <c r="AF493" i="2"/>
  <c r="AG493" i="2" s="1"/>
  <c r="AF517" i="2"/>
  <c r="AG517" i="2" s="1"/>
  <c r="AF514" i="2"/>
  <c r="AG514" i="2" s="1"/>
  <c r="BL451" i="2"/>
  <c r="BM451" i="2" s="1"/>
  <c r="BL443" i="2"/>
  <c r="BM443" i="2" s="1"/>
  <c r="K43" i="3"/>
  <c r="L43" i="3" s="1"/>
  <c r="AV434" i="2"/>
  <c r="AV448" i="2"/>
  <c r="AV446" i="2"/>
  <c r="AV447" i="2"/>
  <c r="AV450" i="2"/>
  <c r="AV437" i="2"/>
  <c r="AV438" i="2"/>
  <c r="AV442" i="2"/>
  <c r="Q431" i="9"/>
  <c r="AU428" i="2"/>
  <c r="AV428" i="2" s="1"/>
  <c r="AV455" i="2"/>
  <c r="AV431" i="2"/>
  <c r="BM439" i="2"/>
  <c r="BM456" i="2"/>
  <c r="BM440" i="2"/>
  <c r="BM454" i="2"/>
  <c r="BM432" i="2"/>
  <c r="BM435" i="2"/>
  <c r="BM429" i="2"/>
  <c r="BM433" i="2"/>
  <c r="BM449" i="2"/>
  <c r="BM450" i="2"/>
  <c r="BM436" i="2"/>
  <c r="BL438" i="2"/>
  <c r="BL455" i="2"/>
  <c r="BL431" i="2"/>
  <c r="BL447" i="2"/>
  <c r="BL434" i="2"/>
  <c r="BL448" i="2"/>
  <c r="BL442" i="2"/>
  <c r="BL428" i="2"/>
  <c r="R489" i="9"/>
  <c r="BL446" i="2"/>
  <c r="BL437" i="2"/>
  <c r="K47" i="3"/>
  <c r="L47" i="3" s="1"/>
  <c r="K53" i="3"/>
  <c r="L53" i="3" s="1"/>
  <c r="AF492" i="2"/>
  <c r="AG492" i="2" s="1"/>
  <c r="F550" i="2"/>
  <c r="H492" i="2"/>
  <c r="K93" i="3"/>
  <c r="L93" i="3" s="1"/>
  <c r="K87" i="3"/>
  <c r="L87" i="3" s="1"/>
  <c r="K39" i="3"/>
  <c r="L39" i="3" s="1"/>
  <c r="K71" i="3"/>
  <c r="L71" i="3" s="1"/>
  <c r="K69" i="3"/>
  <c r="L69" i="3" s="1"/>
  <c r="G23" i="3" l="1" a="1"/>
  <c r="G23" i="3" s="1"/>
  <c r="O494" i="2"/>
  <c r="AQ432" i="2"/>
  <c r="K19" i="3"/>
  <c r="L19" i="3" s="1"/>
  <c r="K21" i="3"/>
  <c r="L21" i="3" s="1"/>
  <c r="BD525" i="2"/>
  <c r="BE525" i="2" s="1"/>
  <c r="BD535" i="2"/>
  <c r="BE535" i="2" s="1"/>
  <c r="BD532" i="2"/>
  <c r="BE532" i="2" s="1"/>
  <c r="BD524" i="2"/>
  <c r="BE524" i="2" s="1"/>
  <c r="BD537" i="2"/>
  <c r="BE537" i="2" s="1"/>
  <c r="BD523" i="2"/>
  <c r="BE523" i="2" s="1"/>
  <c r="BD540" i="2"/>
  <c r="BE540" i="2" s="1"/>
  <c r="BD531" i="2"/>
  <c r="BE531" i="2" s="1"/>
  <c r="N23" i="3" a="1"/>
  <c r="N23" i="3" s="1"/>
  <c r="I23" i="3" s="1"/>
  <c r="G24" i="3" a="1"/>
  <c r="G24" i="3" s="1"/>
  <c r="BD526" i="2"/>
  <c r="BE526" i="2" s="1"/>
  <c r="BD533" i="2"/>
  <c r="BE533" i="2" s="1"/>
  <c r="BD536" i="2"/>
  <c r="BE536" i="2" s="1"/>
  <c r="BD538" i="2"/>
  <c r="BE538" i="2" s="1"/>
  <c r="BD530" i="2"/>
  <c r="BE530" i="2" s="1"/>
  <c r="BD527" i="2"/>
  <c r="BE527" i="2" s="1"/>
  <c r="BD539" i="2"/>
  <c r="BE539" i="2" s="1"/>
  <c r="BD529" i="2"/>
  <c r="BE529" i="2" s="1"/>
  <c r="BD528" i="2"/>
  <c r="BE528" i="2" s="1"/>
  <c r="BD534" i="2"/>
  <c r="BE534" i="2" s="1"/>
  <c r="BD541" i="2"/>
  <c r="BE541" i="2" s="1"/>
  <c r="BD522" i="2"/>
  <c r="BE522" i="2" s="1"/>
  <c r="N49" i="3" a="1"/>
  <c r="N49" i="3" s="1"/>
  <c r="I49" i="3" s="1"/>
  <c r="G49" i="3" a="1"/>
  <c r="G49" i="3" s="1"/>
  <c r="G50" i="3" a="1"/>
  <c r="G50" i="3" s="1"/>
  <c r="N55" i="3" a="1"/>
  <c r="N55" i="3" s="1"/>
  <c r="I55" i="3" s="1"/>
  <c r="G56" i="3" a="1"/>
  <c r="G56" i="3" s="1"/>
  <c r="G55" i="3" a="1"/>
  <c r="G55" i="3" s="1"/>
  <c r="BL494" i="2"/>
  <c r="BM494" i="2" s="1"/>
  <c r="BL504" i="2"/>
  <c r="BM504" i="2" s="1"/>
  <c r="BL511" i="2"/>
  <c r="BM511" i="2" s="1"/>
  <c r="BL516" i="2"/>
  <c r="BM516" i="2" s="1"/>
  <c r="BL497" i="2"/>
  <c r="BM497" i="2" s="1"/>
  <c r="BL509" i="2"/>
  <c r="BM509" i="2" s="1"/>
  <c r="BL503" i="2"/>
  <c r="BM503" i="2" s="1"/>
  <c r="BL498" i="2"/>
  <c r="BM498" i="2" s="1"/>
  <c r="BL513" i="2"/>
  <c r="BM513" i="2" s="1"/>
  <c r="I550" i="2"/>
  <c r="BL492" i="2"/>
  <c r="BM492" i="2" s="1"/>
  <c r="BL496" i="2"/>
  <c r="BM496" i="2" s="1"/>
  <c r="BL505" i="2"/>
  <c r="BM505" i="2" s="1"/>
  <c r="BL502" i="2"/>
  <c r="BM502" i="2" s="1"/>
  <c r="BL519" i="2"/>
  <c r="BM519" i="2" s="1"/>
  <c r="BL507" i="2"/>
  <c r="BM507" i="2" s="1"/>
  <c r="BL517" i="2"/>
  <c r="BM517" i="2" s="1"/>
  <c r="BL518" i="2"/>
  <c r="BM518" i="2" s="1"/>
  <c r="BL506" i="2"/>
  <c r="BM506" i="2" s="1"/>
  <c r="BL499" i="2"/>
  <c r="BM499" i="2" s="1"/>
  <c r="BL510" i="2"/>
  <c r="BM510" i="2" s="1"/>
  <c r="BL514" i="2"/>
  <c r="BM514" i="2" s="1"/>
  <c r="BL493" i="2"/>
  <c r="BM493" i="2" s="1"/>
  <c r="BL512" i="2"/>
  <c r="BM512" i="2" s="1"/>
  <c r="BL508" i="2"/>
  <c r="BM508" i="2" s="1"/>
  <c r="BL520" i="2"/>
  <c r="BM520" i="2" s="1"/>
  <c r="BL495" i="2"/>
  <c r="BM495" i="2" s="1"/>
  <c r="BL500" i="2"/>
  <c r="BM500" i="2" s="1"/>
  <c r="BL501" i="2"/>
  <c r="BM501" i="2" s="1"/>
  <c r="BL515" i="2"/>
  <c r="BM515" i="2" s="1"/>
  <c r="BD506" i="2"/>
  <c r="BE506" i="2" s="1"/>
  <c r="BD497" i="2"/>
  <c r="BE497" i="2" s="1"/>
  <c r="BD505" i="2"/>
  <c r="BE505" i="2" s="1"/>
  <c r="BD518" i="2"/>
  <c r="BE518" i="2" s="1"/>
  <c r="BD509" i="2"/>
  <c r="BE509" i="2" s="1"/>
  <c r="BD498" i="2"/>
  <c r="BE498" i="2" s="1"/>
  <c r="BD517" i="2"/>
  <c r="BE517" i="2" s="1"/>
  <c r="BD504" i="2"/>
  <c r="BE504" i="2" s="1"/>
  <c r="BD503" i="2"/>
  <c r="BE503" i="2" s="1"/>
  <c r="BD512" i="2"/>
  <c r="BE512" i="2" s="1"/>
  <c r="BD519" i="2"/>
  <c r="BE519" i="2" s="1"/>
  <c r="BD493" i="2"/>
  <c r="BE493" i="2" s="1"/>
  <c r="BD492" i="2"/>
  <c r="BE492" i="2" s="1"/>
  <c r="BD520" i="2"/>
  <c r="BE520" i="2" s="1"/>
  <c r="AL501" i="2"/>
  <c r="BD513" i="2"/>
  <c r="BE513" i="2" s="1"/>
  <c r="BD515" i="2"/>
  <c r="BE515" i="2" s="1"/>
  <c r="BD501" i="2"/>
  <c r="BE501" i="2" s="1"/>
  <c r="BD511" i="2"/>
  <c r="BE511" i="2" s="1"/>
  <c r="BD494" i="2"/>
  <c r="BE494" i="2" s="1"/>
  <c r="BD516" i="2"/>
  <c r="BE516" i="2" s="1"/>
  <c r="BD496" i="2"/>
  <c r="BE496" i="2" s="1"/>
  <c r="BD507" i="2"/>
  <c r="BE507" i="2" s="1"/>
  <c r="BD514" i="2"/>
  <c r="BE514" i="2" s="1"/>
  <c r="BD495" i="2"/>
  <c r="BE495" i="2" s="1"/>
  <c r="BD502" i="2"/>
  <c r="BE502" i="2" s="1"/>
  <c r="BD499" i="2"/>
  <c r="BE499" i="2" s="1"/>
  <c r="BD508" i="2"/>
  <c r="BE508" i="2" s="1"/>
  <c r="BD510" i="2"/>
  <c r="BE510" i="2" s="1"/>
  <c r="BD500" i="2"/>
  <c r="BE500" i="2" s="1"/>
  <c r="AH515" i="2"/>
  <c r="AH493" i="2"/>
  <c r="AL509" i="2"/>
  <c r="AL503" i="2"/>
  <c r="AH500" i="2"/>
  <c r="AH499" i="2"/>
  <c r="AH512" i="2"/>
  <c r="AH495" i="2"/>
  <c r="AH513" i="2"/>
  <c r="AL510" i="2"/>
  <c r="AL499" i="2"/>
  <c r="AH516" i="2"/>
  <c r="AL507" i="2"/>
  <c r="AH520" i="2"/>
  <c r="AL505" i="2"/>
  <c r="AL512" i="2"/>
  <c r="AH496" i="2"/>
  <c r="AH494" i="2"/>
  <c r="AL498" i="2"/>
  <c r="AH501" i="2"/>
  <c r="AH505" i="2"/>
  <c r="AL517" i="2"/>
  <c r="AL519" i="2"/>
  <c r="AH503" i="2"/>
  <c r="AL495" i="2"/>
  <c r="AH518" i="2"/>
  <c r="AL502" i="2"/>
  <c r="AH511" i="2"/>
  <c r="AH506" i="2"/>
  <c r="AL513" i="2"/>
  <c r="AL504" i="2"/>
  <c r="AH510" i="2"/>
  <c r="AH497" i="2"/>
  <c r="AL515" i="2"/>
  <c r="AH514" i="2"/>
  <c r="AH509" i="2"/>
  <c r="AL540" i="2"/>
  <c r="AL529" i="2"/>
  <c r="AL530" i="2"/>
  <c r="AL538" i="2"/>
  <c r="AL525" i="2"/>
  <c r="AL522" i="2"/>
  <c r="AL533" i="2"/>
  <c r="AL532" i="2"/>
  <c r="AL524" i="2"/>
  <c r="AL528" i="2"/>
  <c r="AL539" i="2"/>
  <c r="AL534" i="2"/>
  <c r="AH492" i="2"/>
  <c r="AL521" i="2"/>
  <c r="AL527" i="2"/>
  <c r="AL526" i="2"/>
  <c r="AL535" i="2"/>
  <c r="AL531" i="2"/>
  <c r="AL523" i="2"/>
  <c r="AL537" i="2"/>
  <c r="AL536" i="2"/>
  <c r="AL541" i="2"/>
  <c r="AH521" i="2"/>
  <c r="AH522" i="2"/>
  <c r="AH523" i="2"/>
  <c r="AH524" i="2"/>
  <c r="AH525" i="2"/>
  <c r="AH526" i="2"/>
  <c r="AH527" i="2"/>
  <c r="AH528" i="2"/>
  <c r="AH530" i="2"/>
  <c r="AH529" i="2"/>
  <c r="AH531" i="2"/>
  <c r="AH532" i="2"/>
  <c r="AH533" i="2"/>
  <c r="AH534" i="2"/>
  <c r="AH535" i="2"/>
  <c r="AH536" i="2"/>
  <c r="AH537" i="2"/>
  <c r="AH538" i="2"/>
  <c r="AH539" i="2"/>
  <c r="AH540" i="2"/>
  <c r="AH541" i="2"/>
  <c r="AL492" i="2"/>
  <c r="AL500" i="2"/>
  <c r="AL518" i="2"/>
  <c r="AL497" i="2"/>
  <c r="AL496" i="2"/>
  <c r="AL493" i="2"/>
  <c r="AL508" i="2"/>
  <c r="AL516" i="2"/>
  <c r="AH498" i="2"/>
  <c r="AH508" i="2"/>
  <c r="AL494" i="2"/>
  <c r="AL514" i="2"/>
  <c r="AL511" i="2"/>
  <c r="AH519" i="2"/>
  <c r="AL520" i="2"/>
  <c r="AH504" i="2"/>
  <c r="AH507" i="2"/>
  <c r="AH517" i="2"/>
  <c r="AL506" i="2"/>
  <c r="AH502" i="2"/>
  <c r="AR446" i="2"/>
  <c r="AR431" i="2"/>
  <c r="AR430" i="2"/>
  <c r="AR455" i="2"/>
  <c r="AW455" i="2" s="1"/>
  <c r="AR444" i="2"/>
  <c r="AR432" i="2"/>
  <c r="AR437" i="2"/>
  <c r="AR429" i="2"/>
  <c r="AW442" i="2" s="1"/>
  <c r="O492" i="2"/>
  <c r="AR448" i="2"/>
  <c r="AR439" i="2"/>
  <c r="AR443" i="2"/>
  <c r="AR441" i="2"/>
  <c r="AR434" i="2"/>
  <c r="AR447" i="2"/>
  <c r="AW447" i="2" s="1"/>
  <c r="AR456" i="2"/>
  <c r="AR453" i="2"/>
  <c r="AR452" i="2"/>
  <c r="AR435" i="2"/>
  <c r="AR445" i="2"/>
  <c r="AR440" i="2"/>
  <c r="AR451" i="2"/>
  <c r="AR436" i="2"/>
  <c r="AW449" i="2"/>
  <c r="AR438" i="2"/>
  <c r="AW454" i="2"/>
  <c r="AW450" i="2"/>
  <c r="BM431" i="2"/>
  <c r="BM442" i="2"/>
  <c r="BM447" i="2"/>
  <c r="BM438" i="2"/>
  <c r="BM437" i="2"/>
  <c r="BM446" i="2"/>
  <c r="BM448" i="2"/>
  <c r="BM428" i="2"/>
  <c r="BM434" i="2"/>
  <c r="BM455" i="2"/>
  <c r="BH446" i="2"/>
  <c r="BH440" i="2"/>
  <c r="BH431" i="2"/>
  <c r="BH454" i="2"/>
  <c r="BH453" i="2"/>
  <c r="BH430" i="2"/>
  <c r="BH438" i="2"/>
  <c r="BH439" i="2"/>
  <c r="BH432" i="2"/>
  <c r="BH449" i="2"/>
  <c r="BH429" i="2"/>
  <c r="BH451" i="2"/>
  <c r="BH452" i="2"/>
  <c r="BH434" i="2"/>
  <c r="BH447" i="2"/>
  <c r="BH443" i="2"/>
  <c r="BH437" i="2"/>
  <c r="BH436" i="2"/>
  <c r="BH450" i="2"/>
  <c r="BH442" i="2"/>
  <c r="BH435" i="2"/>
  <c r="BH445" i="2"/>
  <c r="BH444" i="2"/>
  <c r="BH455" i="2"/>
  <c r="BH433" i="2"/>
  <c r="R550" i="2"/>
  <c r="BH428" i="2"/>
  <c r="BH448" i="2"/>
  <c r="BH456" i="2"/>
  <c r="BH441" i="2"/>
  <c r="K23" i="3" l="1"/>
  <c r="L23" i="3" s="1"/>
  <c r="AW446" i="2"/>
  <c r="AW434" i="2"/>
  <c r="AW431" i="2"/>
  <c r="AW433" i="2"/>
  <c r="AW428" i="2"/>
  <c r="BF510" i="2"/>
  <c r="BF495" i="2"/>
  <c r="BF516" i="2"/>
  <c r="BF518" i="2"/>
  <c r="BJ494" i="2"/>
  <c r="BF508" i="2"/>
  <c r="BF513" i="2"/>
  <c r="BJ506" i="2"/>
  <c r="BF519" i="2"/>
  <c r="BJ507" i="2"/>
  <c r="BJ522" i="2"/>
  <c r="BJ539" i="2"/>
  <c r="BJ527" i="2"/>
  <c r="BJ530" i="2"/>
  <c r="BF524" i="2"/>
  <c r="BF531" i="2"/>
  <c r="BJ537" i="2"/>
  <c r="BJ533" i="2"/>
  <c r="BF521" i="2"/>
  <c r="BF522" i="2"/>
  <c r="BJ524" i="2"/>
  <c r="BJ523" i="2"/>
  <c r="BJ525" i="2"/>
  <c r="BJ536" i="2"/>
  <c r="BF525" i="2"/>
  <c r="BF535" i="2"/>
  <c r="BF541" i="2"/>
  <c r="BJ531" i="2"/>
  <c r="BF540" i="2"/>
  <c r="BJ534" i="2"/>
  <c r="BJ528" i="2"/>
  <c r="BF523" i="2"/>
  <c r="BF539" i="2"/>
  <c r="BJ529" i="2"/>
  <c r="BF527" i="2"/>
  <c r="BF532" i="2"/>
  <c r="BJ532" i="2"/>
  <c r="BF530" i="2"/>
  <c r="BJ526" i="2"/>
  <c r="BF528" i="2"/>
  <c r="BF538" i="2"/>
  <c r="BF533" i="2"/>
  <c r="BJ535" i="2"/>
  <c r="BJ538" i="2"/>
  <c r="BF526" i="2"/>
  <c r="BF534" i="2"/>
  <c r="BF537" i="2"/>
  <c r="BJ541" i="2"/>
  <c r="BF536" i="2"/>
  <c r="BJ521" i="2"/>
  <c r="BJ540" i="2"/>
  <c r="BF529" i="2"/>
  <c r="BF492" i="2"/>
  <c r="BJ518" i="2"/>
  <c r="BJ503" i="2"/>
  <c r="BJ520" i="2"/>
  <c r="BJ497" i="2"/>
  <c r="BJ496" i="2"/>
  <c r="BJ515" i="2"/>
  <c r="BJ516" i="2"/>
  <c r="BF503" i="2"/>
  <c r="BF509" i="2"/>
  <c r="BF506" i="2"/>
  <c r="BJ493" i="2"/>
  <c r="BJ500" i="2"/>
  <c r="BF493" i="2"/>
  <c r="BJ499" i="2"/>
  <c r="BF494" i="2"/>
  <c r="BJ514" i="2"/>
  <c r="BF505" i="2"/>
  <c r="BJ510" i="2"/>
  <c r="G25" i="3" a="1"/>
  <c r="G25" i="3" s="1"/>
  <c r="G26" i="3" a="1"/>
  <c r="G26" i="3" s="1"/>
  <c r="N25" i="3" a="1"/>
  <c r="N25" i="3" s="1"/>
  <c r="I25" i="3" s="1"/>
  <c r="BF499" i="2"/>
  <c r="BF507" i="2"/>
  <c r="BF511" i="2"/>
  <c r="BJ508" i="2"/>
  <c r="BJ495" i="2"/>
  <c r="BJ519" i="2"/>
  <c r="BF515" i="2"/>
  <c r="BJ512" i="2"/>
  <c r="BF504" i="2"/>
  <c r="BF517" i="2"/>
  <c r="BJ504" i="2"/>
  <c r="BF520" i="2"/>
  <c r="BF512" i="2"/>
  <c r="BF498" i="2"/>
  <c r="BF497" i="2"/>
  <c r="BJ498" i="2"/>
  <c r="BJ501" i="2"/>
  <c r="BJ505" i="2"/>
  <c r="BJ517" i="2"/>
  <c r="BJ492" i="2"/>
  <c r="BF514" i="2"/>
  <c r="BJ502" i="2"/>
  <c r="BF500" i="2"/>
  <c r="BF502" i="2"/>
  <c r="BF496" i="2"/>
  <c r="BF501" i="2"/>
  <c r="BJ513" i="2"/>
  <c r="BJ509" i="2"/>
  <c r="BJ511" i="2"/>
  <c r="BN495" i="2"/>
  <c r="BR513" i="2"/>
  <c r="BN500" i="2"/>
  <c r="BN512" i="2"/>
  <c r="BN499" i="2"/>
  <c r="BN507" i="2"/>
  <c r="BN496" i="2"/>
  <c r="BN503" i="2"/>
  <c r="BN511" i="2"/>
  <c r="BR516" i="2"/>
  <c r="BR495" i="2"/>
  <c r="BR514" i="2"/>
  <c r="BR501" i="2"/>
  <c r="BR520" i="2"/>
  <c r="BR507" i="2"/>
  <c r="BN493" i="2"/>
  <c r="BN519" i="2"/>
  <c r="BN509" i="2"/>
  <c r="BR502" i="2"/>
  <c r="BR517" i="2"/>
  <c r="BR509" i="2"/>
  <c r="BR505" i="2"/>
  <c r="BR497" i="2"/>
  <c r="BN515" i="2"/>
  <c r="BN520" i="2"/>
  <c r="BN514" i="2"/>
  <c r="BN518" i="2"/>
  <c r="BN502" i="2"/>
  <c r="BN513" i="2"/>
  <c r="BN497" i="2"/>
  <c r="BN494" i="2"/>
  <c r="BR515" i="2"/>
  <c r="BR500" i="2"/>
  <c r="BN506" i="2"/>
  <c r="BR541" i="2"/>
  <c r="BR535" i="2"/>
  <c r="BN523" i="2"/>
  <c r="BN532" i="2"/>
  <c r="BN539" i="2"/>
  <c r="BN533" i="2"/>
  <c r="BR534" i="2"/>
  <c r="BR538" i="2"/>
  <c r="BN528" i="2"/>
  <c r="BR529" i="2"/>
  <c r="BR528" i="2"/>
  <c r="BR536" i="2"/>
  <c r="BR532" i="2"/>
  <c r="BN525" i="2"/>
  <c r="BN529" i="2"/>
  <c r="BR537" i="2"/>
  <c r="BR531" i="2"/>
  <c r="BN521" i="2"/>
  <c r="BN527" i="2"/>
  <c r="BN534" i="2"/>
  <c r="BN537" i="2"/>
  <c r="BR530" i="2"/>
  <c r="BN526" i="2"/>
  <c r="BN538" i="2"/>
  <c r="BR523" i="2"/>
  <c r="BR533" i="2"/>
  <c r="BR527" i="2"/>
  <c r="BN535" i="2"/>
  <c r="BN541" i="2"/>
  <c r="BR521" i="2"/>
  <c r="BR525" i="2"/>
  <c r="BR526" i="2"/>
  <c r="BN524" i="2"/>
  <c r="BN531" i="2"/>
  <c r="BN536" i="2"/>
  <c r="BR539" i="2"/>
  <c r="BR524" i="2"/>
  <c r="BR540" i="2"/>
  <c r="BN522" i="2"/>
  <c r="BN530" i="2"/>
  <c r="BN540" i="2"/>
  <c r="BR522" i="2"/>
  <c r="BN492" i="2"/>
  <c r="BR499" i="2"/>
  <c r="BR504" i="2"/>
  <c r="BR496" i="2"/>
  <c r="BN504" i="2"/>
  <c r="BR493" i="2"/>
  <c r="BR512" i="2"/>
  <c r="BR519" i="2"/>
  <c r="BN501" i="2"/>
  <c r="BN508" i="2"/>
  <c r="BN510" i="2"/>
  <c r="BN517" i="2"/>
  <c r="BN505" i="2"/>
  <c r="BN498" i="2"/>
  <c r="BN516" i="2"/>
  <c r="BR518" i="2"/>
  <c r="BR508" i="2"/>
  <c r="BR511" i="2"/>
  <c r="BR494" i="2"/>
  <c r="BR498" i="2"/>
  <c r="BR506" i="2"/>
  <c r="BR492" i="2"/>
  <c r="BR510" i="2"/>
  <c r="BR503" i="2"/>
  <c r="N45" i="3" a="1"/>
  <c r="N45" i="3" s="1"/>
  <c r="I45" i="3" s="1"/>
  <c r="G46" i="3" a="1"/>
  <c r="G46" i="3" s="1"/>
  <c r="G45" i="3" a="1"/>
  <c r="G45" i="3" s="1"/>
  <c r="AS433" i="2"/>
  <c r="AS470" i="2"/>
  <c r="AS458" i="2"/>
  <c r="AS462" i="2"/>
  <c r="AS448" i="2"/>
  <c r="AS456" i="2"/>
  <c r="AW456" i="2"/>
  <c r="AS469" i="2"/>
  <c r="AS447" i="2"/>
  <c r="AS454" i="2"/>
  <c r="AS437" i="2"/>
  <c r="AS475" i="2"/>
  <c r="AS467" i="2"/>
  <c r="AS459" i="2"/>
  <c r="AS438" i="2"/>
  <c r="AS451" i="2"/>
  <c r="AW451" i="2"/>
  <c r="AS452" i="2"/>
  <c r="AW452" i="2"/>
  <c r="AS443" i="2"/>
  <c r="AW443" i="2"/>
  <c r="AS431" i="2"/>
  <c r="AS474" i="2"/>
  <c r="AS465" i="2"/>
  <c r="AS445" i="2"/>
  <c r="AW445" i="2"/>
  <c r="AS441" i="2"/>
  <c r="AW441" i="2"/>
  <c r="AS429" i="2"/>
  <c r="AW429" i="2"/>
  <c r="AS477" i="2"/>
  <c r="AS461" i="2"/>
  <c r="AS468" i="2"/>
  <c r="AS436" i="2"/>
  <c r="AW436" i="2"/>
  <c r="AS434" i="2"/>
  <c r="AS432" i="2"/>
  <c r="AW432" i="2"/>
  <c r="AS473" i="2"/>
  <c r="AS466" i="2"/>
  <c r="AS457" i="2"/>
  <c r="AS442" i="2"/>
  <c r="AS440" i="2"/>
  <c r="AW440" i="2"/>
  <c r="AS453" i="2"/>
  <c r="AW453" i="2"/>
  <c r="AS439" i="2"/>
  <c r="AW439" i="2"/>
  <c r="AS446" i="2"/>
  <c r="AS472" i="2"/>
  <c r="AS464" i="2"/>
  <c r="AS428" i="2"/>
  <c r="AW435" i="2"/>
  <c r="AS435" i="2"/>
  <c r="AS430" i="2"/>
  <c r="AW430" i="2"/>
  <c r="AS476" i="2"/>
  <c r="AS460" i="2"/>
  <c r="AS455" i="2"/>
  <c r="AS450" i="2"/>
  <c r="AW448" i="2"/>
  <c r="AW437" i="2"/>
  <c r="AS444" i="2"/>
  <c r="AW444" i="2"/>
  <c r="AW438" i="2"/>
  <c r="AS471" i="2"/>
  <c r="AS463" i="2"/>
  <c r="AS449" i="2"/>
  <c r="BI448" i="2"/>
  <c r="BI438" i="2"/>
  <c r="BI434" i="2"/>
  <c r="BI429" i="2"/>
  <c r="BI439" i="2"/>
  <c r="BI454" i="2"/>
  <c r="BI455" i="2"/>
  <c r="BI443" i="2"/>
  <c r="BI453" i="2"/>
  <c r="BI450" i="2"/>
  <c r="BI431" i="2"/>
  <c r="BI452" i="2"/>
  <c r="BI449" i="2"/>
  <c r="BI440" i="2"/>
  <c r="BI433" i="2"/>
  <c r="BI451" i="2"/>
  <c r="BI432" i="2"/>
  <c r="BI428" i="2"/>
  <c r="BI436" i="2"/>
  <c r="BI441" i="2"/>
  <c r="BI444" i="2"/>
  <c r="BI445" i="2"/>
  <c r="BI430" i="2"/>
  <c r="BI456" i="2"/>
  <c r="BI435" i="2"/>
  <c r="BI442" i="2"/>
  <c r="BI437" i="2"/>
  <c r="BI447" i="2"/>
  <c r="BI446" i="2"/>
  <c r="K49" i="3"/>
  <c r="L49" i="3" s="1"/>
  <c r="K55" i="3"/>
  <c r="L55" i="3" s="1"/>
  <c r="G29" i="3" l="1" a="1"/>
  <c r="G29" i="3" s="1"/>
  <c r="N29" i="3" a="1"/>
  <c r="N29" i="3" s="1"/>
  <c r="I29" i="3" s="1"/>
  <c r="G30" i="3" a="1"/>
  <c r="G30" i="3" s="1"/>
  <c r="G28" i="3" a="1"/>
  <c r="G28" i="3" s="1"/>
  <c r="N27" i="3" a="1"/>
  <c r="N27" i="3" s="1"/>
  <c r="I27" i="3" s="1"/>
  <c r="G27" i="3" a="1"/>
  <c r="G27" i="3" s="1"/>
  <c r="N51" i="3" a="1"/>
  <c r="N51" i="3" s="1"/>
  <c r="I51" i="3" s="1"/>
  <c r="G51" i="3" a="1"/>
  <c r="G51" i="3" s="1"/>
  <c r="G52" i="3" a="1"/>
  <c r="G52" i="3" s="1"/>
  <c r="BJ454" i="2"/>
  <c r="BJ455" i="2"/>
  <c r="BJ440" i="2"/>
  <c r="BJ451" i="2"/>
  <c r="BJ438" i="2"/>
  <c r="BJ432" i="2"/>
  <c r="BJ431" i="2"/>
  <c r="BJ448" i="2"/>
  <c r="BJ442" i="2"/>
  <c r="BJ450" i="2"/>
  <c r="BJ441" i="2"/>
  <c r="N59" i="3" a="1"/>
  <c r="N59" i="3" s="1"/>
  <c r="I59" i="3" s="1"/>
  <c r="G60" i="3" a="1"/>
  <c r="G60" i="3" s="1"/>
  <c r="G59" i="3" a="1"/>
  <c r="G59" i="3" s="1"/>
  <c r="BJ437" i="2"/>
  <c r="BJ444" i="2"/>
  <c r="BJ447" i="2"/>
  <c r="BJ439" i="2"/>
  <c r="BJ446" i="2"/>
  <c r="BJ435" i="2"/>
  <c r="BJ430" i="2"/>
  <c r="BJ436" i="2"/>
  <c r="BJ433" i="2"/>
  <c r="BJ449" i="2"/>
  <c r="BJ453" i="2"/>
  <c r="BJ429" i="2"/>
  <c r="BN431" i="2"/>
  <c r="BJ456" i="2"/>
  <c r="BN454" i="2"/>
  <c r="BN429" i="2"/>
  <c r="BN430" i="2"/>
  <c r="BN452" i="2"/>
  <c r="BN445" i="2"/>
  <c r="BN453" i="2"/>
  <c r="BN444" i="2"/>
  <c r="BN451" i="2"/>
  <c r="BN449" i="2"/>
  <c r="BN456" i="2"/>
  <c r="BN432" i="2"/>
  <c r="BN433" i="2"/>
  <c r="BN443" i="2"/>
  <c r="BN441" i="2"/>
  <c r="BN440" i="2"/>
  <c r="BN450" i="2"/>
  <c r="BN438" i="2"/>
  <c r="BN446" i="2"/>
  <c r="BN435" i="2"/>
  <c r="BN436" i="2"/>
  <c r="BN455" i="2"/>
  <c r="BN439" i="2"/>
  <c r="BN437" i="2"/>
  <c r="BN448" i="2"/>
  <c r="BN428" i="2"/>
  <c r="BN447" i="2"/>
  <c r="BJ445" i="2"/>
  <c r="BJ428" i="2"/>
  <c r="BJ452" i="2"/>
  <c r="BJ443" i="2"/>
  <c r="BJ434" i="2"/>
  <c r="BN434" i="2"/>
  <c r="BN442" i="2"/>
  <c r="K25" i="3"/>
  <c r="L25" i="3" s="1"/>
  <c r="K45" i="3"/>
  <c r="L45" i="3" s="1"/>
  <c r="K29" i="3" l="1"/>
  <c r="L29" i="3" s="1"/>
  <c r="K27" i="3"/>
  <c r="L27" i="3" s="1"/>
  <c r="K51" i="3"/>
  <c r="L51" i="3" s="1"/>
  <c r="K59" i="3"/>
  <c r="L59" i="3" s="1"/>
  <c r="N57" i="3" a="1"/>
  <c r="N57" i="3" s="1"/>
  <c r="I57" i="3" s="1"/>
  <c r="G57" i="3" a="1"/>
  <c r="G57" i="3" s="1"/>
  <c r="G58" i="3" a="1"/>
  <c r="G58" i="3" s="1"/>
  <c r="K57" i="3" l="1"/>
  <c r="L57" i="3" s="1"/>
</calcChain>
</file>

<file path=xl/comments1.xml><?xml version="1.0" encoding="utf-8"?>
<comments xmlns="http://schemas.openxmlformats.org/spreadsheetml/2006/main">
  <authors>
    <author>Robert T. Doble</author>
    <author>Timothy D. Ainsley</author>
    <author>Pitt, Jordan</author>
  </authors>
  <commentList>
    <comment ref="L10" authorId="0" shapeId="0">
      <text>
        <r>
          <rPr>
            <b/>
            <sz val="8"/>
            <color indexed="81"/>
            <rFont val="Tahoma"/>
            <family val="2"/>
          </rPr>
          <t>Note:  This does not include abutment height.</t>
        </r>
        <r>
          <rPr>
            <sz val="8"/>
            <color indexed="81"/>
            <rFont val="Tahoma"/>
            <family val="2"/>
          </rPr>
          <t xml:space="preserve">
</t>
        </r>
      </text>
    </comment>
    <comment ref="L11" authorId="1" shapeId="0">
      <text>
        <r>
          <rPr>
            <b/>
            <sz val="8"/>
            <color indexed="81"/>
            <rFont val="Tahoma"/>
            <family val="2"/>
          </rPr>
          <t>Input total length of wall, not the length of the reinforcing straps.</t>
        </r>
        <r>
          <rPr>
            <sz val="8"/>
            <color indexed="81"/>
            <rFont val="Tahoma"/>
            <family val="2"/>
          </rPr>
          <t xml:space="preserve">
</t>
        </r>
      </text>
    </comment>
    <comment ref="L21" authorId="1" shapeId="0">
      <text>
        <r>
          <rPr>
            <b/>
            <sz val="8"/>
            <color indexed="81"/>
            <rFont val="Tahoma"/>
            <family val="2"/>
          </rPr>
          <t>This input should be negative if the barrier is located directly on top of the wall facing.</t>
        </r>
        <r>
          <rPr>
            <sz val="8"/>
            <color indexed="81"/>
            <rFont val="Tahoma"/>
            <family val="2"/>
          </rPr>
          <t xml:space="preserve">
</t>
        </r>
      </text>
    </comment>
    <comment ref="L38" authorId="2" shapeId="0">
      <text>
        <r>
          <rPr>
            <b/>
            <sz val="8"/>
            <color indexed="81"/>
            <rFont val="Tahoma"/>
            <family val="2"/>
          </rPr>
          <t>Enter "n" if the ground is surface is horizontal (no slope). Enter "y" if ground is sloped (even when typ. 4'-0" horizontal bench is provided).</t>
        </r>
      </text>
    </comment>
  </commentList>
</comments>
</file>

<file path=xl/comments2.xml><?xml version="1.0" encoding="utf-8"?>
<comments xmlns="http://schemas.openxmlformats.org/spreadsheetml/2006/main">
  <authors>
    <author>Pitt, Jordan</author>
  </authors>
  <commentList>
    <comment ref="P428" authorId="0" shapeId="0">
      <text>
        <r>
          <rPr>
            <b/>
            <sz val="9"/>
            <color indexed="81"/>
            <rFont val="Tahoma"/>
            <family val="2"/>
          </rPr>
          <t>Pitt, Jordan:</t>
        </r>
        <r>
          <rPr>
            <sz val="9"/>
            <color indexed="81"/>
            <rFont val="Tahoma"/>
            <family val="2"/>
          </rPr>
          <t xml:space="preserve">
The full reinforcement length is considered when horizontal traffic impact load is specified.</t>
        </r>
      </text>
    </comment>
    <comment ref="M639" authorId="0" shapeId="0">
      <text>
        <r>
          <rPr>
            <b/>
            <sz val="9"/>
            <color indexed="81"/>
            <rFont val="Tahoma"/>
            <family val="2"/>
          </rPr>
          <t>Pitt, Jordan:</t>
        </r>
        <r>
          <rPr>
            <sz val="9"/>
            <color indexed="81"/>
            <rFont val="Tahoma"/>
            <family val="2"/>
          </rPr>
          <t xml:space="preserve">
See below for parameters used to calculate T</t>
        </r>
        <r>
          <rPr>
            <sz val="8"/>
            <color indexed="81"/>
            <rFont val="Tahoma"/>
            <family val="2"/>
          </rPr>
          <t>md</t>
        </r>
      </text>
    </comment>
  </commentList>
</comments>
</file>

<file path=xl/sharedStrings.xml><?xml version="1.0" encoding="utf-8"?>
<sst xmlns="http://schemas.openxmlformats.org/spreadsheetml/2006/main" count="2607" uniqueCount="819">
  <si>
    <t>External Geometry:</t>
  </si>
  <si>
    <t>Other:</t>
  </si>
  <si>
    <t>Units</t>
  </si>
  <si>
    <t>deg</t>
  </si>
  <si>
    <t>dim</t>
  </si>
  <si>
    <t xml:space="preserve">LOAD </t>
  </si>
  <si>
    <t>SERV I</t>
  </si>
  <si>
    <t>STR I</t>
  </si>
  <si>
    <t>STR III</t>
  </si>
  <si>
    <t>EXTREME I</t>
  </si>
  <si>
    <t>EXTREME II</t>
  </si>
  <si>
    <t>FACTOR</t>
  </si>
  <si>
    <t>MIN</t>
  </si>
  <si>
    <t>MAX</t>
  </si>
  <si>
    <t>Broken</t>
  </si>
  <si>
    <t>USE</t>
  </si>
  <si>
    <t>h</t>
  </si>
  <si>
    <t>Sloping</t>
  </si>
  <si>
    <r>
      <t>H</t>
    </r>
    <r>
      <rPr>
        <vertAlign val="subscript"/>
        <sz val="10"/>
        <rFont val="Arial"/>
        <family val="2"/>
      </rPr>
      <t>2</t>
    </r>
  </si>
  <si>
    <r>
      <t>0.5 P</t>
    </r>
    <r>
      <rPr>
        <vertAlign val="subscript"/>
        <sz val="10"/>
        <rFont val="Arial"/>
        <family val="2"/>
      </rPr>
      <t>AEv</t>
    </r>
  </si>
  <si>
    <r>
      <t>H</t>
    </r>
    <r>
      <rPr>
        <vertAlign val="subscript"/>
        <sz val="10"/>
        <rFont val="Arial"/>
        <family val="2"/>
      </rPr>
      <t>1</t>
    </r>
  </si>
  <si>
    <r>
      <t>l</t>
    </r>
    <r>
      <rPr>
        <vertAlign val="subscript"/>
        <sz val="10"/>
        <rFont val="Arial"/>
        <family val="2"/>
      </rPr>
      <t>2</t>
    </r>
  </si>
  <si>
    <t>B</t>
  </si>
  <si>
    <t>A1</t>
  </si>
  <si>
    <t>A2</t>
  </si>
  <si>
    <r>
      <t>l</t>
    </r>
    <r>
      <rPr>
        <vertAlign val="subscript"/>
        <sz val="10"/>
        <rFont val="Arial"/>
        <family val="2"/>
      </rPr>
      <t>1</t>
    </r>
  </si>
  <si>
    <t>Moment</t>
  </si>
  <si>
    <t>Arm</t>
  </si>
  <si>
    <t>Arm (ft)</t>
  </si>
  <si>
    <r>
      <t>e</t>
    </r>
    <r>
      <rPr>
        <vertAlign val="subscript"/>
        <sz val="10"/>
        <rFont val="Arial"/>
        <family val="2"/>
      </rPr>
      <t>B</t>
    </r>
  </si>
  <si>
    <t>Check</t>
  </si>
  <si>
    <r>
      <t>X</t>
    </r>
    <r>
      <rPr>
        <vertAlign val="subscript"/>
        <sz val="10"/>
        <rFont val="Arial"/>
        <family val="2"/>
      </rPr>
      <t>o</t>
    </r>
  </si>
  <si>
    <t>For Cohesionless soil or rock</t>
  </si>
  <si>
    <t>D =</t>
  </si>
  <si>
    <t>Layer</t>
  </si>
  <si>
    <t>Depth, Z</t>
  </si>
  <si>
    <t>Tmax</t>
  </si>
  <si>
    <t>Z + S</t>
  </si>
  <si>
    <t>Le</t>
  </si>
  <si>
    <r>
      <t>T</t>
    </r>
    <r>
      <rPr>
        <vertAlign val="subscript"/>
        <sz val="10"/>
        <rFont val="Arial"/>
        <family val="2"/>
      </rPr>
      <t>md</t>
    </r>
  </si>
  <si>
    <r>
      <t>T</t>
    </r>
    <r>
      <rPr>
        <vertAlign val="subscript"/>
        <sz val="10"/>
        <rFont val="Arial"/>
        <family val="2"/>
      </rPr>
      <t>total</t>
    </r>
  </si>
  <si>
    <t>(tsf)</t>
  </si>
  <si>
    <t>(ft)</t>
  </si>
  <si>
    <t>F*</t>
  </si>
  <si>
    <r>
      <t>y</t>
    </r>
    <r>
      <rPr>
        <vertAlign val="subscript"/>
        <sz val="10"/>
        <rFont val="Arial"/>
        <family val="2"/>
      </rPr>
      <t>r</t>
    </r>
  </si>
  <si>
    <t>b</t>
  </si>
  <si>
    <t>c</t>
  </si>
  <si>
    <t>Active zone of extensible reinforcement</t>
  </si>
  <si>
    <r>
      <t>Ds</t>
    </r>
    <r>
      <rPr>
        <vertAlign val="subscript"/>
        <sz val="10"/>
        <rFont val="Arial"/>
        <family val="2"/>
      </rPr>
      <t>v</t>
    </r>
  </si>
  <si>
    <t>mils</t>
  </si>
  <si>
    <t>yrs</t>
  </si>
  <si>
    <t>mils =</t>
  </si>
  <si>
    <t>t/ft</t>
  </si>
  <si>
    <r>
      <t>s</t>
    </r>
    <r>
      <rPr>
        <vertAlign val="subscript"/>
        <sz val="10"/>
        <rFont val="Arial"/>
        <family val="2"/>
      </rPr>
      <t>v</t>
    </r>
  </si>
  <si>
    <r>
      <t>T</t>
    </r>
    <r>
      <rPr>
        <vertAlign val="subscript"/>
        <sz val="10"/>
        <rFont val="Arial"/>
        <family val="2"/>
      </rPr>
      <t>max</t>
    </r>
  </si>
  <si>
    <t>t</t>
  </si>
  <si>
    <t>ft</t>
  </si>
  <si>
    <r>
      <t>j</t>
    </r>
    <r>
      <rPr>
        <vertAlign val="subscript"/>
        <sz val="10"/>
        <rFont val="Arial"/>
        <family val="2"/>
      </rPr>
      <t>t</t>
    </r>
    <r>
      <rPr>
        <sz val="10"/>
        <rFont val="Arial"/>
        <family val="2"/>
      </rPr>
      <t>*T</t>
    </r>
    <r>
      <rPr>
        <vertAlign val="subscript"/>
        <sz val="10"/>
        <rFont val="Arial"/>
        <family val="2"/>
      </rPr>
      <t>al</t>
    </r>
    <r>
      <rPr>
        <sz val="10"/>
        <rFont val="Arial"/>
        <family val="2"/>
      </rPr>
      <t>*Rc</t>
    </r>
  </si>
  <si>
    <t>Steel</t>
  </si>
  <si>
    <t>CONNECTION CHECKS</t>
  </si>
  <si>
    <r>
      <t>Theoretical angle of broken backfill slope</t>
    </r>
    <r>
      <rPr>
        <sz val="10"/>
        <rFont val="Symbol"/>
        <family val="1"/>
        <charset val="2"/>
      </rPr>
      <t xml:space="preserve"> </t>
    </r>
  </si>
  <si>
    <t>Failure plane of extensible reinforcement</t>
  </si>
  <si>
    <t>For Cohesive soil</t>
  </si>
  <si>
    <t>Static</t>
  </si>
  <si>
    <t>x</t>
  </si>
  <si>
    <t>Dynamic</t>
  </si>
  <si>
    <t>D*</t>
  </si>
  <si>
    <t>each</t>
  </si>
  <si>
    <t>D</t>
  </si>
  <si>
    <t>LAYERS OF REINFORCEMENT</t>
  </si>
  <si>
    <t>REINFORCEMENT DATA NEEDS TO BE ENTERED FOR</t>
  </si>
  <si>
    <t>TABLE FOR LAYERS OF REINFORCEMENT BEHIND MSE WALL</t>
  </si>
  <si>
    <t xml:space="preserve">TABLE FOR LAYERS OF REINFORCEMENT BEHIND ABUTMENT </t>
  </si>
  <si>
    <r>
      <t>j</t>
    </r>
    <r>
      <rPr>
        <vertAlign val="subscript"/>
        <sz val="10"/>
        <rFont val="Arial"/>
        <family val="2"/>
      </rPr>
      <t>t</t>
    </r>
    <r>
      <rPr>
        <sz val="10"/>
        <rFont val="Arial"/>
        <family val="2"/>
      </rPr>
      <t>*T</t>
    </r>
    <r>
      <rPr>
        <vertAlign val="subscript"/>
        <sz val="10"/>
        <rFont val="Arial"/>
        <family val="2"/>
      </rPr>
      <t>ac</t>
    </r>
    <r>
      <rPr>
        <sz val="10"/>
        <rFont val="Arial"/>
        <family val="2"/>
      </rPr>
      <t>*Rc</t>
    </r>
  </si>
  <si>
    <r>
      <t>j</t>
    </r>
    <r>
      <rPr>
        <sz val="10"/>
        <rFont val="Arial"/>
        <family val="2"/>
      </rPr>
      <t>S</t>
    </r>
    <r>
      <rPr>
        <vertAlign val="subscript"/>
        <sz val="10"/>
        <rFont val="Arial"/>
        <family val="2"/>
      </rPr>
      <t>rs</t>
    </r>
    <r>
      <rPr>
        <sz val="10"/>
        <rFont val="Arial"/>
        <family val="2"/>
      </rPr>
      <t>CR</t>
    </r>
    <r>
      <rPr>
        <vertAlign val="subscript"/>
        <sz val="10"/>
        <rFont val="Arial"/>
        <family val="2"/>
      </rPr>
      <t>cr</t>
    </r>
    <r>
      <rPr>
        <sz val="10"/>
        <rFont val="Arial"/>
        <family val="2"/>
      </rPr>
      <t>/RF</t>
    </r>
    <r>
      <rPr>
        <vertAlign val="subscript"/>
        <sz val="10"/>
        <rFont val="Arial"/>
        <family val="2"/>
      </rPr>
      <t>D</t>
    </r>
  </si>
  <si>
    <r>
      <t>j</t>
    </r>
    <r>
      <rPr>
        <sz val="10"/>
        <rFont val="Arial"/>
        <family val="2"/>
      </rPr>
      <t>S</t>
    </r>
    <r>
      <rPr>
        <vertAlign val="subscript"/>
        <sz val="10"/>
        <rFont val="Arial"/>
        <family val="2"/>
      </rPr>
      <t>rt</t>
    </r>
    <r>
      <rPr>
        <sz val="10"/>
        <rFont val="Arial"/>
        <family val="2"/>
      </rPr>
      <t>CR</t>
    </r>
    <r>
      <rPr>
        <vertAlign val="subscript"/>
        <sz val="10"/>
        <rFont val="Arial"/>
        <family val="2"/>
      </rPr>
      <t>u</t>
    </r>
    <r>
      <rPr>
        <sz val="10"/>
        <rFont val="Arial"/>
        <family val="2"/>
      </rPr>
      <t>/RF</t>
    </r>
    <r>
      <rPr>
        <vertAlign val="subscript"/>
        <sz val="10"/>
        <rFont val="Arial"/>
        <family val="2"/>
      </rPr>
      <t>D</t>
    </r>
  </si>
  <si>
    <t xml:space="preserve">Dynamic </t>
  </si>
  <si>
    <t>TENSION CHECKS</t>
  </si>
  <si>
    <t>PERF.</t>
  </si>
  <si>
    <t>CONTR.</t>
  </si>
  <si>
    <t>Ttotal</t>
  </si>
  <si>
    <t>Tmd</t>
  </si>
  <si>
    <t>CC(EXT)</t>
  </si>
  <si>
    <t>External Stability</t>
  </si>
  <si>
    <t>Load Case</t>
  </si>
  <si>
    <t>Perf. Ratio</t>
  </si>
  <si>
    <r>
      <t>e</t>
    </r>
    <r>
      <rPr>
        <vertAlign val="subscript"/>
        <sz val="10"/>
        <rFont val="Arial"/>
        <family val="2"/>
      </rPr>
      <t xml:space="preserve">B </t>
    </r>
    <r>
      <rPr>
        <sz val="10"/>
        <rFont val="Arial"/>
        <family val="2"/>
      </rPr>
      <t>max =</t>
    </r>
  </si>
  <si>
    <t>Sliding:</t>
  </si>
  <si>
    <t>Bearing:</t>
  </si>
  <si>
    <t>q =</t>
  </si>
  <si>
    <t>Internal Stability for Metallic Reinforcement</t>
  </si>
  <si>
    <t>Tensile Resistance:</t>
  </si>
  <si>
    <t>Connection Strength:</t>
  </si>
  <si>
    <t>(Seismic)</t>
  </si>
  <si>
    <t>Internal Stability for Geosynthetic Reinforcement</t>
  </si>
  <si>
    <t>Tensile Resistance (Static):</t>
  </si>
  <si>
    <r>
      <t>j</t>
    </r>
    <r>
      <rPr>
        <sz val="10"/>
        <rFont val="Arial"/>
        <family val="2"/>
      </rPr>
      <t>S</t>
    </r>
    <r>
      <rPr>
        <vertAlign val="subscript"/>
        <sz val="10"/>
        <rFont val="Arial"/>
        <family val="2"/>
      </rPr>
      <t>rs</t>
    </r>
    <r>
      <rPr>
        <sz val="10"/>
        <rFont val="Arial"/>
        <family val="2"/>
      </rPr>
      <t>R</t>
    </r>
    <r>
      <rPr>
        <vertAlign val="subscript"/>
        <sz val="10"/>
        <rFont val="Arial"/>
        <family val="2"/>
      </rPr>
      <t>c</t>
    </r>
    <r>
      <rPr>
        <sz val="10"/>
        <rFont val="Arial"/>
        <family val="2"/>
      </rPr>
      <t>/RF =</t>
    </r>
  </si>
  <si>
    <t>Tensile Resistance (Transient):</t>
  </si>
  <si>
    <r>
      <t>j</t>
    </r>
    <r>
      <rPr>
        <sz val="10"/>
        <rFont val="Arial"/>
        <family val="2"/>
      </rPr>
      <t>S</t>
    </r>
    <r>
      <rPr>
        <vertAlign val="subscript"/>
        <sz val="10"/>
        <rFont val="Arial"/>
        <family val="2"/>
      </rPr>
      <t>rt</t>
    </r>
    <r>
      <rPr>
        <sz val="10"/>
        <rFont val="Arial"/>
        <family val="2"/>
      </rPr>
      <t>R</t>
    </r>
    <r>
      <rPr>
        <vertAlign val="subscript"/>
        <sz val="10"/>
        <rFont val="Arial"/>
        <family val="2"/>
      </rPr>
      <t>c</t>
    </r>
    <r>
      <rPr>
        <sz val="10"/>
        <rFont val="Arial"/>
        <family val="2"/>
      </rPr>
      <t>/(RF</t>
    </r>
    <r>
      <rPr>
        <vertAlign val="subscript"/>
        <sz val="10"/>
        <rFont val="Arial"/>
        <family val="2"/>
      </rPr>
      <t>ID</t>
    </r>
    <r>
      <rPr>
        <sz val="10"/>
        <rFont val="Arial"/>
        <family val="2"/>
      </rPr>
      <t>*RF</t>
    </r>
    <r>
      <rPr>
        <vertAlign val="subscript"/>
        <sz val="10"/>
        <rFont val="Arial"/>
        <family val="2"/>
      </rPr>
      <t>D</t>
    </r>
    <r>
      <rPr>
        <sz val="10"/>
        <rFont val="Arial"/>
        <family val="2"/>
      </rPr>
      <t>) =</t>
    </r>
  </si>
  <si>
    <t xml:space="preserve">Tensile Resistance: </t>
  </si>
  <si>
    <t xml:space="preserve">Tensile Resistance (Static): </t>
  </si>
  <si>
    <t xml:space="preserve">Tensile Resistance (Dynamic): </t>
  </si>
  <si>
    <t>Connection Strength (Static):</t>
  </si>
  <si>
    <t>Connection Strength (Dynamic):</t>
  </si>
  <si>
    <t>OK ?</t>
  </si>
  <si>
    <t>STR-I MIN</t>
  </si>
  <si>
    <t>STR-I MAX</t>
  </si>
  <si>
    <t>STR-III MIN</t>
  </si>
  <si>
    <t>STR-III MAX</t>
  </si>
  <si>
    <t>EXT-I MIN</t>
  </si>
  <si>
    <t>EXT-I MAX</t>
  </si>
  <si>
    <t>EXT-II MIN</t>
  </si>
  <si>
    <t>EXT-II MAX</t>
  </si>
  <si>
    <t>CONTROLLING = 1</t>
  </si>
  <si>
    <t># of Input Warnings/Errors =</t>
  </si>
  <si>
    <t>Notional height of earth pressure diagram</t>
  </si>
  <si>
    <r>
      <t>t/ft</t>
    </r>
    <r>
      <rPr>
        <vertAlign val="superscript"/>
        <sz val="10"/>
        <rFont val="Arial"/>
        <family val="2"/>
      </rPr>
      <t>2</t>
    </r>
  </si>
  <si>
    <r>
      <t>e</t>
    </r>
    <r>
      <rPr>
        <vertAlign val="subscript"/>
        <sz val="10"/>
        <rFont val="Arial"/>
        <family val="2"/>
      </rPr>
      <t>B</t>
    </r>
    <r>
      <rPr>
        <sz val="10"/>
        <rFont val="Arial"/>
        <family val="2"/>
      </rPr>
      <t xml:space="preserve"> =</t>
    </r>
  </si>
  <si>
    <t>Internal Stability for Abutment (Metallic Reinforcement)</t>
  </si>
  <si>
    <t>Internal Stability for Abutment (Geosynthetic Reinforcement)</t>
  </si>
  <si>
    <t>- Denotes Input Cells</t>
  </si>
  <si>
    <t>Title:</t>
  </si>
  <si>
    <t>By:</t>
  </si>
  <si>
    <t>Checked:</t>
  </si>
  <si>
    <t>Date:</t>
  </si>
  <si>
    <t>Chk'd:</t>
  </si>
  <si>
    <t>- Internal Calculations by the spreadsheet</t>
  </si>
  <si>
    <t>- External Stability Checks</t>
  </si>
  <si>
    <t xml:space="preserve">REINFORCEMENT DATA CAN BE ENTERED FOR A MAXIMUM OF </t>
  </si>
  <si>
    <r>
      <t>i</t>
    </r>
    <r>
      <rPr>
        <sz val="10"/>
        <rFont val="Symbol"/>
        <family val="1"/>
        <charset val="2"/>
      </rPr>
      <t>g</t>
    </r>
    <r>
      <rPr>
        <sz val="10"/>
        <rFont val="Arial"/>
        <family val="2"/>
      </rPr>
      <t xml:space="preserve"> =</t>
    </r>
  </si>
  <si>
    <t>n =</t>
  </si>
  <si>
    <t>Horizontal backfill only for construction live loads</t>
  </si>
  <si>
    <t>(overlap)</t>
  </si>
  <si>
    <r>
      <t>L</t>
    </r>
    <r>
      <rPr>
        <vertAlign val="subscript"/>
        <sz val="10"/>
        <rFont val="Arial"/>
        <family val="2"/>
      </rPr>
      <t>overlap</t>
    </r>
  </si>
  <si>
    <t>PULLOUT</t>
  </si>
  <si>
    <t>STRENGTH</t>
  </si>
  <si>
    <t>Directions:</t>
  </si>
  <si>
    <t>Design Criteria:</t>
  </si>
  <si>
    <t>Color Coding:</t>
  </si>
  <si>
    <t>Red Text</t>
  </si>
  <si>
    <t>Sketches:</t>
  </si>
  <si>
    <t>Figure 11. Barrier Moment Slab Loading Scenario</t>
  </si>
  <si>
    <t>Figure 14. Abutment Loading Scenario</t>
  </si>
  <si>
    <t>Loverlap</t>
  </si>
  <si>
    <r>
      <t>L</t>
    </r>
    <r>
      <rPr>
        <vertAlign val="subscript"/>
        <sz val="10"/>
        <rFont val="Arial"/>
        <family val="2"/>
      </rPr>
      <t>overlap</t>
    </r>
    <r>
      <rPr>
        <sz val="10"/>
        <rFont val="Arial"/>
        <family val="2"/>
      </rPr>
      <t xml:space="preserve"> =</t>
    </r>
  </si>
  <si>
    <t>MSE WALL DESIGN SPREADSHEET</t>
  </si>
  <si>
    <t xml:space="preserve"> #</t>
  </si>
  <si>
    <t>STR-I MIN (TEMP LL)</t>
  </si>
  <si>
    <t>STR-I MAX (TEMP LL)</t>
  </si>
  <si>
    <t>STR-III MIN (TEMP LL)</t>
  </si>
  <si>
    <t>STR-III MAX (TEMP LL)</t>
  </si>
  <si>
    <t>EXT-I MIN (TEMP LL)</t>
  </si>
  <si>
    <t>EXT-I MAX (TEMP LL)</t>
  </si>
  <si>
    <t>tsf</t>
  </si>
  <si>
    <t>(t/ft)</t>
  </si>
  <si>
    <t>tons/ft</t>
  </si>
  <si>
    <t>n</t>
  </si>
  <si>
    <t>s</t>
  </si>
  <si>
    <t>H =</t>
  </si>
  <si>
    <t>Length of wall:</t>
  </si>
  <si>
    <t>Angle of backfill slope:</t>
  </si>
  <si>
    <t>Friction angle of base soil:</t>
  </si>
  <si>
    <r>
      <t>L</t>
    </r>
    <r>
      <rPr>
        <vertAlign val="subscript"/>
        <sz val="10"/>
        <rFont val="Arial"/>
        <family val="2"/>
      </rPr>
      <t>wall</t>
    </r>
    <r>
      <rPr>
        <sz val="10"/>
        <rFont val="Arial"/>
        <family val="2"/>
      </rPr>
      <t xml:space="preserve"> =</t>
    </r>
  </si>
  <si>
    <t>Thickness of wall facing elements:</t>
  </si>
  <si>
    <r>
      <t>T</t>
    </r>
    <r>
      <rPr>
        <vertAlign val="subscript"/>
        <sz val="10"/>
        <rFont val="Arial"/>
        <family val="2"/>
      </rPr>
      <t>wall</t>
    </r>
    <r>
      <rPr>
        <sz val="10"/>
        <rFont val="Arial"/>
        <family val="2"/>
      </rPr>
      <t xml:space="preserve"> =</t>
    </r>
  </si>
  <si>
    <r>
      <rPr>
        <sz val="10"/>
        <rFont val="Symbol"/>
        <family val="1"/>
        <charset val="2"/>
      </rPr>
      <t>b</t>
    </r>
    <r>
      <rPr>
        <sz val="10"/>
        <rFont val="Arial"/>
        <family val="2"/>
      </rPr>
      <t xml:space="preserve"> =</t>
    </r>
  </si>
  <si>
    <t>Unit weight of reinforced soil (specified backfill):</t>
  </si>
  <si>
    <t>Friction angle of reinforced soil (specified backfill):</t>
  </si>
  <si>
    <r>
      <t>h</t>
    </r>
    <r>
      <rPr>
        <vertAlign val="subscript"/>
        <sz val="10"/>
        <rFont val="Ariel"/>
      </rPr>
      <t>B</t>
    </r>
    <r>
      <rPr>
        <sz val="10"/>
        <rFont val="aRIEL"/>
      </rPr>
      <t xml:space="preserve"> =</t>
    </r>
  </si>
  <si>
    <t>Height of backfill above wall (for broken backfill only):</t>
  </si>
  <si>
    <t>INPUT DATA:</t>
  </si>
  <si>
    <r>
      <t>A</t>
    </r>
    <r>
      <rPr>
        <vertAlign val="subscript"/>
        <sz val="10"/>
        <rFont val="Arial"/>
        <family val="2"/>
      </rPr>
      <t>h</t>
    </r>
    <r>
      <rPr>
        <sz val="10"/>
        <rFont val="Arial"/>
        <family val="2"/>
      </rPr>
      <t xml:space="preserve"> =</t>
    </r>
  </si>
  <si>
    <r>
      <t>A</t>
    </r>
    <r>
      <rPr>
        <vertAlign val="subscript"/>
        <sz val="10"/>
        <rFont val="Arial"/>
        <family val="2"/>
      </rPr>
      <t>f</t>
    </r>
    <r>
      <rPr>
        <sz val="10"/>
        <rFont val="Arial"/>
        <family val="2"/>
      </rPr>
      <t xml:space="preserve"> =</t>
    </r>
  </si>
  <si>
    <r>
      <t>A</t>
    </r>
    <r>
      <rPr>
        <vertAlign val="subscript"/>
        <sz val="10"/>
        <rFont val="Arial"/>
        <family val="2"/>
      </rPr>
      <t>d</t>
    </r>
    <r>
      <rPr>
        <sz val="10"/>
        <rFont val="Arial"/>
        <family val="2"/>
      </rPr>
      <t xml:space="preserve"> =</t>
    </r>
  </si>
  <si>
    <t>Total height of fill behind abutment, from bottom of footing to bottom of roadway (see Figure 14):</t>
  </si>
  <si>
    <t>Variable</t>
  </si>
  <si>
    <t>Value</t>
  </si>
  <si>
    <r>
      <t>Description</t>
    </r>
    <r>
      <rPr>
        <sz val="10"/>
        <rFont val="Arial"/>
        <family val="2"/>
      </rPr>
      <t xml:space="preserve"> </t>
    </r>
  </si>
  <si>
    <r>
      <t>c</t>
    </r>
    <r>
      <rPr>
        <vertAlign val="subscript"/>
        <sz val="10"/>
        <rFont val="Arial"/>
        <family val="2"/>
      </rPr>
      <t>f</t>
    </r>
    <r>
      <rPr>
        <sz val="10"/>
        <rFont val="Arial"/>
        <family val="2"/>
      </rPr>
      <t xml:space="preserve"> =</t>
    </r>
  </si>
  <si>
    <t>Width of abutment footing or barrier moment slab (see Figures 11 &amp; 14):</t>
  </si>
  <si>
    <r>
      <t>b</t>
    </r>
    <r>
      <rPr>
        <vertAlign val="subscript"/>
        <sz val="10"/>
        <rFont val="Arial"/>
        <family val="2"/>
      </rPr>
      <t>f</t>
    </r>
    <r>
      <rPr>
        <sz val="10"/>
        <rFont val="Arial"/>
        <family val="2"/>
      </rPr>
      <t xml:space="preserve"> =</t>
    </r>
  </si>
  <si>
    <t>Dist. from back of wall to front edge of abutment, or to back face of barrier (see Figures 11 &amp; 14):</t>
  </si>
  <si>
    <r>
      <t>p</t>
    </r>
    <r>
      <rPr>
        <vertAlign val="subscript"/>
        <sz val="10"/>
        <rFont val="Arial"/>
        <family val="2"/>
      </rPr>
      <t>w</t>
    </r>
    <r>
      <rPr>
        <sz val="10"/>
        <rFont val="Arial"/>
        <family val="2"/>
      </rPr>
      <t xml:space="preserve"> =</t>
    </r>
  </si>
  <si>
    <t>d =</t>
  </si>
  <si>
    <r>
      <rPr>
        <sz val="10"/>
        <rFont val="Symbol"/>
        <family val="1"/>
        <charset val="2"/>
      </rPr>
      <t>f</t>
    </r>
    <r>
      <rPr>
        <vertAlign val="subscript"/>
        <sz val="10"/>
        <rFont val="Arial"/>
        <family val="2"/>
      </rPr>
      <t>r</t>
    </r>
    <r>
      <rPr>
        <sz val="10"/>
        <rFont val="Arial"/>
        <family val="2"/>
      </rPr>
      <t xml:space="preserve"> =</t>
    </r>
  </si>
  <si>
    <r>
      <rPr>
        <sz val="10"/>
        <rFont val="Symbol"/>
        <family val="1"/>
        <charset val="2"/>
      </rPr>
      <t>f</t>
    </r>
    <r>
      <rPr>
        <vertAlign val="subscript"/>
        <sz val="10"/>
        <rFont val="Arial"/>
        <family val="2"/>
      </rPr>
      <t xml:space="preserve">f </t>
    </r>
    <r>
      <rPr>
        <sz val="10"/>
        <rFont val="Arial"/>
        <family val="2"/>
      </rPr>
      <t>=</t>
    </r>
  </si>
  <si>
    <t>c =</t>
  </si>
  <si>
    <t>Saturated unit weight of base soil:</t>
  </si>
  <si>
    <t>Moist unit weight of base soil:</t>
  </si>
  <si>
    <t>Depth of wall below ground surface (front face embedment) [A11.10.2.2]:</t>
  </si>
  <si>
    <t>Soil / Rock Properties:</t>
  </si>
  <si>
    <t>HC =</t>
  </si>
  <si>
    <r>
      <t>z</t>
    </r>
    <r>
      <rPr>
        <vertAlign val="subscript"/>
        <sz val="10"/>
        <rFont val="Arial"/>
        <family val="2"/>
      </rPr>
      <t>w</t>
    </r>
    <r>
      <rPr>
        <sz val="10"/>
        <rFont val="Arial"/>
        <family val="2"/>
      </rPr>
      <t xml:space="preserve"> =</t>
    </r>
  </si>
  <si>
    <r>
      <t>N</t>
    </r>
    <r>
      <rPr>
        <vertAlign val="subscript"/>
        <sz val="10"/>
        <rFont val="Arial"/>
        <family val="2"/>
      </rPr>
      <t>ms</t>
    </r>
    <r>
      <rPr>
        <sz val="10"/>
        <rFont val="Arial"/>
        <family val="2"/>
      </rPr>
      <t xml:space="preserve"> =</t>
    </r>
  </si>
  <si>
    <t>Coefficient Nms to estimate nominal bearing resistance of rock [D10.6.3.2.2-1P]:</t>
  </si>
  <si>
    <r>
      <rPr>
        <sz val="10"/>
        <rFont val="Symbol"/>
        <family val="1"/>
        <charset val="2"/>
      </rPr>
      <t>j</t>
    </r>
    <r>
      <rPr>
        <vertAlign val="subscript"/>
        <sz val="10"/>
        <rFont val="Symbol"/>
        <family val="1"/>
        <charset val="2"/>
      </rPr>
      <t>t</t>
    </r>
    <r>
      <rPr>
        <sz val="10"/>
        <rFont val="Arial"/>
        <family val="2"/>
      </rPr>
      <t xml:space="preserve"> =</t>
    </r>
  </si>
  <si>
    <t>Resistance factor for bearing [D10.5.5.2.2]:</t>
  </si>
  <si>
    <t>Resistance factor for sliding resistance between soil and foundation [D10.5.5.2.2]:</t>
  </si>
  <si>
    <t>Resistance factor for bearing for seismic loading [A10.5.5.3.3]:</t>
  </si>
  <si>
    <r>
      <rPr>
        <sz val="10"/>
        <rFont val="Symbol"/>
        <family val="1"/>
        <charset val="2"/>
      </rPr>
      <t>j</t>
    </r>
    <r>
      <rPr>
        <vertAlign val="subscript"/>
        <sz val="10"/>
        <rFont val="Arial"/>
        <family val="2"/>
      </rPr>
      <t>s</t>
    </r>
    <r>
      <rPr>
        <sz val="10"/>
        <rFont val="Arial"/>
        <family val="2"/>
      </rPr>
      <t xml:space="preserve"> =</t>
    </r>
  </si>
  <si>
    <t>Height of wall:</t>
  </si>
  <si>
    <t>Undrained shear strength of cohesive soils (for sliding resistance of clay):</t>
  </si>
  <si>
    <t>cohesion of base soil:</t>
  </si>
  <si>
    <t>ksf</t>
  </si>
  <si>
    <t>kcf</t>
  </si>
  <si>
    <t>Geometry of Reinforcement Layers Behind Abutment:</t>
  </si>
  <si>
    <t>(Note: Reinforcement Data for layers behind abutment must be entered in separate table below)</t>
  </si>
  <si>
    <r>
      <t>Z</t>
    </r>
    <r>
      <rPr>
        <vertAlign val="subscript"/>
        <sz val="10"/>
        <rFont val="Arial"/>
        <family val="2"/>
      </rPr>
      <t>1a</t>
    </r>
    <r>
      <rPr>
        <sz val="10"/>
        <rFont val="Arial"/>
        <family val="2"/>
      </rPr>
      <t xml:space="preserve"> =</t>
    </r>
  </si>
  <si>
    <r>
      <t>S</t>
    </r>
    <r>
      <rPr>
        <vertAlign val="subscript"/>
        <sz val="10"/>
        <rFont val="Arial"/>
        <family val="2"/>
      </rPr>
      <t>va</t>
    </r>
    <r>
      <rPr>
        <sz val="10"/>
        <rFont val="Arial"/>
        <family val="2"/>
      </rPr>
      <t xml:space="preserve"> =</t>
    </r>
  </si>
  <si>
    <t>in.</t>
  </si>
  <si>
    <r>
      <t>in.</t>
    </r>
    <r>
      <rPr>
        <vertAlign val="superscript"/>
        <sz val="10"/>
        <rFont val="Arial"/>
        <family val="2"/>
      </rPr>
      <t>2</t>
    </r>
  </si>
  <si>
    <t>DC =</t>
  </si>
  <si>
    <t>DW =</t>
  </si>
  <si>
    <t>k/ft</t>
  </si>
  <si>
    <t>tcf</t>
  </si>
  <si>
    <t>ksi</t>
  </si>
  <si>
    <r>
      <t>P</t>
    </r>
    <r>
      <rPr>
        <vertAlign val="subscript"/>
        <sz val="10"/>
        <rFont val="Arial"/>
        <family val="2"/>
      </rPr>
      <t>H1a</t>
    </r>
    <r>
      <rPr>
        <sz val="10"/>
        <rFont val="Arial"/>
        <family val="2"/>
      </rPr>
      <t xml:space="preserve"> =</t>
    </r>
  </si>
  <si>
    <r>
      <t>h</t>
    </r>
    <r>
      <rPr>
        <vertAlign val="subscript"/>
        <sz val="10"/>
        <rFont val="Arial"/>
        <family val="2"/>
      </rPr>
      <t>eq</t>
    </r>
    <r>
      <rPr>
        <sz val="10"/>
        <rFont val="Arial"/>
        <family val="2"/>
      </rPr>
      <t xml:space="preserve"> =</t>
    </r>
  </si>
  <si>
    <t>---------&gt;</t>
  </si>
  <si>
    <r>
      <rPr>
        <sz val="10"/>
        <rFont val="Arial"/>
        <family val="2"/>
      </rPr>
      <t xml:space="preserve">Is there an abutment (supported on piles) in the reinforcing zone? </t>
    </r>
    <r>
      <rPr>
        <i/>
        <sz val="10"/>
        <rFont val="Arial"/>
        <family val="2"/>
      </rPr>
      <t>y = yes, n = no</t>
    </r>
  </si>
  <si>
    <r>
      <rPr>
        <sz val="10"/>
        <rFont val="Arial"/>
        <family val="2"/>
      </rPr>
      <t xml:space="preserve">Does connection to wall rely on friction or is it mechanical? </t>
    </r>
    <r>
      <rPr>
        <i/>
        <sz val="10"/>
        <rFont val="Arial"/>
        <family val="2"/>
      </rPr>
      <t>f = friction, m = mechanical</t>
    </r>
    <r>
      <rPr>
        <sz val="10"/>
        <rFont val="Arial"/>
        <family val="2"/>
      </rPr>
      <t xml:space="preserve"> (for geosynthetic only)</t>
    </r>
  </si>
  <si>
    <t>(Enter in table below)</t>
  </si>
  <si>
    <t>Factored Facing unit connection capacity for Strength limit state:</t>
  </si>
  <si>
    <t>Factored Facing unit connection capacity for Extreme Event limit state:</t>
  </si>
  <si>
    <r>
      <t>S</t>
    </r>
    <r>
      <rPr>
        <vertAlign val="subscript"/>
        <sz val="10"/>
        <rFont val="Arial"/>
        <family val="2"/>
      </rPr>
      <t>v</t>
    </r>
    <r>
      <rPr>
        <sz val="10"/>
        <rFont val="Arial"/>
        <family val="2"/>
      </rPr>
      <t xml:space="preserve"> =</t>
    </r>
  </si>
  <si>
    <r>
      <t>Length of reinforcing [Note: L</t>
    </r>
    <r>
      <rPr>
        <vertAlign val="subscript"/>
        <sz val="10"/>
        <rFont val="Arial"/>
        <family val="2"/>
      </rPr>
      <t>min</t>
    </r>
    <r>
      <rPr>
        <sz val="10"/>
        <rFont val="Arial"/>
        <family val="2"/>
      </rPr>
      <t xml:space="preserve"> = max (0.7 * (H + A</t>
    </r>
    <r>
      <rPr>
        <vertAlign val="subscript"/>
        <sz val="10"/>
        <rFont val="Arial"/>
        <family val="2"/>
      </rPr>
      <t>h</t>
    </r>
    <r>
      <rPr>
        <sz val="10"/>
        <rFont val="Arial"/>
        <family val="2"/>
      </rPr>
      <t xml:space="preserve"> - A</t>
    </r>
    <r>
      <rPr>
        <vertAlign val="subscript"/>
        <sz val="10"/>
        <rFont val="Arial"/>
        <family val="2"/>
      </rPr>
      <t>d</t>
    </r>
    <r>
      <rPr>
        <sz val="10"/>
        <rFont val="Arial"/>
        <family val="2"/>
      </rPr>
      <t>), or 8 ft)]:</t>
    </r>
  </si>
  <si>
    <t>L =</t>
  </si>
  <si>
    <r>
      <t>Z</t>
    </r>
    <r>
      <rPr>
        <vertAlign val="subscript"/>
        <sz val="10"/>
        <rFont val="Arial"/>
        <family val="2"/>
      </rPr>
      <t>1</t>
    </r>
    <r>
      <rPr>
        <sz val="10"/>
        <rFont val="Arial"/>
        <family val="2"/>
      </rPr>
      <t xml:space="preserve"> =</t>
    </r>
  </si>
  <si>
    <t>b =</t>
  </si>
  <si>
    <t>t =</t>
  </si>
  <si>
    <t>Horizontal spacing of reinforcement:</t>
  </si>
  <si>
    <t>Width of reinforcing strips or grids:</t>
  </si>
  <si>
    <t>Number of longitudinal bars per grid:</t>
  </si>
  <si>
    <t>Total thickness of reinforcing strips:</t>
  </si>
  <si>
    <t>Diameter of bar or wire:</t>
  </si>
  <si>
    <r>
      <t>S</t>
    </r>
    <r>
      <rPr>
        <vertAlign val="subscript"/>
        <sz val="10"/>
        <rFont val="Arial"/>
        <family val="2"/>
      </rPr>
      <t>h</t>
    </r>
    <r>
      <rPr>
        <sz val="10"/>
        <rFont val="Arial"/>
        <family val="2"/>
      </rPr>
      <t xml:space="preserve"> =</t>
    </r>
  </si>
  <si>
    <r>
      <t>N</t>
    </r>
    <r>
      <rPr>
        <vertAlign val="subscript"/>
        <sz val="10"/>
        <rFont val="Arial"/>
        <family val="2"/>
      </rPr>
      <t>b</t>
    </r>
    <r>
      <rPr>
        <sz val="10"/>
        <rFont val="Arial"/>
        <family val="2"/>
      </rPr>
      <t xml:space="preserve"> =</t>
    </r>
  </si>
  <si>
    <r>
      <t>T</t>
    </r>
    <r>
      <rPr>
        <vertAlign val="subscript"/>
        <sz val="10"/>
        <rFont val="Arial"/>
        <family val="2"/>
      </rPr>
      <t>r</t>
    </r>
    <r>
      <rPr>
        <sz val="10"/>
        <rFont val="Arial"/>
        <family val="2"/>
      </rPr>
      <t xml:space="preserve"> =</t>
    </r>
  </si>
  <si>
    <r>
      <t>S</t>
    </r>
    <r>
      <rPr>
        <vertAlign val="subscript"/>
        <sz val="10"/>
        <rFont val="Arial"/>
        <family val="2"/>
      </rPr>
      <t>t</t>
    </r>
    <r>
      <rPr>
        <sz val="10"/>
        <rFont val="Arial"/>
        <family val="2"/>
      </rPr>
      <t xml:space="preserve"> =</t>
    </r>
  </si>
  <si>
    <r>
      <t>RF</t>
    </r>
    <r>
      <rPr>
        <vertAlign val="subscript"/>
        <sz val="10"/>
        <rFont val="Arial"/>
        <family val="2"/>
      </rPr>
      <t>ID</t>
    </r>
    <r>
      <rPr>
        <sz val="10"/>
        <rFont val="Arial"/>
        <family val="2"/>
      </rPr>
      <t xml:space="preserve"> =</t>
    </r>
  </si>
  <si>
    <r>
      <t>RF</t>
    </r>
    <r>
      <rPr>
        <vertAlign val="subscript"/>
        <sz val="10"/>
        <rFont val="Arial"/>
        <family val="2"/>
      </rPr>
      <t>CR</t>
    </r>
    <r>
      <rPr>
        <sz val="10"/>
        <rFont val="Arial"/>
        <family val="2"/>
      </rPr>
      <t xml:space="preserve"> =</t>
    </r>
  </si>
  <si>
    <r>
      <t>RF</t>
    </r>
    <r>
      <rPr>
        <vertAlign val="subscript"/>
        <sz val="10"/>
        <rFont val="Arial"/>
        <family val="2"/>
      </rPr>
      <t>D</t>
    </r>
    <r>
      <rPr>
        <sz val="10"/>
        <rFont val="Arial"/>
        <family val="2"/>
      </rPr>
      <t xml:space="preserve"> =</t>
    </r>
  </si>
  <si>
    <t>C =</t>
  </si>
  <si>
    <r>
      <t>CR</t>
    </r>
    <r>
      <rPr>
        <vertAlign val="subscript"/>
        <sz val="10"/>
        <rFont val="Arial"/>
        <family val="2"/>
      </rPr>
      <t>cr</t>
    </r>
    <r>
      <rPr>
        <sz val="10"/>
        <rFont val="Arial"/>
        <family val="2"/>
      </rPr>
      <t xml:space="preserve"> =</t>
    </r>
  </si>
  <si>
    <r>
      <rPr>
        <sz val="10"/>
        <rFont val="Symbol"/>
        <family val="1"/>
        <charset val="2"/>
      </rPr>
      <t>j</t>
    </r>
    <r>
      <rPr>
        <sz val="10"/>
        <rFont val="Arial"/>
        <family val="2"/>
      </rPr>
      <t xml:space="preserve"> =</t>
    </r>
  </si>
  <si>
    <t>Reinforcement Data / Internal Geometry:</t>
  </si>
  <si>
    <r>
      <t>C</t>
    </r>
    <r>
      <rPr>
        <vertAlign val="subscript"/>
        <sz val="10"/>
        <rFont val="Arial"/>
        <family val="2"/>
      </rPr>
      <t>u</t>
    </r>
    <r>
      <rPr>
        <sz val="10"/>
        <rFont val="Arial"/>
        <family val="2"/>
      </rPr>
      <t xml:space="preserve"> =</t>
    </r>
  </si>
  <si>
    <r>
      <t>S</t>
    </r>
    <r>
      <rPr>
        <vertAlign val="subscript"/>
        <sz val="10"/>
        <rFont val="Arial"/>
        <family val="2"/>
      </rPr>
      <t>rs</t>
    </r>
    <r>
      <rPr>
        <sz val="10"/>
        <rFont val="Arial"/>
        <family val="2"/>
      </rPr>
      <t xml:space="preserve"> =</t>
    </r>
  </si>
  <si>
    <r>
      <t>S</t>
    </r>
    <r>
      <rPr>
        <vertAlign val="subscript"/>
        <sz val="10"/>
        <rFont val="Arial"/>
        <family val="2"/>
      </rPr>
      <t>rt</t>
    </r>
    <r>
      <rPr>
        <sz val="10"/>
        <rFont val="Arial"/>
        <family val="2"/>
      </rPr>
      <t xml:space="preserve"> =</t>
    </r>
  </si>
  <si>
    <t>Tensile resistance factor for static loading [A11.5.6-1]:</t>
  </si>
  <si>
    <t>Tensile resistance factor for combined static/earthquake loading [A11.5.6-1]:</t>
  </si>
  <si>
    <t>Pullout resistance factor for static loading [A11.5.6-1]:</t>
  </si>
  <si>
    <t>Pullout resistance factor for combined static/earthquake loading [A11.5.6-1]:</t>
  </si>
  <si>
    <t>Ultimate geosynthetic reinforcement tensile resistance (Static load component):</t>
  </si>
  <si>
    <t>Ultimate geosynthetic reinforcement tensile resistance (Dynamic load component):</t>
  </si>
  <si>
    <t>Area of reinforcing as determined by corrosion specialist (for aggressive soils only):</t>
  </si>
  <si>
    <t>Strength reduction factor for chemical and biological degradation [A11.10.6.4.2b]:</t>
  </si>
  <si>
    <t>Strength reduction factor for installation damage to geosynthetic reinforcement [A11.10.6.4.2b]:</t>
  </si>
  <si>
    <t>Strength reduction factor for long-term creep of geosynthetic reinforcement [A11.10.6.4.2b]:</t>
  </si>
  <si>
    <t>Long-term connection strength reduction factor [A11.10.6.4.4b]:</t>
  </si>
  <si>
    <t>[A11.10.6.4.2a]</t>
  </si>
  <si>
    <t>mil./yr. =</t>
  </si>
  <si>
    <t>(in.)</t>
  </si>
  <si>
    <r>
      <t>(in.</t>
    </r>
    <r>
      <rPr>
        <vertAlign val="superscript"/>
        <sz val="10"/>
        <rFont val="Arial"/>
        <family val="2"/>
      </rPr>
      <t>2</t>
    </r>
    <r>
      <rPr>
        <sz val="10"/>
        <rFont val="Arial"/>
        <family val="2"/>
      </rPr>
      <t>)</t>
    </r>
  </si>
  <si>
    <t>in./yr.</t>
  </si>
  <si>
    <r>
      <t>T</t>
    </r>
    <r>
      <rPr>
        <vertAlign val="subscript"/>
        <sz val="10"/>
        <rFont val="Arial"/>
        <family val="2"/>
      </rPr>
      <t>r</t>
    </r>
  </si>
  <si>
    <r>
      <t>E</t>
    </r>
    <r>
      <rPr>
        <vertAlign val="subscript"/>
        <sz val="10"/>
        <rFont val="Arial"/>
        <family val="2"/>
      </rPr>
      <t>c</t>
    </r>
  </si>
  <si>
    <t>Thickness of galvanized coating =</t>
  </si>
  <si>
    <t>Time to lose galvanized coating =</t>
  </si>
  <si>
    <t>Loss of carbon steel:</t>
  </si>
  <si>
    <t xml:space="preserve">  (Subsequent years):</t>
  </si>
  <si>
    <t>Loss of galvanizing (First 2 years):</t>
  </si>
  <si>
    <t>Remaining service life =</t>
  </si>
  <si>
    <t>Total loss of carbon steel =</t>
  </si>
  <si>
    <r>
      <t>S</t>
    </r>
    <r>
      <rPr>
        <vertAlign val="subscript"/>
        <sz val="10"/>
        <rFont val="Arial"/>
        <family val="2"/>
      </rPr>
      <t>v</t>
    </r>
  </si>
  <si>
    <r>
      <t>S</t>
    </r>
    <r>
      <rPr>
        <vertAlign val="subscript"/>
        <sz val="10"/>
        <rFont val="Arial"/>
        <family val="2"/>
      </rPr>
      <t>h</t>
    </r>
  </si>
  <si>
    <r>
      <t>N</t>
    </r>
    <r>
      <rPr>
        <vertAlign val="subscript"/>
        <sz val="10"/>
        <rFont val="Arial"/>
        <family val="2"/>
      </rPr>
      <t>b</t>
    </r>
  </si>
  <si>
    <r>
      <t>S</t>
    </r>
    <r>
      <rPr>
        <vertAlign val="subscript"/>
        <sz val="10"/>
        <rFont val="Arial"/>
        <family val="2"/>
      </rPr>
      <t>t</t>
    </r>
  </si>
  <si>
    <r>
      <t>A</t>
    </r>
    <r>
      <rPr>
        <vertAlign val="subscript"/>
        <sz val="10"/>
        <rFont val="Arial"/>
        <family val="2"/>
      </rPr>
      <t>c</t>
    </r>
    <r>
      <rPr>
        <sz val="10"/>
        <rFont val="Arial"/>
        <family val="2"/>
      </rPr>
      <t>*</t>
    </r>
  </si>
  <si>
    <r>
      <t>CR</t>
    </r>
    <r>
      <rPr>
        <vertAlign val="subscript"/>
        <sz val="10"/>
        <rFont val="Arial"/>
        <family val="2"/>
      </rPr>
      <t>cr</t>
    </r>
  </si>
  <si>
    <r>
      <t>S</t>
    </r>
    <r>
      <rPr>
        <vertAlign val="subscript"/>
        <sz val="10"/>
        <rFont val="Arial"/>
        <family val="2"/>
      </rPr>
      <t>rs</t>
    </r>
  </si>
  <si>
    <r>
      <t>S</t>
    </r>
    <r>
      <rPr>
        <vertAlign val="subscript"/>
        <sz val="10"/>
        <rFont val="Arial"/>
        <family val="2"/>
      </rPr>
      <t>rt</t>
    </r>
  </si>
  <si>
    <r>
      <t xml:space="preserve">Is the wall face itself made of segmental block? </t>
    </r>
    <r>
      <rPr>
        <i/>
        <sz val="10"/>
        <rFont val="Arial"/>
        <family val="2"/>
      </rPr>
      <t>y = yes, n = no</t>
    </r>
  </si>
  <si>
    <r>
      <rPr>
        <sz val="10"/>
        <rFont val="Symbol"/>
        <family val="1"/>
        <charset val="2"/>
      </rPr>
      <t>r</t>
    </r>
    <r>
      <rPr>
        <sz val="10"/>
        <rFont val="Arial"/>
        <family val="2"/>
      </rPr>
      <t xml:space="preserve"> =</t>
    </r>
  </si>
  <si>
    <t>Yield strength of steel reinforcement:</t>
  </si>
  <si>
    <r>
      <t>F</t>
    </r>
    <r>
      <rPr>
        <vertAlign val="subscript"/>
        <sz val="10"/>
        <rFont val="Arial"/>
        <family val="2"/>
      </rPr>
      <t>y</t>
    </r>
    <r>
      <rPr>
        <sz val="10"/>
        <rFont val="Arial"/>
        <family val="2"/>
      </rPr>
      <t xml:space="preserve"> =</t>
    </r>
  </si>
  <si>
    <t>Loading Information:</t>
  </si>
  <si>
    <t>Table for Variable Reinforcement Spacing</t>
  </si>
  <si>
    <r>
      <t>A</t>
    </r>
    <r>
      <rPr>
        <vertAlign val="subscript"/>
        <sz val="10"/>
        <rFont val="Arial"/>
        <family val="2"/>
      </rPr>
      <t>c</t>
    </r>
    <r>
      <rPr>
        <sz val="10"/>
        <rFont val="Arial"/>
        <family val="2"/>
      </rPr>
      <t>* =</t>
    </r>
  </si>
  <si>
    <r>
      <t>S</t>
    </r>
    <r>
      <rPr>
        <vertAlign val="subscript"/>
        <sz val="10"/>
        <rFont val="Arial"/>
        <family val="2"/>
      </rPr>
      <t>u</t>
    </r>
    <r>
      <rPr>
        <sz val="10"/>
        <rFont val="Arial"/>
        <family val="2"/>
      </rPr>
      <t xml:space="preserve"> =</t>
    </r>
  </si>
  <si>
    <r>
      <t>D</t>
    </r>
    <r>
      <rPr>
        <vertAlign val="subscript"/>
        <sz val="10"/>
        <rFont val="Arial"/>
        <family val="2"/>
      </rPr>
      <t>f</t>
    </r>
    <r>
      <rPr>
        <sz val="10"/>
        <rFont val="Arial"/>
        <family val="2"/>
      </rPr>
      <t xml:space="preserve"> =</t>
    </r>
  </si>
  <si>
    <r>
      <rPr>
        <sz val="10"/>
        <rFont val="Arial"/>
        <family val="2"/>
      </rPr>
      <t>Is the base material soil or rock?</t>
    </r>
    <r>
      <rPr>
        <i/>
        <sz val="10"/>
        <rFont val="Arial"/>
        <family val="2"/>
      </rPr>
      <t xml:space="preserve"> s = soil, r = rock</t>
    </r>
  </si>
  <si>
    <r>
      <rPr>
        <sz val="10"/>
        <rFont val="Arial"/>
        <family val="2"/>
      </rPr>
      <t>Is there an abutment backwall present?</t>
    </r>
    <r>
      <rPr>
        <i/>
        <sz val="10"/>
        <rFont val="Arial"/>
        <family val="2"/>
      </rPr>
      <t xml:space="preserve"> y = yes, n = no</t>
    </r>
  </si>
  <si>
    <r>
      <rPr>
        <sz val="10"/>
        <rFont val="Arial"/>
        <family val="2"/>
      </rPr>
      <t>Type of backfill slope:</t>
    </r>
    <r>
      <rPr>
        <i/>
        <sz val="10"/>
        <rFont val="Arial"/>
        <family val="2"/>
      </rPr>
      <t xml:space="preserve"> h = horizontal, s = sloping, b = broken</t>
    </r>
  </si>
  <si>
    <r>
      <t>C</t>
    </r>
    <r>
      <rPr>
        <vertAlign val="subscript"/>
        <sz val="10"/>
        <rFont val="Arial"/>
        <family val="2"/>
      </rPr>
      <t>o</t>
    </r>
    <r>
      <rPr>
        <sz val="10"/>
        <rFont val="Arial"/>
        <family val="2"/>
      </rPr>
      <t xml:space="preserve"> =</t>
    </r>
  </si>
  <si>
    <r>
      <t>A</t>
    </r>
    <r>
      <rPr>
        <vertAlign val="subscript"/>
        <sz val="10"/>
        <rFont val="Arial"/>
        <family val="2"/>
      </rPr>
      <t>c</t>
    </r>
  </si>
  <si>
    <r>
      <t>R</t>
    </r>
    <r>
      <rPr>
        <vertAlign val="subscript"/>
        <sz val="10"/>
        <rFont val="Arial"/>
        <family val="2"/>
      </rPr>
      <t>c</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</si>
  <si>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</si>
  <si>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</si>
  <si>
    <t>[D3.11.5.8.1-4]</t>
  </si>
  <si>
    <r>
      <t>RF = RF</t>
    </r>
    <r>
      <rPr>
        <vertAlign val="subscript"/>
        <sz val="10"/>
        <rFont val="Arial"/>
        <family val="2"/>
      </rPr>
      <t>ID</t>
    </r>
    <r>
      <rPr>
        <sz val="10"/>
        <rFont val="Arial"/>
        <family val="2"/>
      </rPr>
      <t xml:space="preserve"> </t>
    </r>
    <r>
      <rPr>
        <sz val="8"/>
        <rFont val="Arial"/>
        <family val="2"/>
      </rPr>
      <t>x</t>
    </r>
    <r>
      <rPr>
        <sz val="10"/>
        <rFont val="Arial"/>
        <family val="2"/>
      </rPr>
      <t xml:space="preserve"> RF</t>
    </r>
    <r>
      <rPr>
        <vertAlign val="subscript"/>
        <sz val="10"/>
        <rFont val="Arial"/>
        <family val="2"/>
      </rPr>
      <t>CR</t>
    </r>
    <r>
      <rPr>
        <sz val="10"/>
        <rFont val="Arial"/>
        <family val="2"/>
      </rPr>
      <t xml:space="preserve"> </t>
    </r>
    <r>
      <rPr>
        <sz val="8"/>
        <rFont val="Arial"/>
        <family val="2"/>
      </rPr>
      <t>x</t>
    </r>
    <r>
      <rPr>
        <sz val="10"/>
        <rFont val="Arial"/>
        <family val="2"/>
      </rPr>
      <t xml:space="preserve"> RF</t>
    </r>
    <r>
      <rPr>
        <vertAlign val="subscript"/>
        <sz val="10"/>
        <rFont val="Arial"/>
        <family val="2"/>
      </rPr>
      <t>D</t>
    </r>
  </si>
  <si>
    <r>
      <t xml:space="preserve">S = L tan </t>
    </r>
    <r>
      <rPr>
        <sz val="10"/>
        <rFont val="Symbol"/>
        <family val="1"/>
        <charset val="2"/>
      </rPr>
      <t>b</t>
    </r>
    <r>
      <rPr>
        <sz val="10"/>
        <rFont val="Arial"/>
        <family val="2"/>
      </rPr>
      <t xml:space="preserve"> / 2, or (A1+A2) / L</t>
    </r>
  </si>
  <si>
    <r>
      <t>k</t>
    </r>
    <r>
      <rPr>
        <vertAlign val="subscript"/>
        <sz val="10"/>
        <rFont val="Arial"/>
        <family val="2"/>
      </rPr>
      <t>a</t>
    </r>
  </si>
  <si>
    <t>Active earth pressure coefficient (for External Stability)</t>
  </si>
  <si>
    <t>Unfactored Loads:</t>
  </si>
  <si>
    <t>Geometry:</t>
  </si>
  <si>
    <t>Notional height of earth pressure diagram (for Seismic Loads)</t>
  </si>
  <si>
    <t>Notional height of Active Zone</t>
  </si>
  <si>
    <r>
      <rPr>
        <sz val="10"/>
        <rFont val="Symbol"/>
        <family val="1"/>
        <charset val="2"/>
      </rPr>
      <t>f</t>
    </r>
    <r>
      <rPr>
        <vertAlign val="subscript"/>
        <sz val="10"/>
        <rFont val="Arial"/>
        <family val="2"/>
      </rPr>
      <t xml:space="preserve">b </t>
    </r>
    <r>
      <rPr>
        <sz val="10"/>
        <rFont val="Arial"/>
        <family val="2"/>
      </rPr>
      <t>=</t>
    </r>
  </si>
  <si>
    <t>%</t>
  </si>
  <si>
    <r>
      <t>P</t>
    </r>
    <r>
      <rPr>
        <vertAlign val="subscript"/>
        <sz val="10"/>
        <rFont val="Arial"/>
        <family val="2"/>
      </rPr>
      <t>a</t>
    </r>
  </si>
  <si>
    <t>Moment arm from toe (ft)</t>
  </si>
  <si>
    <r>
      <t>A</t>
    </r>
    <r>
      <rPr>
        <vertAlign val="subscript"/>
        <sz val="10"/>
        <rFont val="Arial"/>
        <family val="2"/>
      </rPr>
      <t>w</t>
    </r>
  </si>
  <si>
    <r>
      <t>b</t>
    </r>
    <r>
      <rPr>
        <vertAlign val="subscript"/>
        <sz val="10"/>
        <rFont val="Arial"/>
        <family val="2"/>
      </rPr>
      <t>fi</t>
    </r>
  </si>
  <si>
    <r>
      <t>b</t>
    </r>
    <r>
      <rPr>
        <vertAlign val="subscript"/>
        <sz val="10"/>
        <rFont val="Arial"/>
        <family val="2"/>
      </rPr>
      <t>fe</t>
    </r>
  </si>
  <si>
    <t>Theoretical wall base width (including thickness of facing)</t>
  </si>
  <si>
    <t>Width of parapet/barrier (from back face to edge of pavement):</t>
  </si>
  <si>
    <t>[A11.10.6.2.1-2]</t>
  </si>
  <si>
    <t>Seismic Loads:</t>
  </si>
  <si>
    <t>Maximum earthquake acceleration coefficient</t>
  </si>
  <si>
    <r>
      <t>A</t>
    </r>
    <r>
      <rPr>
        <vertAlign val="subscript"/>
        <sz val="10"/>
        <rFont val="Arial"/>
        <family val="2"/>
      </rPr>
      <t>m</t>
    </r>
  </si>
  <si>
    <r>
      <t>k</t>
    </r>
    <r>
      <rPr>
        <vertAlign val="subscript"/>
        <sz val="10"/>
        <rFont val="Arial"/>
        <family val="2"/>
      </rPr>
      <t>a</t>
    </r>
    <r>
      <rPr>
        <sz val="10"/>
        <rFont val="Arial"/>
        <family val="2"/>
      </rPr>
      <t xml:space="preserve"> for reinforced soil</t>
    </r>
  </si>
  <si>
    <r>
      <t>P</t>
    </r>
    <r>
      <rPr>
        <vertAlign val="subscript"/>
        <sz val="10"/>
        <rFont val="Arial"/>
        <family val="2"/>
      </rPr>
      <t>ir</t>
    </r>
  </si>
  <si>
    <r>
      <t>P</t>
    </r>
    <r>
      <rPr>
        <vertAlign val="subscript"/>
        <sz val="10"/>
        <rFont val="Arial"/>
        <family val="2"/>
      </rPr>
      <t>is</t>
    </r>
  </si>
  <si>
    <t>Seismic inertial force of reinforced soil</t>
  </si>
  <si>
    <r>
      <t>V</t>
    </r>
    <r>
      <rPr>
        <vertAlign val="subscript"/>
        <sz val="10"/>
        <rFont val="Arial"/>
        <family val="2"/>
      </rPr>
      <t>1</t>
    </r>
  </si>
  <si>
    <r>
      <t>V</t>
    </r>
    <r>
      <rPr>
        <vertAlign val="subscript"/>
        <sz val="10"/>
        <rFont val="Arial"/>
        <family val="2"/>
      </rPr>
      <t>2</t>
    </r>
  </si>
  <si>
    <r>
      <t>V</t>
    </r>
    <r>
      <rPr>
        <vertAlign val="subscript"/>
        <sz val="10"/>
        <rFont val="Arial"/>
        <family val="2"/>
      </rPr>
      <t>3</t>
    </r>
  </si>
  <si>
    <r>
      <t>P</t>
    </r>
    <r>
      <rPr>
        <vertAlign val="subscript"/>
        <sz val="10"/>
        <rFont val="Arial"/>
        <family val="2"/>
      </rPr>
      <t>H2</t>
    </r>
  </si>
  <si>
    <r>
      <t>P</t>
    </r>
    <r>
      <rPr>
        <vertAlign val="subscript"/>
        <sz val="10"/>
        <rFont val="Arial"/>
        <family val="2"/>
      </rPr>
      <t>H1</t>
    </r>
  </si>
  <si>
    <t>(EH)</t>
  </si>
  <si>
    <t>(LS)</t>
  </si>
  <si>
    <t>(DC)</t>
  </si>
  <si>
    <t>(EV)</t>
  </si>
  <si>
    <t>(EQ)</t>
  </si>
  <si>
    <t>(CT)</t>
  </si>
  <si>
    <t>Seismic peak ground acceleration coefficient, modified by short-period site factor (A3.10.4):</t>
  </si>
  <si>
    <t>[A11.10.6.4.3b]</t>
  </si>
  <si>
    <t>Corrosion Loss (Steel Reinforcement):</t>
  </si>
  <si>
    <t>Strength Reduction (Geosynthetic Reinforcement):</t>
  </si>
  <si>
    <r>
      <t>P</t>
    </r>
    <r>
      <rPr>
        <vertAlign val="subscript"/>
        <sz val="10"/>
        <rFont val="Arial"/>
        <family val="2"/>
      </rPr>
      <t>i</t>
    </r>
  </si>
  <si>
    <r>
      <t>k</t>
    </r>
    <r>
      <rPr>
        <vertAlign val="subscript"/>
        <sz val="10"/>
        <rFont val="Arial"/>
        <family val="2"/>
      </rPr>
      <t xml:space="preserve">r </t>
    </r>
    <r>
      <rPr>
        <sz val="10"/>
        <rFont val="Arial"/>
        <family val="2"/>
      </rPr>
      <t>/</t>
    </r>
    <r>
      <rPr>
        <vertAlign val="subscript"/>
        <sz val="10"/>
        <rFont val="Arial"/>
        <family val="2"/>
      </rPr>
      <t xml:space="preserve"> </t>
    </r>
    <r>
      <rPr>
        <sz val="10"/>
        <rFont val="Arial"/>
        <family val="2"/>
      </rPr>
      <t>k</t>
    </r>
    <r>
      <rPr>
        <vertAlign val="subscript"/>
        <sz val="10"/>
        <rFont val="Arial"/>
        <family val="2"/>
      </rPr>
      <t>a</t>
    </r>
  </si>
  <si>
    <r>
      <t>k</t>
    </r>
    <r>
      <rPr>
        <vertAlign val="subscript"/>
        <sz val="10"/>
        <rFont val="Arial"/>
        <family val="2"/>
      </rPr>
      <t>r</t>
    </r>
  </si>
  <si>
    <t>coeff.</t>
  </si>
  <si>
    <r>
      <t>g</t>
    </r>
    <r>
      <rPr>
        <vertAlign val="subscript"/>
        <sz val="10"/>
        <rFont val="Symbol"/>
        <family val="1"/>
        <charset val="2"/>
      </rPr>
      <t xml:space="preserve"> </t>
    </r>
    <r>
      <rPr>
        <vertAlign val="subscript"/>
        <sz val="10"/>
        <rFont val="Arial"/>
        <family val="2"/>
      </rPr>
      <t>P</t>
    </r>
    <r>
      <rPr>
        <sz val="10"/>
        <rFont val="Arial"/>
        <family val="2"/>
      </rPr>
      <t xml:space="preserve"> =</t>
    </r>
  </si>
  <si>
    <r>
      <t>g</t>
    </r>
    <r>
      <rPr>
        <vertAlign val="subscript"/>
        <sz val="10"/>
        <rFont val="Symbol"/>
        <family val="1"/>
        <charset val="2"/>
      </rPr>
      <t xml:space="preserve"> </t>
    </r>
    <r>
      <rPr>
        <vertAlign val="subscript"/>
        <sz val="10"/>
        <rFont val="Arial"/>
        <family val="2"/>
      </rPr>
      <t>EV</t>
    </r>
    <r>
      <rPr>
        <sz val="10"/>
        <rFont val="Arial"/>
        <family val="2"/>
      </rPr>
      <t xml:space="preserve"> =</t>
    </r>
  </si>
  <si>
    <r>
      <t>g</t>
    </r>
    <r>
      <rPr>
        <vertAlign val="subscript"/>
        <sz val="10"/>
        <rFont val="Symbol"/>
        <family val="1"/>
        <charset val="2"/>
      </rPr>
      <t xml:space="preserve"> </t>
    </r>
    <r>
      <rPr>
        <vertAlign val="subscript"/>
        <sz val="10"/>
        <rFont val="Arial"/>
        <family val="2"/>
      </rPr>
      <t>EH</t>
    </r>
    <r>
      <rPr>
        <sz val="10"/>
        <rFont val="Arial"/>
        <family val="2"/>
      </rPr>
      <t xml:space="preserve"> =</t>
    </r>
  </si>
  <si>
    <t>…load factor for redundancy check (EV loads)</t>
  </si>
  <si>
    <t>…load factor for redundancy check (EH loads)</t>
  </si>
  <si>
    <t>[D11.10.6.4.5P]</t>
  </si>
  <si>
    <t>[A11.10.6.2.1-1]</t>
  </si>
  <si>
    <r>
      <t xml:space="preserve">…load factor for determining factored horizontal stress, </t>
    </r>
    <r>
      <rPr>
        <sz val="10"/>
        <rFont val="Symbol"/>
        <family val="1"/>
        <charset val="2"/>
      </rPr>
      <t>s</t>
    </r>
    <r>
      <rPr>
        <vertAlign val="subscript"/>
        <sz val="10"/>
        <rFont val="Arial"/>
        <family val="2"/>
      </rPr>
      <t>H</t>
    </r>
  </si>
  <si>
    <t>#</t>
  </si>
  <si>
    <t>Pullout Friction Factor, F*:</t>
  </si>
  <si>
    <t>[Figure A11.10.6.3.2-1]</t>
  </si>
  <si>
    <t>Smooth steel strips</t>
  </si>
  <si>
    <t>Steel grids</t>
  </si>
  <si>
    <t>Ribbed steel strips</t>
  </si>
  <si>
    <r>
      <t>L</t>
    </r>
    <r>
      <rPr>
        <vertAlign val="subscript"/>
        <sz val="10"/>
        <rFont val="Arial"/>
        <family val="2"/>
      </rPr>
      <t>e</t>
    </r>
  </si>
  <si>
    <r>
      <t>L</t>
    </r>
    <r>
      <rPr>
        <vertAlign val="subscript"/>
        <sz val="10"/>
        <rFont val="Arial"/>
        <family val="2"/>
      </rPr>
      <t>a</t>
    </r>
  </si>
  <si>
    <t>REINFORCEMENT PULLOUT:</t>
  </si>
  <si>
    <t>REINFORCEMENT STRENGTH:</t>
  </si>
  <si>
    <t>STR-I, STR-III, EXT-II</t>
  </si>
  <si>
    <t>[Table A11.10.6.3.2-1]</t>
  </si>
  <si>
    <r>
      <t xml:space="preserve">Scale Effect Correction Factor, </t>
    </r>
    <r>
      <rPr>
        <u/>
        <sz val="10"/>
        <rFont val="Symbol"/>
        <family val="1"/>
        <charset val="2"/>
      </rPr>
      <t>a</t>
    </r>
    <r>
      <rPr>
        <u/>
        <sz val="10"/>
        <rFont val="Arial"/>
        <family val="2"/>
      </rPr>
      <t>:</t>
    </r>
  </si>
  <si>
    <r>
      <t xml:space="preserve">For Z or Zp </t>
    </r>
    <r>
      <rPr>
        <sz val="10"/>
        <rFont val="Calibri"/>
        <family val="2"/>
      </rPr>
      <t>≥</t>
    </r>
    <r>
      <rPr>
        <sz val="10"/>
        <rFont val="Arial"/>
        <family val="2"/>
      </rPr>
      <t xml:space="preserve"> 20 ft:</t>
    </r>
  </si>
  <si>
    <t>For Z or Zp &lt; 20 ft :</t>
  </si>
  <si>
    <r>
      <t>0.67 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xml:space="preserve"> =</t>
    </r>
  </si>
  <si>
    <r>
      <t>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xml:space="preserve"> =</t>
    </r>
  </si>
  <si>
    <r>
      <t>10</t>
    </r>
    <r>
      <rPr>
        <vertAlign val="subscript"/>
        <sz val="10"/>
        <rFont val="Arial"/>
        <family val="2"/>
      </rPr>
      <t xml:space="preserve"> </t>
    </r>
    <r>
      <rPr>
        <sz val="10"/>
        <rFont val="Arial"/>
        <family val="2"/>
      </rPr>
      <t>(t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t>
    </r>
  </si>
  <si>
    <t>Type:</t>
  </si>
  <si>
    <r>
      <t>20 (t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- 10 (t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(Z</t>
    </r>
    <r>
      <rPr>
        <vertAlign val="subscript"/>
        <sz val="10"/>
        <rFont val="Arial"/>
        <family val="2"/>
      </rPr>
      <t xml:space="preserve">p </t>
    </r>
    <r>
      <rPr>
        <sz val="10"/>
        <rFont val="Arial"/>
        <family val="2"/>
      </rPr>
      <t>/</t>
    </r>
    <r>
      <rPr>
        <vertAlign val="subscript"/>
        <sz val="10"/>
        <rFont val="Arial"/>
        <family val="2"/>
      </rPr>
      <t xml:space="preserve"> </t>
    </r>
    <r>
      <rPr>
        <sz val="10"/>
        <rFont val="Arial"/>
        <family val="2"/>
      </rPr>
      <t>20)</t>
    </r>
  </si>
  <si>
    <t>0.40 =</t>
  </si>
  <si>
    <r>
      <t>Geotextiles</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geogrids</t>
    </r>
  </si>
  <si>
    <t>Geogrids</t>
  </si>
  <si>
    <t>Geotextiles</t>
  </si>
  <si>
    <r>
      <t>Z</t>
    </r>
    <r>
      <rPr>
        <vertAlign val="subscript"/>
        <sz val="10"/>
        <rFont val="Arial"/>
        <family val="2"/>
      </rPr>
      <t>p</t>
    </r>
  </si>
  <si>
    <r>
      <t>MIN</t>
    </r>
    <r>
      <rPr>
        <vertAlign val="subscript"/>
        <sz val="10"/>
        <rFont val="Arial"/>
        <family val="2"/>
      </rPr>
      <t xml:space="preserve"> </t>
    </r>
    <r>
      <rPr>
        <sz val="10"/>
        <rFont val="Arial"/>
        <family val="2"/>
      </rPr>
      <t>(1.2</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log</t>
    </r>
    <r>
      <rPr>
        <vertAlign val="subscript"/>
        <sz val="10"/>
        <rFont val="Arial"/>
        <family val="2"/>
      </rPr>
      <t xml:space="preserve"> </t>
    </r>
    <r>
      <rPr>
        <sz val="10"/>
        <rFont val="Arial"/>
        <family val="2"/>
      </rPr>
      <t>C</t>
    </r>
    <r>
      <rPr>
        <vertAlign val="subscript"/>
        <sz val="10"/>
        <rFont val="Arial"/>
        <family val="2"/>
      </rPr>
      <t>u</t>
    </r>
    <r>
      <rPr>
        <sz val="10"/>
        <rFont val="Arial"/>
        <family val="2"/>
      </rPr>
      <t>, 2.0) - Z</t>
    </r>
    <r>
      <rPr>
        <vertAlign val="subscript"/>
        <sz val="10"/>
        <rFont val="Arial"/>
        <family val="2"/>
      </rPr>
      <t>p</t>
    </r>
    <r>
      <rPr>
        <sz val="10"/>
        <rFont val="Arial"/>
        <family val="2"/>
      </rPr>
      <t xml:space="preserve"> {</t>
    </r>
    <r>
      <rPr>
        <vertAlign val="subscript"/>
        <sz val="10"/>
        <rFont val="Arial"/>
        <family val="2"/>
      </rPr>
      <t xml:space="preserve"> </t>
    </r>
    <r>
      <rPr>
        <sz val="10"/>
        <rFont val="Arial"/>
        <family val="2"/>
      </rPr>
      <t>[MIN (1.2</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log</t>
    </r>
    <r>
      <rPr>
        <vertAlign val="subscript"/>
        <sz val="10"/>
        <rFont val="Arial"/>
        <family val="2"/>
      </rPr>
      <t xml:space="preserve"> </t>
    </r>
    <r>
      <rPr>
        <sz val="10"/>
        <rFont val="Arial"/>
        <family val="2"/>
      </rPr>
      <t>C</t>
    </r>
    <r>
      <rPr>
        <vertAlign val="subscript"/>
        <sz val="10"/>
        <rFont val="Arial"/>
        <family val="2"/>
      </rPr>
      <t>u</t>
    </r>
    <r>
      <rPr>
        <sz val="10"/>
        <rFont val="Arial"/>
        <family val="2"/>
      </rPr>
      <t>, 2.0) - 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 20</t>
    </r>
    <r>
      <rPr>
        <vertAlign val="subscript"/>
        <sz val="10"/>
        <rFont val="Arial"/>
        <family val="2"/>
      </rPr>
      <t xml:space="preserve"> </t>
    </r>
    <r>
      <rPr>
        <sz val="10"/>
        <rFont val="Arial"/>
        <family val="2"/>
      </rPr>
      <t>}</t>
    </r>
  </si>
  <si>
    <t>Surface area geometry factor for pullout design [A11.10.6.3.2]:</t>
  </si>
  <si>
    <t>Steel Reinforcements</t>
  </si>
  <si>
    <r>
      <t>g</t>
    </r>
    <r>
      <rPr>
        <vertAlign val="subscript"/>
        <sz val="10"/>
        <rFont val="Arial"/>
        <family val="2"/>
      </rPr>
      <t>EQ</t>
    </r>
    <r>
      <rPr>
        <sz val="10"/>
        <rFont val="Arial"/>
        <family val="2"/>
      </rPr>
      <t xml:space="preserve"> =</t>
    </r>
  </si>
  <si>
    <t>(reduced)</t>
  </si>
  <si>
    <r>
      <t>Horizontal component of P</t>
    </r>
    <r>
      <rPr>
        <vertAlign val="subscript"/>
        <sz val="10"/>
        <rFont val="Arial"/>
        <family val="2"/>
      </rPr>
      <t>a</t>
    </r>
    <r>
      <rPr>
        <sz val="10"/>
        <rFont val="Arial"/>
        <family val="2"/>
      </rPr>
      <t xml:space="preserve"> force</t>
    </r>
  </si>
  <si>
    <r>
      <t>Vertical component of P</t>
    </r>
    <r>
      <rPr>
        <vertAlign val="subscript"/>
        <sz val="10"/>
        <rFont val="Arial"/>
        <family val="2"/>
      </rPr>
      <t>a</t>
    </r>
    <r>
      <rPr>
        <sz val="10"/>
        <rFont val="Arial"/>
        <family val="2"/>
      </rPr>
      <t xml:space="preserve"> force</t>
    </r>
  </si>
  <si>
    <r>
      <rPr>
        <sz val="10"/>
        <rFont val="Symbol"/>
        <family val="1"/>
        <charset val="2"/>
      </rPr>
      <t>a</t>
    </r>
    <r>
      <rPr>
        <sz val="10"/>
        <rFont val="Arial"/>
        <family val="2"/>
      </rPr>
      <t xml:space="preserve"> =</t>
    </r>
  </si>
  <si>
    <r>
      <t>P</t>
    </r>
    <r>
      <rPr>
        <vertAlign val="subscript"/>
        <sz val="10"/>
        <rFont val="Arial"/>
        <family val="2"/>
      </rPr>
      <t>H1a</t>
    </r>
  </si>
  <si>
    <t>Horizontal force on abutment due to superstructure loads</t>
  </si>
  <si>
    <t>Unit weight of wall facing elements (for wall self-weight):</t>
  </si>
  <si>
    <t>Weight of roadway dead load (wearing surface, subbase, etc.):</t>
  </si>
  <si>
    <r>
      <t>Percentage of footing width, b</t>
    </r>
    <r>
      <rPr>
        <vertAlign val="subscript"/>
        <sz val="10"/>
        <rFont val="Arial"/>
        <family val="2"/>
      </rPr>
      <t>f</t>
    </r>
    <r>
      <rPr>
        <sz val="10"/>
        <rFont val="Arial"/>
        <family val="2"/>
      </rPr>
      <t>, outside the reinforced zone</t>
    </r>
  </si>
  <si>
    <t>Thickness of abutment footing (see Figure 14):</t>
  </si>
  <si>
    <t>Unit weight of retained fill (embankment backfill):</t>
  </si>
  <si>
    <t>Friction angle of retained fill (embankment backfill):</t>
  </si>
  <si>
    <r>
      <rPr>
        <sz val="10"/>
        <rFont val="Symbol"/>
        <family val="1"/>
        <charset val="2"/>
      </rPr>
      <t>j</t>
    </r>
    <r>
      <rPr>
        <vertAlign val="subscript"/>
        <sz val="10"/>
        <rFont val="Arial"/>
        <family val="2"/>
      </rPr>
      <t>b</t>
    </r>
    <r>
      <rPr>
        <sz val="10"/>
        <rFont val="Arial"/>
        <family val="2"/>
      </rPr>
      <t xml:space="preserve"> </t>
    </r>
    <r>
      <rPr>
        <sz val="10"/>
        <rFont val="Arial"/>
        <family val="2"/>
      </rPr>
      <t>=</t>
    </r>
  </si>
  <si>
    <r>
      <t>Vertical spacing of reinforcement (</t>
    </r>
    <r>
      <rPr>
        <i/>
        <sz val="10"/>
        <rFont val="Arial"/>
        <family val="2"/>
      </rPr>
      <t>Enter "v" for variable spacing</t>
    </r>
    <r>
      <rPr>
        <sz val="10"/>
        <rFont val="Arial"/>
        <family val="2"/>
      </rPr>
      <t>):</t>
    </r>
  </si>
  <si>
    <r>
      <t>Vertical spacing of reinforcement, if applicable (</t>
    </r>
    <r>
      <rPr>
        <i/>
        <sz val="10"/>
        <rFont val="Arial"/>
        <family val="2"/>
      </rPr>
      <t>Enter "v" for variable</t>
    </r>
    <r>
      <rPr>
        <sz val="10"/>
        <rFont val="Arial"/>
        <family val="2"/>
      </rPr>
      <t>, see Figure 14):</t>
    </r>
  </si>
  <si>
    <r>
      <t>A</t>
    </r>
    <r>
      <rPr>
        <vertAlign val="subscript"/>
        <sz val="10"/>
        <rFont val="Arial"/>
        <family val="2"/>
      </rPr>
      <t>S</t>
    </r>
    <r>
      <rPr>
        <sz val="10"/>
        <rFont val="Arial"/>
        <family val="2"/>
      </rPr>
      <t xml:space="preserve"> =</t>
    </r>
  </si>
  <si>
    <r>
      <t>P</t>
    </r>
    <r>
      <rPr>
        <vertAlign val="subscript"/>
        <sz val="10"/>
        <rFont val="Arial"/>
        <family val="2"/>
      </rPr>
      <t>V</t>
    </r>
    <r>
      <rPr>
        <sz val="10"/>
        <rFont val="Arial"/>
        <family val="2"/>
      </rPr>
      <t xml:space="preserve"> =</t>
    </r>
  </si>
  <si>
    <t>Width of active zone behind reinforced soil mass</t>
  </si>
  <si>
    <r>
      <t>Length from start of b</t>
    </r>
    <r>
      <rPr>
        <vertAlign val="subscript"/>
        <sz val="10"/>
        <rFont val="Arial"/>
        <family val="2"/>
      </rPr>
      <t>f</t>
    </r>
    <r>
      <rPr>
        <sz val="10"/>
        <rFont val="Arial"/>
        <family val="2"/>
      </rPr>
      <t xml:space="preserve"> to end of reinforced soil mass</t>
    </r>
  </si>
  <si>
    <t>Depth of horizontal stress distribution Internal</t>
  </si>
  <si>
    <t>Depth of horizontal stress distribution External</t>
  </si>
  <si>
    <r>
      <t>Vertical resultant of live load surcharge, q</t>
    </r>
    <r>
      <rPr>
        <vertAlign val="subscript"/>
        <sz val="8"/>
        <rFont val="Arial"/>
        <family val="2"/>
      </rPr>
      <t xml:space="preserve"> </t>
    </r>
    <r>
      <rPr>
        <vertAlign val="subscript"/>
        <sz val="10"/>
        <rFont val="Arial"/>
        <family val="2"/>
      </rPr>
      <t>LS</t>
    </r>
    <r>
      <rPr>
        <sz val="10"/>
        <rFont val="Arial"/>
        <family val="2"/>
      </rPr>
      <t xml:space="preserve"> (used for bearing)</t>
    </r>
  </si>
  <si>
    <r>
      <t>Horizontal force due to live load surcharge, q</t>
    </r>
    <r>
      <rPr>
        <vertAlign val="subscript"/>
        <sz val="8"/>
        <rFont val="Arial"/>
        <family val="2"/>
      </rPr>
      <t xml:space="preserve"> </t>
    </r>
    <r>
      <rPr>
        <vertAlign val="subscript"/>
        <sz val="10"/>
        <rFont val="Arial"/>
        <family val="2"/>
      </rPr>
      <t>LS</t>
    </r>
  </si>
  <si>
    <r>
      <t>Horizontal force due to roadway surcharge, q</t>
    </r>
    <r>
      <rPr>
        <vertAlign val="subscript"/>
        <sz val="8"/>
        <rFont val="Arial"/>
        <family val="2"/>
      </rPr>
      <t xml:space="preserve"> </t>
    </r>
    <r>
      <rPr>
        <vertAlign val="subscript"/>
        <sz val="10"/>
        <rFont val="Arial"/>
        <family val="2"/>
      </rPr>
      <t>DW</t>
    </r>
  </si>
  <si>
    <t>Vertical live load surcharge pressure (LS)</t>
  </si>
  <si>
    <t>Type of Backfill</t>
  </si>
  <si>
    <r>
      <t>P</t>
    </r>
    <r>
      <rPr>
        <vertAlign val="subscript"/>
        <sz val="10"/>
        <rFont val="Arial"/>
        <family val="2"/>
      </rPr>
      <t>ah</t>
    </r>
  </si>
  <si>
    <r>
      <t>P</t>
    </r>
    <r>
      <rPr>
        <vertAlign val="subscript"/>
        <sz val="10"/>
        <rFont val="Arial"/>
        <family val="2"/>
      </rPr>
      <t>av</t>
    </r>
  </si>
  <si>
    <t>Linear vertical load of wet concrete abutment footing [A3.11.6.3-1]:</t>
  </si>
  <si>
    <t>Load Factors:</t>
  </si>
  <si>
    <t>FACTORED LOADS:</t>
  </si>
  <si>
    <t>VERTICAL:</t>
  </si>
  <si>
    <t>HORIZONTAL:</t>
  </si>
  <si>
    <t>EXTERNAL STABILITY:</t>
  </si>
  <si>
    <t>OVERTURNING:</t>
  </si>
  <si>
    <t>ECCENTRICITY:</t>
  </si>
  <si>
    <t>SLIDING:</t>
  </si>
  <si>
    <t>BEARING:</t>
  </si>
  <si>
    <t>INTERNAL STABILITY:</t>
  </si>
  <si>
    <t>Vertical load due to self-weight of wall facing elements (DC)</t>
  </si>
  <si>
    <t>Vertical load of reinforced soil mass (EV)</t>
  </si>
  <si>
    <t>Vertical earth surcharge (ES) due to roadway dead load, DW</t>
  </si>
  <si>
    <r>
      <t>Vertical force due to roadway surcharge, q</t>
    </r>
    <r>
      <rPr>
        <vertAlign val="subscript"/>
        <sz val="8"/>
        <rFont val="Arial"/>
        <family val="2"/>
      </rPr>
      <t xml:space="preserve"> </t>
    </r>
    <r>
      <rPr>
        <vertAlign val="subscript"/>
        <sz val="10"/>
        <rFont val="Arial"/>
        <family val="2"/>
      </rPr>
      <t>DW</t>
    </r>
    <r>
      <rPr>
        <sz val="10"/>
        <rFont val="Arial"/>
        <family val="2"/>
      </rPr>
      <t>,</t>
    </r>
    <r>
      <rPr>
        <vertAlign val="subscript"/>
        <sz val="10"/>
        <rFont val="Arial"/>
        <family val="2"/>
      </rPr>
      <t xml:space="preserve"> </t>
    </r>
    <r>
      <rPr>
        <sz val="10"/>
        <rFont val="Arial"/>
        <family val="2"/>
      </rPr>
      <t>above reinf. soil</t>
    </r>
  </si>
  <si>
    <t>Vertical earth surcharge (ES) due to weight of abutment backfill</t>
  </si>
  <si>
    <r>
      <t xml:space="preserve">Vertical earth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DW</t>
    </r>
    <r>
      <rPr>
        <sz val="10"/>
        <rFont val="Arial"/>
        <family val="2"/>
      </rPr>
      <t xml:space="preserve"> distributed to L</t>
    </r>
    <r>
      <rPr>
        <vertAlign val="subscript"/>
        <sz val="10"/>
        <rFont val="Arial"/>
        <family val="2"/>
      </rPr>
      <t>reinf</t>
    </r>
    <r>
      <rPr>
        <sz val="10"/>
        <rFont val="Arial"/>
        <family val="2"/>
      </rPr>
      <t>)</t>
    </r>
  </si>
  <si>
    <r>
      <t xml:space="preserve">Vertical live load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LS</t>
    </r>
    <r>
      <rPr>
        <sz val="10"/>
        <rFont val="Arial"/>
        <family val="2"/>
      </rPr>
      <t xml:space="preserve"> distributed to L</t>
    </r>
    <r>
      <rPr>
        <vertAlign val="subscript"/>
        <sz val="10"/>
        <rFont val="Arial"/>
        <family val="2"/>
      </rPr>
      <t>reinf</t>
    </r>
    <r>
      <rPr>
        <sz val="10"/>
        <rFont val="Arial"/>
        <family val="2"/>
      </rPr>
      <t>)</t>
    </r>
  </si>
  <si>
    <t>Horizontal earth pressure resultant force on abutment (EH)</t>
  </si>
  <si>
    <r>
      <t>P</t>
    </r>
    <r>
      <rPr>
        <vertAlign val="subscript"/>
        <sz val="10"/>
        <rFont val="Arial"/>
        <family val="2"/>
      </rPr>
      <t>V</t>
    </r>
  </si>
  <si>
    <r>
      <t>Vertical load of wet concrete abutment footing, P</t>
    </r>
    <r>
      <rPr>
        <vertAlign val="subscript"/>
        <sz val="10"/>
        <rFont val="Arial"/>
        <family val="2"/>
      </rPr>
      <t>V</t>
    </r>
    <r>
      <rPr>
        <sz val="10"/>
        <rFont val="Arial"/>
        <family val="2"/>
      </rPr>
      <t xml:space="preserve"> (ES)</t>
    </r>
  </si>
  <si>
    <r>
      <t>(ES</t>
    </r>
    <r>
      <rPr>
        <vertAlign val="subscript"/>
        <sz val="10"/>
        <rFont val="Arial"/>
        <family val="2"/>
      </rPr>
      <t>v</t>
    </r>
    <r>
      <rPr>
        <sz val="10"/>
        <rFont val="Arial"/>
        <family val="2"/>
      </rPr>
      <t>)</t>
    </r>
  </si>
  <si>
    <r>
      <t>Horizontal component of 0.5</t>
    </r>
    <r>
      <rPr>
        <vertAlign val="subscript"/>
        <sz val="10"/>
        <rFont val="Arial"/>
        <family val="2"/>
      </rPr>
      <t xml:space="preserve"> </t>
    </r>
    <r>
      <rPr>
        <sz val="10"/>
        <rFont val="Arial"/>
        <family val="2"/>
      </rPr>
      <t>P</t>
    </r>
    <r>
      <rPr>
        <vertAlign val="subscript"/>
        <sz val="10"/>
        <rFont val="Arial"/>
        <family val="2"/>
      </rPr>
      <t>AE</t>
    </r>
  </si>
  <si>
    <r>
      <t>Vertical component of 0.5</t>
    </r>
    <r>
      <rPr>
        <vertAlign val="subscript"/>
        <sz val="10"/>
        <rFont val="Arial"/>
        <family val="2"/>
      </rPr>
      <t xml:space="preserve"> </t>
    </r>
    <r>
      <rPr>
        <sz val="10"/>
        <rFont val="Arial"/>
        <family val="2"/>
      </rPr>
      <t>P</t>
    </r>
    <r>
      <rPr>
        <vertAlign val="subscript"/>
        <sz val="10"/>
        <rFont val="Arial"/>
        <family val="2"/>
      </rPr>
      <t>AE</t>
    </r>
  </si>
  <si>
    <r>
      <t>0.5</t>
    </r>
    <r>
      <rPr>
        <vertAlign val="subscript"/>
        <sz val="10"/>
        <rFont val="Arial"/>
        <family val="2"/>
      </rPr>
      <t xml:space="preserve"> </t>
    </r>
    <r>
      <rPr>
        <sz val="10"/>
        <rFont val="Arial"/>
        <family val="2"/>
      </rPr>
      <t>P</t>
    </r>
    <r>
      <rPr>
        <vertAlign val="subscript"/>
        <sz val="10"/>
        <rFont val="Arial"/>
        <family val="2"/>
      </rPr>
      <t>AE</t>
    </r>
  </si>
  <si>
    <r>
      <t>0.5</t>
    </r>
    <r>
      <rPr>
        <vertAlign val="subscript"/>
        <sz val="10"/>
        <rFont val="Arial"/>
        <family val="2"/>
      </rPr>
      <t xml:space="preserve"> </t>
    </r>
    <r>
      <rPr>
        <sz val="10"/>
        <rFont val="Arial"/>
        <family val="2"/>
      </rPr>
      <t>P</t>
    </r>
    <r>
      <rPr>
        <vertAlign val="subscript"/>
        <sz val="10"/>
        <rFont val="Arial"/>
        <family val="2"/>
      </rPr>
      <t>AEh</t>
    </r>
  </si>
  <si>
    <r>
      <t>0.5</t>
    </r>
    <r>
      <rPr>
        <vertAlign val="subscript"/>
        <sz val="10"/>
        <rFont val="Arial"/>
        <family val="2"/>
      </rPr>
      <t xml:space="preserve"> </t>
    </r>
    <r>
      <rPr>
        <sz val="10"/>
        <rFont val="Arial"/>
        <family val="2"/>
      </rPr>
      <t>P</t>
    </r>
    <r>
      <rPr>
        <vertAlign val="subscript"/>
        <sz val="10"/>
        <rFont val="Arial"/>
        <family val="2"/>
      </rPr>
      <t>AEv</t>
    </r>
  </si>
  <si>
    <r>
      <t>Percentage of footing width, b</t>
    </r>
    <r>
      <rPr>
        <vertAlign val="subscript"/>
        <sz val="10"/>
        <rFont val="Arial"/>
        <family val="2"/>
      </rPr>
      <t>f</t>
    </r>
    <r>
      <rPr>
        <sz val="10"/>
        <rFont val="Arial"/>
        <family val="2"/>
      </rPr>
      <t>, within the reinforced soil mass</t>
    </r>
  </si>
  <si>
    <r>
      <t>Vertical force due to earth surcharge, q</t>
    </r>
    <r>
      <rPr>
        <vertAlign val="subscript"/>
        <sz val="8"/>
        <rFont val="Arial"/>
        <family val="2"/>
      </rPr>
      <t xml:space="preserve"> </t>
    </r>
    <r>
      <rPr>
        <vertAlign val="subscript"/>
        <sz val="10"/>
        <rFont val="Arial"/>
        <family val="2"/>
      </rPr>
      <t>ES</t>
    </r>
    <r>
      <rPr>
        <sz val="10"/>
        <rFont val="Arial"/>
        <family val="2"/>
      </rPr>
      <t>, above reinforced soil</t>
    </r>
  </si>
  <si>
    <t>Seismic inertial force of sloped fill above reinforced soil</t>
  </si>
  <si>
    <t>Vertical load of sloped fill above reinforced soil mass (EV)</t>
  </si>
  <si>
    <r>
      <t>50% of Dynamic thrust load P</t>
    </r>
    <r>
      <rPr>
        <vertAlign val="subscript"/>
        <sz val="10"/>
        <rFont val="Arial"/>
        <family val="2"/>
      </rPr>
      <t>AE</t>
    </r>
    <r>
      <rPr>
        <sz val="10"/>
        <rFont val="Arial"/>
        <family val="2"/>
      </rPr>
      <t xml:space="preserve"> from retained fill</t>
    </r>
  </si>
  <si>
    <t>Internal inertial force</t>
  </si>
  <si>
    <r>
      <t>(ES</t>
    </r>
    <r>
      <rPr>
        <vertAlign val="subscript"/>
        <sz val="10"/>
        <rFont val="Arial"/>
        <family val="2"/>
      </rPr>
      <t>h</t>
    </r>
    <r>
      <rPr>
        <sz val="10"/>
        <rFont val="Arial"/>
        <family val="2"/>
      </rPr>
      <t>)</t>
    </r>
  </si>
  <si>
    <r>
      <t>W</t>
    </r>
    <r>
      <rPr>
        <vertAlign val="subscript"/>
        <sz val="10"/>
        <rFont val="Arial"/>
        <family val="2"/>
      </rPr>
      <t>a</t>
    </r>
  </si>
  <si>
    <t>Weight of the active zone</t>
  </si>
  <si>
    <t>Notes:</t>
  </si>
  <si>
    <t>t-ft/ft</t>
  </si>
  <si>
    <t>Moments:</t>
  </si>
  <si>
    <r>
      <rPr>
        <sz val="10"/>
        <rFont val="Symbol"/>
        <family val="1"/>
        <charset val="2"/>
      </rPr>
      <t>S</t>
    </r>
    <r>
      <rPr>
        <sz val="10"/>
        <rFont val="Arial"/>
        <family val="2"/>
      </rPr>
      <t xml:space="preserve"> V</t>
    </r>
    <r>
      <rPr>
        <vertAlign val="subscript"/>
        <sz val="10"/>
        <rFont val="Arial"/>
        <family val="2"/>
      </rPr>
      <t xml:space="preserve"> (bearing)</t>
    </r>
    <r>
      <rPr>
        <sz val="10"/>
        <rFont val="Arial"/>
        <family val="2"/>
      </rPr>
      <t xml:space="preserve"> =</t>
    </r>
  </si>
  <si>
    <r>
      <rPr>
        <sz val="10"/>
        <rFont val="Symbol"/>
        <family val="1"/>
        <charset val="2"/>
      </rPr>
      <t>S</t>
    </r>
    <r>
      <rPr>
        <sz val="10"/>
        <rFont val="Arial"/>
        <family val="2"/>
      </rPr>
      <t xml:space="preserve"> V</t>
    </r>
    <r>
      <rPr>
        <vertAlign val="subscript"/>
        <sz val="10"/>
        <rFont val="Arial"/>
        <family val="2"/>
      </rPr>
      <t xml:space="preserve"> (OT &amp; sliding)</t>
    </r>
    <r>
      <rPr>
        <sz val="10"/>
        <rFont val="Arial"/>
        <family val="2"/>
      </rPr>
      <t xml:space="preserve"> =</t>
    </r>
  </si>
  <si>
    <r>
      <rPr>
        <sz val="10"/>
        <rFont val="Symbol"/>
        <family val="1"/>
        <charset val="2"/>
      </rPr>
      <t>S</t>
    </r>
    <r>
      <rPr>
        <sz val="10"/>
        <rFont val="Arial"/>
        <family val="2"/>
      </rPr>
      <t xml:space="preserve"> H =</t>
    </r>
  </si>
  <si>
    <r>
      <rPr>
        <sz val="10"/>
        <rFont val="Symbol"/>
        <family val="1"/>
        <charset val="2"/>
      </rPr>
      <t>S</t>
    </r>
    <r>
      <rPr>
        <sz val="10"/>
        <rFont val="Arial"/>
        <family val="2"/>
      </rPr>
      <t xml:space="preserve"> M</t>
    </r>
    <r>
      <rPr>
        <vertAlign val="subscript"/>
        <sz val="10"/>
        <rFont val="Arial"/>
        <family val="2"/>
      </rPr>
      <t xml:space="preserve"> V</t>
    </r>
    <r>
      <rPr>
        <sz val="10"/>
        <rFont val="Arial"/>
        <family val="2"/>
      </rPr>
      <t xml:space="preserve"> =</t>
    </r>
  </si>
  <si>
    <r>
      <rPr>
        <sz val="10"/>
        <rFont val="Symbol"/>
        <family val="1"/>
        <charset val="2"/>
      </rPr>
      <t>S</t>
    </r>
    <r>
      <rPr>
        <sz val="10"/>
        <rFont val="Arial"/>
        <family val="2"/>
      </rPr>
      <t xml:space="preserve"> M</t>
    </r>
    <r>
      <rPr>
        <vertAlign val="subscript"/>
        <sz val="10"/>
        <rFont val="Arial"/>
        <family val="2"/>
      </rPr>
      <t xml:space="preserve"> H</t>
    </r>
    <r>
      <rPr>
        <sz val="10"/>
        <rFont val="Arial"/>
        <family val="2"/>
      </rPr>
      <t xml:space="preserve"> =</t>
    </r>
  </si>
  <si>
    <r>
      <t>R</t>
    </r>
    <r>
      <rPr>
        <vertAlign val="subscript"/>
        <sz val="10"/>
        <rFont val="Symbol"/>
        <family val="1"/>
        <charset val="2"/>
      </rPr>
      <t>t</t>
    </r>
    <r>
      <rPr>
        <sz val="10"/>
        <rFont val="Arial"/>
        <family val="2"/>
      </rPr>
      <t xml:space="preserve"> = </t>
    </r>
    <r>
      <rPr>
        <sz val="10"/>
        <rFont val="Symbol"/>
        <family val="1"/>
        <charset val="2"/>
      </rPr>
      <t>S</t>
    </r>
    <r>
      <rPr>
        <sz val="10"/>
        <rFont val="Arial"/>
        <family val="2"/>
      </rPr>
      <t xml:space="preserve"> V * tan </t>
    </r>
    <r>
      <rPr>
        <sz val="10"/>
        <rFont val="Symbol"/>
        <family val="1"/>
        <charset val="2"/>
      </rPr>
      <t>d</t>
    </r>
  </si>
  <si>
    <r>
      <t>R</t>
    </r>
    <r>
      <rPr>
        <vertAlign val="subscript"/>
        <sz val="10"/>
        <rFont val="Symbol"/>
        <family val="1"/>
        <charset val="2"/>
      </rPr>
      <t>t</t>
    </r>
    <r>
      <rPr>
        <sz val="10"/>
        <rFont val="Arial"/>
        <family val="2"/>
      </rPr>
      <t xml:space="preserve"> = </t>
    </r>
    <r>
      <rPr>
        <sz val="10"/>
        <rFont val="Symbol"/>
        <family val="1"/>
        <charset val="2"/>
      </rPr>
      <t>S</t>
    </r>
    <r>
      <rPr>
        <sz val="10"/>
        <rFont val="Arial"/>
        <family val="2"/>
      </rPr>
      <t xml:space="preserve"> V * tan </t>
    </r>
    <r>
      <rPr>
        <sz val="10"/>
        <rFont val="Symbol"/>
        <family val="1"/>
        <charset val="2"/>
      </rPr>
      <t>d</t>
    </r>
    <r>
      <rPr>
        <sz val="10"/>
        <rFont val="Arial"/>
        <family val="2"/>
      </rPr>
      <t xml:space="preserve"> + c</t>
    </r>
    <r>
      <rPr>
        <vertAlign val="subscript"/>
        <sz val="10"/>
        <rFont val="Arial"/>
        <family val="2"/>
      </rPr>
      <t xml:space="preserve">a </t>
    </r>
    <r>
      <rPr>
        <sz val="10"/>
        <rFont val="Arial"/>
        <family val="2"/>
      </rPr>
      <t>B'</t>
    </r>
  </si>
  <si>
    <t>[D10.6.3.4-3P]</t>
  </si>
  <si>
    <t>[D10.6.3.4-1]</t>
  </si>
  <si>
    <t>[A11.10.5.3]</t>
  </si>
  <si>
    <r>
      <t>d</t>
    </r>
    <r>
      <rPr>
        <sz val="10"/>
        <rFont val="Arial"/>
        <family val="2"/>
      </rPr>
      <t xml:space="preserve"> = min</t>
    </r>
    <r>
      <rPr>
        <vertAlign val="subscript"/>
        <sz val="10"/>
        <rFont val="Arial"/>
        <family val="2"/>
      </rPr>
      <t xml:space="preserve"> </t>
    </r>
    <r>
      <rPr>
        <sz val="10"/>
        <rFont val="Arial"/>
        <family val="2"/>
      </rPr>
      <t xml:space="preserve">[ </t>
    </r>
    <r>
      <rPr>
        <sz val="10"/>
        <rFont val="Symbol"/>
        <family val="1"/>
        <charset val="2"/>
      </rPr>
      <t>f</t>
    </r>
    <r>
      <rPr>
        <vertAlign val="subscript"/>
        <sz val="10"/>
        <rFont val="Arial"/>
        <family val="2"/>
      </rPr>
      <t>r</t>
    </r>
    <r>
      <rPr>
        <sz val="10"/>
        <rFont val="Arial"/>
        <family val="2"/>
      </rPr>
      <t xml:space="preserve">, </t>
    </r>
    <r>
      <rPr>
        <sz val="10"/>
        <rFont val="Symbol"/>
        <family val="1"/>
        <charset val="2"/>
      </rPr>
      <t>f</t>
    </r>
    <r>
      <rPr>
        <vertAlign val="subscript"/>
        <sz val="10"/>
        <rFont val="Arial"/>
        <family val="2"/>
      </rPr>
      <t>b</t>
    </r>
    <r>
      <rPr>
        <sz val="10"/>
        <rFont val="Arial"/>
        <family val="2"/>
      </rPr>
      <t xml:space="preserve">, </t>
    </r>
    <r>
      <rPr>
        <sz val="10"/>
        <rFont val="Symbol"/>
        <family val="1"/>
        <charset val="2"/>
      </rPr>
      <t>r</t>
    </r>
    <r>
      <rPr>
        <vertAlign val="subscript"/>
        <sz val="10"/>
        <rFont val="Arial"/>
        <family val="2"/>
      </rPr>
      <t xml:space="preserve"> </t>
    </r>
    <r>
      <rPr>
        <sz val="10"/>
        <rFont val="Arial"/>
        <family val="2"/>
      </rPr>
      <t>(if cont. reinf.) ]</t>
    </r>
  </si>
  <si>
    <r>
      <t>e</t>
    </r>
    <r>
      <rPr>
        <vertAlign val="subscript"/>
        <sz val="10"/>
        <rFont val="Arial"/>
        <family val="2"/>
      </rPr>
      <t xml:space="preserve">B </t>
    </r>
    <r>
      <rPr>
        <sz val="8"/>
        <rFont val="Arial"/>
        <family val="2"/>
      </rPr>
      <t>max</t>
    </r>
  </si>
  <si>
    <r>
      <t>Check e</t>
    </r>
    <r>
      <rPr>
        <vertAlign val="subscript"/>
        <sz val="10"/>
        <rFont val="Arial"/>
        <family val="2"/>
      </rPr>
      <t>B</t>
    </r>
    <r>
      <rPr>
        <sz val="10"/>
        <rFont val="Arial"/>
        <family val="2"/>
      </rPr>
      <t xml:space="preserve"> </t>
    </r>
    <r>
      <rPr>
        <sz val="10"/>
        <rFont val="Calibri"/>
        <family val="2"/>
      </rPr>
      <t>≤</t>
    </r>
    <r>
      <rPr>
        <sz val="10"/>
        <rFont val="Arial"/>
        <family val="2"/>
      </rPr>
      <t xml:space="preserve"> e</t>
    </r>
    <r>
      <rPr>
        <vertAlign val="subscript"/>
        <sz val="10"/>
        <rFont val="Arial"/>
        <family val="2"/>
      </rPr>
      <t>B</t>
    </r>
    <r>
      <rPr>
        <sz val="10"/>
        <rFont val="Arial"/>
        <family val="2"/>
      </rPr>
      <t xml:space="preserve"> </t>
    </r>
    <r>
      <rPr>
        <sz val="8"/>
        <rFont val="Arial"/>
        <family val="2"/>
      </rPr>
      <t>max</t>
    </r>
    <r>
      <rPr>
        <sz val="10"/>
        <rFont val="Arial"/>
        <family val="2"/>
      </rPr>
      <t>:</t>
    </r>
  </si>
  <si>
    <r>
      <t>R</t>
    </r>
    <r>
      <rPr>
        <vertAlign val="subscript"/>
        <sz val="10"/>
        <rFont val="Symbol"/>
        <family val="1"/>
        <charset val="2"/>
      </rPr>
      <t>t</t>
    </r>
    <r>
      <rPr>
        <sz val="10"/>
        <rFont val="Arial"/>
        <family val="2"/>
      </rPr>
      <t xml:space="preserve"> =</t>
    </r>
  </si>
  <si>
    <t>B' =</t>
  </si>
  <si>
    <r>
      <rPr>
        <sz val="10"/>
        <rFont val="Symbol"/>
        <family val="1"/>
        <charset val="2"/>
      </rPr>
      <t>S</t>
    </r>
    <r>
      <rPr>
        <sz val="10"/>
        <rFont val="Arial"/>
        <family val="2"/>
      </rPr>
      <t xml:space="preserve"> V =</t>
    </r>
  </si>
  <si>
    <r>
      <t>R</t>
    </r>
    <r>
      <rPr>
        <vertAlign val="subscript"/>
        <sz val="10"/>
        <rFont val="Arial"/>
        <family val="2"/>
      </rPr>
      <t>R</t>
    </r>
    <r>
      <rPr>
        <sz val="10"/>
        <rFont val="Arial"/>
        <family val="2"/>
      </rPr>
      <t xml:space="preserve"> =</t>
    </r>
  </si>
  <si>
    <r>
      <t>Check R</t>
    </r>
    <r>
      <rPr>
        <vertAlign val="subscript"/>
        <sz val="10"/>
        <rFont val="Arial"/>
        <family val="2"/>
      </rPr>
      <t>R</t>
    </r>
    <r>
      <rPr>
        <sz val="10"/>
        <rFont val="Arial"/>
        <family val="2"/>
      </rPr>
      <t xml:space="preserve"> </t>
    </r>
    <r>
      <rPr>
        <sz val="10"/>
        <rFont val="Calibri"/>
        <family val="2"/>
      </rPr>
      <t>≥</t>
    </r>
    <r>
      <rPr>
        <sz val="10"/>
        <rFont val="Arial"/>
        <family val="2"/>
      </rPr>
      <t xml:space="preserve"> </t>
    </r>
    <r>
      <rPr>
        <sz val="10"/>
        <rFont val="Symbol"/>
        <family val="1"/>
        <charset val="2"/>
      </rPr>
      <t>S</t>
    </r>
    <r>
      <rPr>
        <sz val="10"/>
        <rFont val="Arial"/>
        <family val="2"/>
      </rPr>
      <t xml:space="preserve"> H:</t>
    </r>
  </si>
  <si>
    <t>PERF. RATIO =</t>
  </si>
  <si>
    <r>
      <t>N</t>
    </r>
    <r>
      <rPr>
        <vertAlign val="subscript"/>
        <sz val="10"/>
        <rFont val="Arial"/>
        <family val="2"/>
      </rPr>
      <t>c</t>
    </r>
    <r>
      <rPr>
        <sz val="10"/>
        <rFont val="Arial"/>
        <family val="2"/>
      </rPr>
      <t xml:space="preserve"> =</t>
    </r>
  </si>
  <si>
    <r>
      <t>N</t>
    </r>
    <r>
      <rPr>
        <vertAlign val="subscript"/>
        <sz val="10"/>
        <rFont val="Arial"/>
        <family val="2"/>
      </rPr>
      <t>q</t>
    </r>
    <r>
      <rPr>
        <sz val="10"/>
        <rFont val="Arial"/>
        <family val="2"/>
      </rPr>
      <t xml:space="preserve"> =</t>
    </r>
  </si>
  <si>
    <r>
      <t>N</t>
    </r>
    <r>
      <rPr>
        <vertAlign val="subscript"/>
        <sz val="12"/>
        <rFont val="Symbol"/>
        <family val="1"/>
        <charset val="2"/>
      </rPr>
      <t>g</t>
    </r>
    <r>
      <rPr>
        <sz val="10"/>
        <rFont val="Arial"/>
        <family val="2"/>
      </rPr>
      <t xml:space="preserve"> =</t>
    </r>
  </si>
  <si>
    <r>
      <t>c</t>
    </r>
    <r>
      <rPr>
        <vertAlign val="subscript"/>
        <sz val="10"/>
        <rFont val="Arial"/>
        <family val="2"/>
      </rPr>
      <t>a</t>
    </r>
    <r>
      <rPr>
        <sz val="10"/>
        <rFont val="Arial"/>
        <family val="2"/>
      </rPr>
      <t xml:space="preserve"> = c</t>
    </r>
    <r>
      <rPr>
        <vertAlign val="subscript"/>
        <sz val="10"/>
        <rFont val="Arial"/>
        <family val="2"/>
      </rPr>
      <t xml:space="preserve"> </t>
    </r>
    <r>
      <rPr>
        <sz val="10"/>
        <rFont val="Arial"/>
        <family val="2"/>
      </rPr>
      <t xml:space="preserve">(0.21 + 0.27/c) </t>
    </r>
    <r>
      <rPr>
        <sz val="10"/>
        <rFont val="Calibri"/>
        <family val="2"/>
      </rPr>
      <t>≤</t>
    </r>
    <r>
      <rPr>
        <sz val="10"/>
        <rFont val="Arial"/>
        <family val="2"/>
      </rPr>
      <t xml:space="preserve"> </t>
    </r>
    <r>
      <rPr>
        <sz val="10"/>
        <rFont val="Arial"/>
        <family val="2"/>
      </rPr>
      <t>1.0</t>
    </r>
  </si>
  <si>
    <r>
      <t>X</t>
    </r>
    <r>
      <rPr>
        <vertAlign val="subscript"/>
        <sz val="10"/>
        <rFont val="Arial"/>
        <family val="2"/>
      </rPr>
      <t>o</t>
    </r>
    <r>
      <rPr>
        <sz val="10"/>
        <rFont val="Arial"/>
        <family val="2"/>
      </rPr>
      <t xml:space="preserve"> =</t>
    </r>
  </si>
  <si>
    <r>
      <t>q</t>
    </r>
    <r>
      <rPr>
        <vertAlign val="subscript"/>
        <sz val="10"/>
        <rFont val="Arial"/>
        <family val="2"/>
      </rPr>
      <t>R</t>
    </r>
    <r>
      <rPr>
        <sz val="10"/>
        <rFont val="Arial"/>
        <family val="2"/>
      </rPr>
      <t xml:space="preserve"> =</t>
    </r>
  </si>
  <si>
    <r>
      <t>s</t>
    </r>
    <r>
      <rPr>
        <vertAlign val="subscript"/>
        <sz val="10"/>
        <rFont val="Arial"/>
        <family val="2"/>
      </rPr>
      <t>q</t>
    </r>
    <r>
      <rPr>
        <sz val="10"/>
        <rFont val="Arial"/>
        <family val="2"/>
      </rPr>
      <t xml:space="preserve"> =</t>
    </r>
  </si>
  <si>
    <r>
      <t>s</t>
    </r>
    <r>
      <rPr>
        <vertAlign val="subscript"/>
        <sz val="10"/>
        <rFont val="Arial"/>
        <family val="2"/>
      </rPr>
      <t>c</t>
    </r>
    <r>
      <rPr>
        <sz val="10"/>
        <rFont val="Arial"/>
        <family val="2"/>
      </rPr>
      <t xml:space="preserve"> =</t>
    </r>
  </si>
  <si>
    <r>
      <t>s</t>
    </r>
    <r>
      <rPr>
        <vertAlign val="subscript"/>
        <sz val="12"/>
        <rFont val="Symbol"/>
        <family val="1"/>
        <charset val="2"/>
      </rPr>
      <t>g</t>
    </r>
    <r>
      <rPr>
        <sz val="10"/>
        <rFont val="Arial"/>
        <family val="2"/>
      </rPr>
      <t xml:space="preserve"> =</t>
    </r>
  </si>
  <si>
    <r>
      <t>i</t>
    </r>
    <r>
      <rPr>
        <vertAlign val="subscript"/>
        <sz val="10"/>
        <rFont val="Arial"/>
        <family val="2"/>
      </rPr>
      <t>q</t>
    </r>
    <r>
      <rPr>
        <sz val="10"/>
        <rFont val="Arial"/>
        <family val="2"/>
      </rPr>
      <t xml:space="preserve"> =</t>
    </r>
  </si>
  <si>
    <r>
      <t>i</t>
    </r>
    <r>
      <rPr>
        <vertAlign val="subscript"/>
        <sz val="10"/>
        <rFont val="Arial"/>
        <family val="2"/>
      </rPr>
      <t>c</t>
    </r>
    <r>
      <rPr>
        <sz val="10"/>
        <rFont val="Arial"/>
        <family val="2"/>
      </rPr>
      <t xml:space="preserve"> =</t>
    </r>
  </si>
  <si>
    <r>
      <t>Check q</t>
    </r>
    <r>
      <rPr>
        <vertAlign val="subscript"/>
        <sz val="10"/>
        <rFont val="Arial"/>
        <family val="2"/>
      </rPr>
      <t>R</t>
    </r>
    <r>
      <rPr>
        <sz val="10"/>
        <rFont val="Arial"/>
        <family val="2"/>
      </rPr>
      <t xml:space="preserve"> </t>
    </r>
    <r>
      <rPr>
        <sz val="10"/>
        <rFont val="Calibri"/>
        <family val="2"/>
      </rPr>
      <t>≥</t>
    </r>
    <r>
      <rPr>
        <sz val="10"/>
        <rFont val="Arial"/>
        <family val="2"/>
      </rPr>
      <t xml:space="preserve"> q:</t>
    </r>
  </si>
  <si>
    <t>[D10.6.3.1.2a]</t>
  </si>
  <si>
    <r>
      <t>L &gt; 5</t>
    </r>
    <r>
      <rPr>
        <vertAlign val="subscript"/>
        <sz val="10"/>
        <rFont val="Arial"/>
        <family val="2"/>
      </rPr>
      <t xml:space="preserve"> </t>
    </r>
    <r>
      <rPr>
        <sz val="10"/>
        <rFont val="Arial"/>
        <family val="2"/>
      </rPr>
      <t>B ?</t>
    </r>
  </si>
  <si>
    <r>
      <t>q</t>
    </r>
    <r>
      <rPr>
        <vertAlign val="subscript"/>
        <sz val="10"/>
        <rFont val="Arial"/>
        <family val="2"/>
      </rPr>
      <t>n</t>
    </r>
    <r>
      <rPr>
        <sz val="10"/>
        <rFont val="Arial"/>
        <family val="2"/>
      </rPr>
      <t xml:space="preserve"> =</t>
    </r>
  </si>
  <si>
    <r>
      <t>A</t>
    </r>
    <r>
      <rPr>
        <vertAlign val="subscript"/>
        <sz val="10"/>
        <rFont val="Arial"/>
        <family val="2"/>
      </rPr>
      <t>m</t>
    </r>
    <r>
      <rPr>
        <sz val="10"/>
        <rFont val="Arial"/>
        <family val="2"/>
      </rPr>
      <t xml:space="preserve"> =</t>
    </r>
  </si>
  <si>
    <r>
      <t>W</t>
    </r>
    <r>
      <rPr>
        <vertAlign val="subscript"/>
        <sz val="10"/>
        <rFont val="Arial"/>
        <family val="2"/>
      </rPr>
      <t>a</t>
    </r>
    <r>
      <rPr>
        <sz val="10"/>
        <rFont val="Arial"/>
        <family val="2"/>
      </rPr>
      <t xml:space="preserve"> =</t>
    </r>
  </si>
  <si>
    <r>
      <t>P</t>
    </r>
    <r>
      <rPr>
        <vertAlign val="subscript"/>
        <sz val="10"/>
        <rFont val="Arial"/>
        <family val="2"/>
      </rPr>
      <t>i</t>
    </r>
    <r>
      <rPr>
        <sz val="10"/>
        <rFont val="Arial"/>
        <family val="2"/>
      </rPr>
      <t xml:space="preserve"> =</t>
    </r>
  </si>
  <si>
    <r>
      <t xml:space="preserve">S </t>
    </r>
    <r>
      <rPr>
        <sz val="10"/>
        <rFont val="Arial"/>
        <family val="2"/>
      </rPr>
      <t>L</t>
    </r>
    <r>
      <rPr>
        <vertAlign val="subscript"/>
        <sz val="10"/>
        <rFont val="Arial"/>
        <family val="2"/>
      </rPr>
      <t>e</t>
    </r>
    <r>
      <rPr>
        <sz val="10"/>
        <rFont val="Arial"/>
        <family val="2"/>
      </rPr>
      <t xml:space="preserve"> =</t>
    </r>
  </si>
  <si>
    <t>Geosynthetic Rupture</t>
  </si>
  <si>
    <t>(MSE Wall Reinforcement Design)</t>
  </si>
  <si>
    <r>
      <t>A</t>
    </r>
    <r>
      <rPr>
        <vertAlign val="subscript"/>
        <sz val="10"/>
        <rFont val="Arial"/>
        <family val="2"/>
      </rPr>
      <t>broken</t>
    </r>
  </si>
  <si>
    <t>(sloped fill)</t>
  </si>
  <si>
    <t>(sloped fill for seismic)</t>
  </si>
  <si>
    <r>
      <t>s</t>
    </r>
    <r>
      <rPr>
        <vertAlign val="subscript"/>
        <sz val="10"/>
        <rFont val="Arial"/>
        <family val="2"/>
      </rPr>
      <t>H</t>
    </r>
    <r>
      <rPr>
        <sz val="8"/>
        <rFont val="Arial"/>
        <family val="2"/>
      </rPr>
      <t xml:space="preserve"> (EXT-I)</t>
    </r>
  </si>
  <si>
    <t>Redundancy Force</t>
  </si>
  <si>
    <t>Max. Tensile Force</t>
  </si>
  <si>
    <t>Tensile Resistance</t>
  </si>
  <si>
    <t>Connection Strength</t>
  </si>
  <si>
    <t>Static Component</t>
  </si>
  <si>
    <t>Dynamic Component</t>
  </si>
  <si>
    <t>Tensile Force for</t>
  </si>
  <si>
    <r>
      <t>T</t>
    </r>
    <r>
      <rPr>
        <vertAlign val="subscript"/>
        <sz val="10"/>
        <rFont val="Arial"/>
        <family val="2"/>
      </rPr>
      <t>Srs</t>
    </r>
    <r>
      <rPr>
        <vertAlign val="subscript"/>
        <sz val="8"/>
        <rFont val="Arial"/>
        <family val="2"/>
      </rPr>
      <t xml:space="preserve"> </t>
    </r>
    <r>
      <rPr>
        <sz val="8"/>
        <rFont val="Arial"/>
        <family val="2"/>
      </rPr>
      <t>(static)</t>
    </r>
  </si>
  <si>
    <r>
      <t>T</t>
    </r>
    <r>
      <rPr>
        <vertAlign val="subscript"/>
        <sz val="10"/>
        <rFont val="Arial"/>
        <family val="2"/>
      </rPr>
      <t>Srt</t>
    </r>
    <r>
      <rPr>
        <vertAlign val="subscript"/>
        <sz val="8"/>
        <rFont val="Arial"/>
        <family val="2"/>
      </rPr>
      <t xml:space="preserve"> </t>
    </r>
    <r>
      <rPr>
        <sz val="8"/>
        <rFont val="Arial"/>
        <family val="2"/>
      </rPr>
      <t>(trans.)</t>
    </r>
  </si>
  <si>
    <r>
      <t>T</t>
    </r>
    <r>
      <rPr>
        <vertAlign val="subscript"/>
        <sz val="10"/>
        <rFont val="Arial"/>
        <family val="2"/>
      </rPr>
      <t>Srs</t>
    </r>
  </si>
  <si>
    <r>
      <t>T</t>
    </r>
    <r>
      <rPr>
        <vertAlign val="subscript"/>
        <sz val="10"/>
        <rFont val="Arial"/>
        <family val="2"/>
      </rPr>
      <t>Srt</t>
    </r>
  </si>
  <si>
    <t>Geosynthetic Rupture Resistance</t>
  </si>
  <si>
    <t>factor</t>
  </si>
  <si>
    <r>
      <t>s</t>
    </r>
    <r>
      <rPr>
        <vertAlign val="subscript"/>
        <sz val="10"/>
        <rFont val="Arial"/>
        <family val="2"/>
      </rPr>
      <t>v</t>
    </r>
    <r>
      <rPr>
        <sz val="8"/>
        <rFont val="Arial"/>
        <family val="2"/>
      </rPr>
      <t xml:space="preserve"> (no LS)</t>
    </r>
  </si>
  <si>
    <t>TENSILE STRENGTH</t>
  </si>
  <si>
    <t>Horiz.</t>
  </si>
  <si>
    <r>
      <t>T</t>
    </r>
    <r>
      <rPr>
        <vertAlign val="subscript"/>
        <sz val="10"/>
        <rFont val="Arial"/>
        <family val="2"/>
      </rPr>
      <t>al</t>
    </r>
    <r>
      <rPr>
        <sz val="8"/>
        <rFont val="Arial"/>
        <family val="2"/>
      </rPr>
      <t xml:space="preserve"> (steel)</t>
    </r>
  </si>
  <si>
    <r>
      <t>T</t>
    </r>
    <r>
      <rPr>
        <vertAlign val="subscript"/>
        <sz val="10"/>
        <rFont val="Arial"/>
        <family val="2"/>
      </rPr>
      <t>ult</t>
    </r>
    <r>
      <rPr>
        <sz val="8"/>
        <rFont val="Arial"/>
        <family val="2"/>
      </rPr>
      <t xml:space="preserve"> (geo.)</t>
    </r>
  </si>
  <si>
    <r>
      <t>T</t>
    </r>
    <r>
      <rPr>
        <vertAlign val="subscript"/>
        <sz val="10"/>
        <rFont val="Arial"/>
        <family val="2"/>
      </rPr>
      <t>al</t>
    </r>
    <r>
      <rPr>
        <sz val="8"/>
        <rFont val="Arial"/>
        <family val="2"/>
      </rPr>
      <t xml:space="preserve"> (geo.)</t>
    </r>
  </si>
  <si>
    <t>Tensile Strength
(for Redundancy)</t>
  </si>
  <si>
    <r>
      <t>T</t>
    </r>
    <r>
      <rPr>
        <vertAlign val="subscript"/>
        <sz val="10"/>
        <rFont val="Arial"/>
        <family val="2"/>
      </rPr>
      <t>max</t>
    </r>
    <r>
      <rPr>
        <sz val="8"/>
        <rFont val="Arial"/>
        <family val="2"/>
      </rPr>
      <t xml:space="preserve"> (STR)</t>
    </r>
  </si>
  <si>
    <r>
      <t>L</t>
    </r>
    <r>
      <rPr>
        <vertAlign val="subscript"/>
        <sz val="10"/>
        <rFont val="Arial"/>
        <family val="2"/>
      </rPr>
      <t>e</t>
    </r>
    <r>
      <rPr>
        <sz val="8"/>
        <rFont val="Arial"/>
        <family val="2"/>
      </rPr>
      <t xml:space="preserve"> (EXT-I)</t>
    </r>
  </si>
  <si>
    <r>
      <t>CC</t>
    </r>
    <r>
      <rPr>
        <sz val="8"/>
        <rFont val="Arial"/>
        <family val="2"/>
      </rPr>
      <t xml:space="preserve"> (EXT)</t>
    </r>
  </si>
  <si>
    <r>
      <rPr>
        <sz val="10"/>
        <rFont val="Arial"/>
        <family val="2"/>
      </rPr>
      <t xml:space="preserve">Does the wall facing consist of geosynthetic material overlapped with main soil reinforcement? </t>
    </r>
    <r>
      <rPr>
        <i/>
        <sz val="10"/>
        <rFont val="Arial"/>
        <family val="2"/>
      </rPr>
      <t>y = yes, n = no</t>
    </r>
  </si>
  <si>
    <r>
      <t>Is the reinforcement continuous along the wall? (e.g., grids and sheets)</t>
    </r>
    <r>
      <rPr>
        <i/>
        <sz val="10"/>
        <rFont val="Arial"/>
        <family val="2"/>
      </rPr>
      <t xml:space="preserve"> y = yes, n = no </t>
    </r>
  </si>
  <si>
    <t>Long-Term Strength</t>
  </si>
  <si>
    <r>
      <t xml:space="preserve">CC </t>
    </r>
    <r>
      <rPr>
        <sz val="8"/>
        <rFont val="Arial"/>
        <family val="2"/>
      </rPr>
      <t xml:space="preserve">(STR) </t>
    </r>
    <r>
      <rPr>
        <sz val="10"/>
        <rFont val="Arial"/>
        <family val="2"/>
      </rPr>
      <t>=</t>
    </r>
  </si>
  <si>
    <r>
      <t xml:space="preserve">CC </t>
    </r>
    <r>
      <rPr>
        <sz val="8"/>
        <rFont val="Arial"/>
        <family val="2"/>
      </rPr>
      <t xml:space="preserve">(EXT) </t>
    </r>
    <r>
      <rPr>
        <sz val="10"/>
        <rFont val="Arial"/>
        <family val="2"/>
      </rPr>
      <t>=</t>
    </r>
  </si>
  <si>
    <r>
      <t>CC</t>
    </r>
    <r>
      <rPr>
        <sz val="8"/>
        <rFont val="Arial"/>
        <family val="2"/>
      </rPr>
      <t xml:space="preserve"> (STR)</t>
    </r>
  </si>
  <si>
    <t>Check Overlap Length of Geosynthetic Facing:</t>
  </si>
  <si>
    <t>Overlap Length of Geosynthetic Facing:</t>
  </si>
  <si>
    <r>
      <t>L</t>
    </r>
    <r>
      <rPr>
        <vertAlign val="subscript"/>
        <sz val="10"/>
        <rFont val="Arial"/>
        <family val="2"/>
      </rPr>
      <t>e</t>
    </r>
    <r>
      <rPr>
        <sz val="8"/>
        <rFont val="Arial"/>
        <family val="2"/>
      </rPr>
      <t xml:space="preserve"> (req'd)</t>
    </r>
  </si>
  <si>
    <t>(for Reinforcing behind Abutment)</t>
  </si>
  <si>
    <t>ratio</t>
  </si>
  <si>
    <r>
      <t>Ds</t>
    </r>
    <r>
      <rPr>
        <vertAlign val="subscript"/>
        <sz val="10"/>
        <rFont val="Arial"/>
        <family val="2"/>
      </rPr>
      <t>H</t>
    </r>
  </si>
  <si>
    <r>
      <t>s</t>
    </r>
    <r>
      <rPr>
        <vertAlign val="subscript"/>
        <sz val="10"/>
        <rFont val="Arial"/>
        <family val="2"/>
      </rPr>
      <t>H</t>
    </r>
  </si>
  <si>
    <t>Tensile</t>
  </si>
  <si>
    <t>Redundancy Check</t>
  </si>
  <si>
    <t>(input)</t>
  </si>
  <si>
    <t>(strength)</t>
  </si>
  <si>
    <t>(pullout)</t>
  </si>
  <si>
    <t>Geosynthetic Reinforcements:</t>
  </si>
  <si>
    <t>Req'd</t>
  </si>
  <si>
    <t>Resist.</t>
  </si>
  <si>
    <t>Effective Length Check</t>
  </si>
  <si>
    <t>Needed</t>
  </si>
  <si>
    <r>
      <t>Add'l L</t>
    </r>
    <r>
      <rPr>
        <vertAlign val="subscript"/>
        <sz val="10"/>
        <rFont val="Arial"/>
        <family val="2"/>
      </rPr>
      <t>e</t>
    </r>
  </si>
  <si>
    <t>Use</t>
  </si>
  <si>
    <r>
      <t>Depth, Z</t>
    </r>
    <r>
      <rPr>
        <vertAlign val="subscript"/>
        <sz val="10"/>
        <rFont val="Arial"/>
        <family val="2"/>
      </rPr>
      <t>a</t>
    </r>
  </si>
  <si>
    <r>
      <t>T</t>
    </r>
    <r>
      <rPr>
        <vertAlign val="subscript"/>
        <sz val="10"/>
        <rFont val="Arial"/>
        <family val="2"/>
      </rPr>
      <t xml:space="preserve">Srs </t>
    </r>
    <r>
      <rPr>
        <sz val="10"/>
        <rFont val="Arial"/>
        <family val="2"/>
      </rPr>
      <t>&gt;</t>
    </r>
    <r>
      <rPr>
        <vertAlign val="subscript"/>
        <sz val="10"/>
        <rFont val="Arial"/>
        <family val="2"/>
      </rPr>
      <t xml:space="preserve"> </t>
    </r>
    <r>
      <rPr>
        <sz val="10"/>
        <rFont val="Arial"/>
        <family val="2"/>
      </rPr>
      <t>T</t>
    </r>
    <r>
      <rPr>
        <vertAlign val="subscript"/>
        <sz val="10"/>
        <rFont val="Arial"/>
        <family val="2"/>
      </rPr>
      <t>max</t>
    </r>
  </si>
  <si>
    <r>
      <t>T</t>
    </r>
    <r>
      <rPr>
        <vertAlign val="subscript"/>
        <sz val="10"/>
        <rFont val="Arial"/>
        <family val="2"/>
      </rPr>
      <t xml:space="preserve">Srt </t>
    </r>
    <r>
      <rPr>
        <sz val="10"/>
        <rFont val="Arial"/>
        <family val="2"/>
      </rPr>
      <t>&gt;</t>
    </r>
    <r>
      <rPr>
        <vertAlign val="subscript"/>
        <sz val="10"/>
        <rFont val="Arial"/>
        <family val="2"/>
      </rPr>
      <t xml:space="preserve"> </t>
    </r>
    <r>
      <rPr>
        <sz val="10"/>
        <rFont val="Arial"/>
        <family val="2"/>
      </rPr>
      <t>T</t>
    </r>
    <r>
      <rPr>
        <vertAlign val="subscript"/>
        <sz val="10"/>
        <rFont val="Arial"/>
        <family val="2"/>
      </rPr>
      <t>md</t>
    </r>
  </si>
  <si>
    <t>SEISMIC</t>
  </si>
  <si>
    <t>WARNINGS / ERRORS:</t>
  </si>
  <si>
    <r>
      <t>L</t>
    </r>
    <r>
      <rPr>
        <vertAlign val="subscript"/>
        <sz val="10"/>
        <rFont val="Arial"/>
        <family val="2"/>
      </rPr>
      <t>reinf</t>
    </r>
  </si>
  <si>
    <t>(Abutment Reinf.)</t>
  </si>
  <si>
    <r>
      <t>&gt; T</t>
    </r>
    <r>
      <rPr>
        <vertAlign val="subscript"/>
        <sz val="10"/>
        <rFont val="Arial"/>
        <family val="2"/>
      </rPr>
      <t xml:space="preserve">total </t>
    </r>
    <r>
      <rPr>
        <sz val="10"/>
        <rFont val="Arial"/>
        <family val="2"/>
      </rPr>
      <t>?</t>
    </r>
  </si>
  <si>
    <r>
      <t>T</t>
    </r>
    <r>
      <rPr>
        <vertAlign val="subscript"/>
        <sz val="10"/>
        <rFont val="Arial"/>
        <family val="2"/>
      </rPr>
      <t>Srs</t>
    </r>
    <r>
      <rPr>
        <sz val="8"/>
        <rFont val="Arial"/>
        <family val="2"/>
      </rPr>
      <t xml:space="preserve"> (static)</t>
    </r>
  </si>
  <si>
    <r>
      <t>T</t>
    </r>
    <r>
      <rPr>
        <vertAlign val="subscript"/>
        <sz val="10"/>
        <rFont val="Arial"/>
        <family val="2"/>
      </rPr>
      <t>Srs</t>
    </r>
    <r>
      <rPr>
        <sz val="8"/>
        <rFont val="Arial"/>
        <family val="2"/>
      </rPr>
      <t xml:space="preserve"> (conn.)</t>
    </r>
  </si>
  <si>
    <r>
      <t>T</t>
    </r>
    <r>
      <rPr>
        <vertAlign val="subscript"/>
        <sz val="10"/>
        <rFont val="Arial"/>
        <family val="2"/>
      </rPr>
      <t>Srt</t>
    </r>
    <r>
      <rPr>
        <sz val="8"/>
        <rFont val="Arial"/>
        <family val="2"/>
      </rPr>
      <t xml:space="preserve"> (conn.)</t>
    </r>
  </si>
  <si>
    <t>Connection
Strength</t>
  </si>
  <si>
    <r>
      <t>T</t>
    </r>
    <r>
      <rPr>
        <vertAlign val="subscript"/>
        <sz val="10"/>
        <rFont val="Arial"/>
        <family val="2"/>
      </rPr>
      <t>ac</t>
    </r>
    <r>
      <rPr>
        <sz val="8"/>
        <rFont val="Arial"/>
        <family val="2"/>
      </rPr>
      <t xml:space="preserve"> (geo.)</t>
    </r>
  </si>
  <si>
    <t>Geosynthetic Connections:</t>
  </si>
  <si>
    <r>
      <t>T</t>
    </r>
    <r>
      <rPr>
        <vertAlign val="subscript"/>
        <sz val="10"/>
        <rFont val="Arial"/>
        <family val="2"/>
      </rPr>
      <t>ult</t>
    </r>
  </si>
  <si>
    <r>
      <t>A</t>
    </r>
    <r>
      <rPr>
        <vertAlign val="subscript"/>
        <sz val="10"/>
        <rFont val="Arial"/>
        <family val="2"/>
      </rPr>
      <t>c</t>
    </r>
    <r>
      <rPr>
        <sz val="8"/>
        <rFont val="Arial"/>
        <family val="2"/>
      </rPr>
      <t xml:space="preserve"> (steel)</t>
    </r>
  </si>
  <si>
    <r>
      <t>A</t>
    </r>
    <r>
      <rPr>
        <vertAlign val="subscript"/>
        <sz val="10"/>
        <rFont val="Arial"/>
        <family val="2"/>
      </rPr>
      <t>c</t>
    </r>
    <r>
      <rPr>
        <sz val="8"/>
        <rFont val="Arial"/>
        <family val="2"/>
      </rPr>
      <t xml:space="preserve"> (geo.)</t>
    </r>
  </si>
  <si>
    <t>Geosynthetic
Rupture Resist.</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</si>
  <si>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[or CC</t>
    </r>
    <r>
      <rPr>
        <sz val="8"/>
        <rFont val="Arial"/>
        <family val="2"/>
      </rPr>
      <t xml:space="preserve"> (STR)</t>
    </r>
    <r>
      <rPr>
        <sz val="10"/>
        <rFont val="Arial"/>
        <family val="2"/>
      </rPr>
      <t>]</t>
    </r>
  </si>
  <si>
    <r>
      <t>T</t>
    </r>
    <r>
      <rPr>
        <vertAlign val="subscript"/>
        <sz val="10"/>
        <rFont val="Arial"/>
        <family val="2"/>
      </rPr>
      <t>max</t>
    </r>
    <r>
      <rPr>
        <sz val="8"/>
        <rFont val="Arial"/>
        <family val="2"/>
      </rPr>
      <t xml:space="preserve"> (static)</t>
    </r>
  </si>
  <si>
    <r>
      <t>T</t>
    </r>
    <r>
      <rPr>
        <vertAlign val="subscript"/>
        <sz val="10"/>
        <rFont val="Arial"/>
        <family val="2"/>
      </rPr>
      <t>max</t>
    </r>
    <r>
      <rPr>
        <sz val="8"/>
        <rFont val="Arial"/>
        <family val="2"/>
      </rPr>
      <t xml:space="preserve"> (trans.)</t>
    </r>
  </si>
  <si>
    <t>Vertical stress
(for seismic checks)</t>
  </si>
  <si>
    <r>
      <t>T</t>
    </r>
    <r>
      <rPr>
        <vertAlign val="subscript"/>
        <sz val="10"/>
        <rFont val="Arial"/>
        <family val="2"/>
      </rPr>
      <t>Srt</t>
    </r>
    <r>
      <rPr>
        <sz val="8"/>
        <rFont val="Arial"/>
        <family val="2"/>
      </rPr>
      <t xml:space="preserve"> (trans)</t>
    </r>
  </si>
  <si>
    <t>STRENGTH CHECKS:</t>
  </si>
  <si>
    <t>STRESSES AND MAX. TENSILE FORCES:</t>
  </si>
  <si>
    <t>Distance from bottom of abutment footing to top of wall (see Figure 14):</t>
  </si>
  <si>
    <t>Compression strength of rock sample (base material):</t>
  </si>
  <si>
    <r>
      <t>h</t>
    </r>
    <r>
      <rPr>
        <vertAlign val="subscript"/>
        <sz val="10"/>
        <rFont val="Arial"/>
        <family val="2"/>
      </rPr>
      <t>eq_t</t>
    </r>
    <r>
      <rPr>
        <sz val="10"/>
        <rFont val="Arial"/>
        <family val="2"/>
      </rPr>
      <t xml:space="preserve"> =</t>
    </r>
  </si>
  <si>
    <r>
      <t>Coefficient of uniformity for ribbed steel strips (</t>
    </r>
    <r>
      <rPr>
        <i/>
        <sz val="10"/>
        <rFont val="Arial"/>
        <family val="2"/>
      </rPr>
      <t>Enter "4" if unknown</t>
    </r>
    <r>
      <rPr>
        <sz val="10"/>
        <rFont val="Arial"/>
        <family val="2"/>
      </rPr>
      <t>) [A11.10.6.3.2]:</t>
    </r>
  </si>
  <si>
    <t>Depth to abutment Layer 1 reinforcement below roadway pavement (see Figure 14):</t>
  </si>
  <si>
    <r>
      <t>S</t>
    </r>
    <r>
      <rPr>
        <vertAlign val="subscript"/>
        <sz val="10"/>
        <rFont val="Arial"/>
        <family val="2"/>
      </rPr>
      <t>va</t>
    </r>
  </si>
  <si>
    <r>
      <t>F</t>
    </r>
    <r>
      <rPr>
        <vertAlign val="subscript"/>
        <sz val="10"/>
        <rFont val="Arial"/>
        <family val="2"/>
      </rPr>
      <t>p (Pv)</t>
    </r>
  </si>
  <si>
    <r>
      <t>Effective width of applied load P</t>
    </r>
    <r>
      <rPr>
        <vertAlign val="subscript"/>
        <sz val="10"/>
        <rFont val="Arial"/>
        <family val="2"/>
      </rPr>
      <t>V</t>
    </r>
    <r>
      <rPr>
        <sz val="10"/>
        <rFont val="Arial"/>
        <family val="2"/>
      </rPr>
      <t xml:space="preserve"> at depth Z</t>
    </r>
    <r>
      <rPr>
        <vertAlign val="subscript"/>
        <sz val="10"/>
        <rFont val="Arial"/>
        <family val="2"/>
      </rPr>
      <t>2</t>
    </r>
    <r>
      <rPr>
        <sz val="10"/>
        <rFont val="Arial"/>
        <family val="2"/>
      </rPr>
      <t xml:space="preserve"> (external stability)</t>
    </r>
  </si>
  <si>
    <r>
      <t>Effective width of applied load P</t>
    </r>
    <r>
      <rPr>
        <vertAlign val="subscript"/>
        <sz val="10"/>
        <rFont val="Arial"/>
        <family val="2"/>
      </rPr>
      <t>V</t>
    </r>
    <r>
      <rPr>
        <sz val="10"/>
        <rFont val="Arial"/>
        <family val="2"/>
      </rPr>
      <t xml:space="preserve"> at depth H (external stability)</t>
    </r>
  </si>
  <si>
    <r>
      <t>Horiz. resultant due to P</t>
    </r>
    <r>
      <rPr>
        <vertAlign val="subscript"/>
        <sz val="10"/>
        <rFont val="Arial"/>
        <family val="2"/>
      </rPr>
      <t>V</t>
    </r>
    <r>
      <rPr>
        <sz val="10"/>
        <rFont val="Arial"/>
        <family val="2"/>
      </rPr>
      <t xml:space="preserve"> surcharge, for external stability (ES)</t>
    </r>
  </si>
  <si>
    <r>
      <t>k</t>
    </r>
    <r>
      <rPr>
        <vertAlign val="subscript"/>
        <sz val="10"/>
        <rFont val="Arial"/>
        <family val="2"/>
      </rPr>
      <t xml:space="preserve">a </t>
    </r>
    <r>
      <rPr>
        <sz val="11"/>
        <rFont val="Symbol"/>
        <family val="1"/>
        <charset val="2"/>
      </rPr>
      <t>g</t>
    </r>
    <r>
      <rPr>
        <vertAlign val="subscript"/>
        <sz val="10"/>
        <rFont val="Arial"/>
        <family val="2"/>
      </rPr>
      <t>f</t>
    </r>
    <r>
      <rPr>
        <sz val="10"/>
        <rFont val="Arial"/>
        <family val="2"/>
      </rPr>
      <t xml:space="preserve"> =</t>
    </r>
  </si>
  <si>
    <r>
      <rPr>
        <sz val="11"/>
        <rFont val="Symbol"/>
        <family val="1"/>
        <charset val="2"/>
      </rPr>
      <t>g</t>
    </r>
    <r>
      <rPr>
        <vertAlign val="subscript"/>
        <sz val="11"/>
        <rFont val="Arial"/>
        <family val="2"/>
      </rPr>
      <t>r</t>
    </r>
    <r>
      <rPr>
        <vertAlign val="subscript"/>
        <sz val="10"/>
        <rFont val="Arial"/>
        <family val="2"/>
      </rPr>
      <t xml:space="preserve"> </t>
    </r>
    <r>
      <rPr>
        <sz val="10"/>
        <rFont val="Arial"/>
        <family val="2"/>
      </rPr>
      <t>=</t>
    </r>
  </si>
  <si>
    <r>
      <rPr>
        <sz val="11"/>
        <rFont val="Symbol"/>
        <family val="1"/>
        <charset val="2"/>
      </rPr>
      <t>g</t>
    </r>
    <r>
      <rPr>
        <vertAlign val="subscript"/>
        <sz val="11"/>
        <rFont val="Arial"/>
        <family val="2"/>
      </rPr>
      <t>f</t>
    </r>
    <r>
      <rPr>
        <vertAlign val="subscript"/>
        <sz val="10"/>
        <rFont val="Arial"/>
        <family val="2"/>
      </rPr>
      <t xml:space="preserve"> </t>
    </r>
    <r>
      <rPr>
        <sz val="10"/>
        <rFont val="Arial"/>
        <family val="2"/>
      </rPr>
      <t>=</t>
    </r>
  </si>
  <si>
    <r>
      <rPr>
        <sz val="11"/>
        <rFont val="Symbol"/>
        <family val="1"/>
        <charset val="2"/>
      </rPr>
      <t>g</t>
    </r>
    <r>
      <rPr>
        <vertAlign val="subscript"/>
        <sz val="11"/>
        <rFont val="Symbol"/>
        <family val="1"/>
        <charset val="2"/>
      </rPr>
      <t xml:space="preserve"> </t>
    </r>
    <r>
      <rPr>
        <sz val="10"/>
        <rFont val="Arial"/>
        <family val="2"/>
      </rPr>
      <t>' =</t>
    </r>
  </si>
  <si>
    <r>
      <rPr>
        <sz val="11"/>
        <rFont val="Symbol"/>
        <family val="1"/>
        <charset val="2"/>
      </rPr>
      <t>g</t>
    </r>
    <r>
      <rPr>
        <vertAlign val="subscript"/>
        <sz val="11"/>
        <rFont val="Arial"/>
        <family val="2"/>
      </rPr>
      <t>m</t>
    </r>
    <r>
      <rPr>
        <vertAlign val="subscript"/>
        <sz val="10"/>
        <rFont val="Arial"/>
        <family val="2"/>
      </rPr>
      <t xml:space="preserve"> </t>
    </r>
    <r>
      <rPr>
        <sz val="10"/>
        <rFont val="Arial"/>
        <family val="2"/>
      </rPr>
      <t>=</t>
    </r>
  </si>
  <si>
    <r>
      <rPr>
        <sz val="11"/>
        <rFont val="Symbol"/>
        <family val="1"/>
        <charset val="2"/>
      </rPr>
      <t>g</t>
    </r>
    <r>
      <rPr>
        <sz val="10"/>
        <rFont val="Arial"/>
        <family val="2"/>
      </rPr>
      <t>DC</t>
    </r>
  </si>
  <si>
    <r>
      <rPr>
        <sz val="11"/>
        <rFont val="Symbol"/>
        <family val="1"/>
        <charset val="2"/>
      </rPr>
      <t>g</t>
    </r>
    <r>
      <rPr>
        <sz val="10"/>
        <rFont val="Arial"/>
        <family val="2"/>
      </rPr>
      <t>DW</t>
    </r>
    <r>
      <rPr>
        <vertAlign val="subscript"/>
        <sz val="10"/>
        <rFont val="Arial"/>
        <family val="2"/>
      </rPr>
      <t>v</t>
    </r>
  </si>
  <si>
    <r>
      <rPr>
        <sz val="11"/>
        <rFont val="Symbol"/>
        <family val="1"/>
        <charset val="2"/>
      </rPr>
      <t>g</t>
    </r>
    <r>
      <rPr>
        <sz val="10"/>
        <rFont val="Arial"/>
        <family val="2"/>
      </rPr>
      <t>DW</t>
    </r>
    <r>
      <rPr>
        <vertAlign val="subscript"/>
        <sz val="10"/>
        <rFont val="Arial"/>
        <family val="2"/>
      </rPr>
      <t>h</t>
    </r>
  </si>
  <si>
    <r>
      <rPr>
        <sz val="11"/>
        <rFont val="Symbol"/>
        <family val="1"/>
        <charset val="2"/>
      </rPr>
      <t>g</t>
    </r>
    <r>
      <rPr>
        <sz val="10"/>
        <rFont val="Arial"/>
        <family val="2"/>
      </rPr>
      <t>ES</t>
    </r>
    <r>
      <rPr>
        <vertAlign val="subscript"/>
        <sz val="10"/>
        <rFont val="Arial"/>
        <family val="2"/>
      </rPr>
      <t>v</t>
    </r>
  </si>
  <si>
    <r>
      <rPr>
        <sz val="11"/>
        <rFont val="Symbol"/>
        <family val="1"/>
        <charset val="2"/>
      </rPr>
      <t>g</t>
    </r>
    <r>
      <rPr>
        <sz val="10"/>
        <rFont val="Arial"/>
        <family val="2"/>
      </rPr>
      <t>ES</t>
    </r>
    <r>
      <rPr>
        <vertAlign val="subscript"/>
        <sz val="10"/>
        <rFont val="Arial"/>
        <family val="2"/>
      </rPr>
      <t>h</t>
    </r>
  </si>
  <si>
    <r>
      <rPr>
        <sz val="11"/>
        <rFont val="Symbol"/>
        <family val="1"/>
        <charset val="2"/>
      </rPr>
      <t>g</t>
    </r>
    <r>
      <rPr>
        <sz val="10"/>
        <rFont val="Arial"/>
        <family val="2"/>
      </rPr>
      <t>EQ</t>
    </r>
  </si>
  <si>
    <r>
      <rPr>
        <sz val="11"/>
        <rFont val="Symbol"/>
        <family val="1"/>
        <charset val="2"/>
      </rPr>
      <t>g</t>
    </r>
    <r>
      <rPr>
        <sz val="10"/>
        <rFont val="Arial"/>
        <family val="2"/>
      </rPr>
      <t>EV</t>
    </r>
    <r>
      <rPr>
        <vertAlign val="superscript"/>
        <sz val="10"/>
        <rFont val="Arial"/>
        <family val="2"/>
      </rPr>
      <t xml:space="preserve"> [1]</t>
    </r>
  </si>
  <si>
    <r>
      <rPr>
        <sz val="11"/>
        <rFont val="Symbol"/>
        <family val="1"/>
        <charset val="2"/>
      </rPr>
      <t>g</t>
    </r>
    <r>
      <rPr>
        <sz val="10"/>
        <rFont val="Arial"/>
        <family val="2"/>
      </rPr>
      <t>EH</t>
    </r>
    <r>
      <rPr>
        <vertAlign val="superscript"/>
        <sz val="10"/>
        <rFont val="Arial"/>
        <family val="2"/>
      </rPr>
      <t xml:space="preserve"> [1]</t>
    </r>
  </si>
  <si>
    <r>
      <rPr>
        <vertAlign val="superscript"/>
        <sz val="10"/>
        <rFont val="Arial"/>
        <family val="2"/>
      </rPr>
      <t>[1]</t>
    </r>
    <r>
      <rPr>
        <sz val="10"/>
        <rFont val="Arial"/>
        <family val="2"/>
      </rPr>
      <t xml:space="preserve"> Factors for EV and EH for redundancy check are 1.0 and 1.1, respectively [D11.10.6.4.5P]</t>
    </r>
  </si>
  <si>
    <r>
      <rPr>
        <sz val="11"/>
        <rFont val="Symbol"/>
        <family val="1"/>
        <charset val="2"/>
      </rPr>
      <t>g</t>
    </r>
    <r>
      <rPr>
        <sz val="10"/>
        <rFont val="Arial"/>
        <family val="2"/>
      </rPr>
      <t>CT</t>
    </r>
  </si>
  <si>
    <r>
      <rPr>
        <sz val="11"/>
        <rFont val="Symbol"/>
        <family val="1"/>
        <charset val="2"/>
      </rPr>
      <t>g</t>
    </r>
    <r>
      <rPr>
        <sz val="10"/>
        <rFont val="Arial"/>
        <family val="2"/>
      </rPr>
      <t xml:space="preserve"> =</t>
    </r>
  </si>
  <si>
    <r>
      <t>q</t>
    </r>
    <r>
      <rPr>
        <vertAlign val="subscript"/>
        <sz val="8"/>
        <rFont val="Arial"/>
        <family val="2"/>
      </rPr>
      <t xml:space="preserve"> </t>
    </r>
    <r>
      <rPr>
        <vertAlign val="subscript"/>
        <sz val="10"/>
        <rFont val="Arial"/>
        <family val="2"/>
      </rPr>
      <t>LS</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</si>
  <si>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LS</t>
    </r>
  </si>
  <si>
    <r>
      <rPr>
        <sz val="11"/>
        <rFont val="Symbol"/>
        <family val="1"/>
        <charset val="2"/>
      </rPr>
      <t>g</t>
    </r>
    <r>
      <rPr>
        <sz val="10"/>
        <rFont val="Arial"/>
        <family val="2"/>
      </rPr>
      <t>LS</t>
    </r>
  </si>
  <si>
    <r>
      <rPr>
        <sz val="11"/>
        <rFont val="Symbol"/>
        <family val="1"/>
        <charset val="2"/>
      </rPr>
      <t>g</t>
    </r>
    <r>
      <rPr>
        <sz val="10"/>
        <rFont val="Arial"/>
        <family val="2"/>
      </rPr>
      <t>EH</t>
    </r>
  </si>
  <si>
    <r>
      <rPr>
        <sz val="11"/>
        <rFont val="Symbol"/>
        <family val="1"/>
        <charset val="2"/>
      </rPr>
      <t>g</t>
    </r>
    <r>
      <rPr>
        <sz val="10"/>
        <rFont val="Arial"/>
        <family val="2"/>
      </rPr>
      <t>EV</t>
    </r>
  </si>
  <si>
    <r>
      <t>F</t>
    </r>
    <r>
      <rPr>
        <vertAlign val="subscript"/>
        <sz val="10"/>
        <rFont val="Arial"/>
        <family val="2"/>
      </rPr>
      <t>2_</t>
    </r>
    <r>
      <rPr>
        <vertAlign val="subscript"/>
        <sz val="12"/>
        <rFont val="Arial"/>
        <family val="2"/>
      </rPr>
      <t>q</t>
    </r>
    <r>
      <rPr>
        <vertAlign val="subscript"/>
        <sz val="8"/>
        <rFont val="Arial"/>
        <family val="2"/>
      </rPr>
      <t xml:space="preserve"> </t>
    </r>
    <r>
      <rPr>
        <vertAlign val="subscript"/>
        <sz val="10"/>
        <rFont val="Arial"/>
        <family val="2"/>
      </rPr>
      <t>LS</t>
    </r>
  </si>
  <si>
    <r>
      <t>q</t>
    </r>
    <r>
      <rPr>
        <vertAlign val="subscript"/>
        <sz val="8"/>
        <rFont val="Arial"/>
        <family val="2"/>
      </rPr>
      <t xml:space="preserve"> </t>
    </r>
    <r>
      <rPr>
        <vertAlign val="subscript"/>
        <sz val="10"/>
        <rFont val="Arial"/>
        <family val="2"/>
      </rPr>
      <t>ES</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</si>
  <si>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ES</t>
    </r>
  </si>
  <si>
    <t>(ES)</t>
  </si>
  <si>
    <t>Vertical earth surcharge due to weight of 2 ft add'l backfill (ES)</t>
  </si>
  <si>
    <r>
      <t>P</t>
    </r>
    <r>
      <rPr>
        <vertAlign val="subscript"/>
        <sz val="10"/>
        <rFont val="Arial"/>
        <family val="2"/>
      </rPr>
      <t>IR</t>
    </r>
  </si>
  <si>
    <t>Horizontal force resultant of earth pressure (EH)</t>
  </si>
  <si>
    <t>Force resultant of earth pressure from retained fill (EH)</t>
  </si>
  <si>
    <t>Horizontal seismic inertial force of reinforced soil (EQ)</t>
  </si>
  <si>
    <r>
      <t>50% of horizontal dynamic thrust load P</t>
    </r>
    <r>
      <rPr>
        <vertAlign val="subscript"/>
        <sz val="10"/>
        <rFont val="Arial"/>
        <family val="2"/>
      </rPr>
      <t>AE</t>
    </r>
    <r>
      <rPr>
        <sz val="10"/>
        <rFont val="Arial"/>
        <family val="2"/>
      </rPr>
      <t xml:space="preserve"> from retained fill (EQ)</t>
    </r>
  </si>
  <si>
    <t>S = 0 for horizontal slope</t>
  </si>
  <si>
    <t>STR-I, STR-III</t>
  </si>
  <si>
    <r>
      <rPr>
        <sz val="10"/>
        <rFont val="Arial"/>
        <family val="2"/>
      </rPr>
      <t>Vertical stress (no LS)</t>
    </r>
    <r>
      <rPr>
        <u/>
        <sz val="10"/>
        <rFont val="Arial"/>
        <family val="2"/>
      </rPr>
      <t xml:space="preserve">
(for pullout &amp; seismic)</t>
    </r>
  </si>
  <si>
    <r>
      <t>s</t>
    </r>
    <r>
      <rPr>
        <vertAlign val="subscript"/>
        <sz val="10"/>
        <rFont val="Arial"/>
        <family val="2"/>
      </rPr>
      <t>H</t>
    </r>
    <r>
      <rPr>
        <sz val="8"/>
        <rFont val="Arial"/>
        <family val="2"/>
      </rPr>
      <t xml:space="preserve"> (pullout)</t>
    </r>
  </si>
  <si>
    <r>
      <t>s</t>
    </r>
    <r>
      <rPr>
        <vertAlign val="subscript"/>
        <sz val="10"/>
        <rFont val="Arial"/>
        <family val="2"/>
      </rPr>
      <t>H</t>
    </r>
    <r>
      <rPr>
        <sz val="8"/>
        <rFont val="Arial"/>
        <family val="2"/>
      </rPr>
      <t xml:space="preserve"> (strength)</t>
    </r>
  </si>
  <si>
    <t>INTERNAL SEISMIC CHECKS:</t>
  </si>
  <si>
    <t>EXT-I</t>
  </si>
  <si>
    <r>
      <t>Soil-reinforcement interface friction angle (default value of 2/3</t>
    </r>
    <r>
      <rPr>
        <sz val="10"/>
        <rFont val="Symbol"/>
        <family val="1"/>
        <charset val="2"/>
      </rPr>
      <t>f</t>
    </r>
    <r>
      <rPr>
        <vertAlign val="subscript"/>
        <sz val="10"/>
        <rFont val="Arial"/>
        <family val="2"/>
      </rPr>
      <t>f</t>
    </r>
    <r>
      <rPr>
        <sz val="10"/>
        <rFont val="Arial"/>
        <family val="2"/>
      </rPr>
      <t xml:space="preserve"> is used if not entered) [A11.10.5.3]:</t>
    </r>
  </si>
  <si>
    <r>
      <t xml:space="preserve">Was tan </t>
    </r>
    <r>
      <rPr>
        <sz val="10"/>
        <rFont val="Symbol"/>
        <family val="1"/>
        <charset val="2"/>
      </rPr>
      <t>r</t>
    </r>
    <r>
      <rPr>
        <sz val="10"/>
        <rFont val="Arial"/>
        <family val="2"/>
      </rPr>
      <t xml:space="preserve"> determined experimentally based on soil to reinforcement contact? </t>
    </r>
    <r>
      <rPr>
        <i/>
        <sz val="10"/>
        <rFont val="Arial"/>
        <family val="2"/>
      </rPr>
      <t>y = yes, n = no</t>
    </r>
  </si>
  <si>
    <t>Depth to reinforcement Layer 1 below top of wall:</t>
  </si>
  <si>
    <r>
      <t>Depth Z</t>
    </r>
    <r>
      <rPr>
        <vertAlign val="subscript"/>
        <sz val="10"/>
        <rFont val="Arial"/>
        <family val="2"/>
      </rPr>
      <t>2</t>
    </r>
    <r>
      <rPr>
        <sz val="10"/>
        <rFont val="Arial"/>
        <family val="2"/>
      </rPr>
      <t xml:space="preserve"> for P</t>
    </r>
    <r>
      <rPr>
        <vertAlign val="subscript"/>
        <sz val="10"/>
        <rFont val="Arial"/>
        <family val="2"/>
      </rPr>
      <t>V</t>
    </r>
    <r>
      <rPr>
        <sz val="10"/>
        <rFont val="Arial"/>
        <family val="2"/>
      </rPr>
      <t xml:space="preserve"> load effective width D</t>
    </r>
    <r>
      <rPr>
        <vertAlign val="subscript"/>
        <sz val="10"/>
        <rFont val="Arial"/>
        <family val="2"/>
      </rPr>
      <t>1</t>
    </r>
    <r>
      <rPr>
        <sz val="10"/>
        <rFont val="Arial"/>
        <family val="2"/>
      </rPr>
      <t xml:space="preserve"> (for external stability)</t>
    </r>
  </si>
  <si>
    <r>
      <t>P</t>
    </r>
    <r>
      <rPr>
        <vertAlign val="subscript"/>
        <sz val="10"/>
        <rFont val="Arial"/>
        <family val="2"/>
      </rPr>
      <t>V_ext</t>
    </r>
  </si>
  <si>
    <r>
      <t>Vertical load P</t>
    </r>
    <r>
      <rPr>
        <vertAlign val="subscript"/>
        <sz val="10"/>
        <rFont val="Arial"/>
        <family val="2"/>
      </rPr>
      <t>V</t>
    </r>
    <r>
      <rPr>
        <sz val="10"/>
        <rFont val="Arial"/>
        <family val="2"/>
      </rPr>
      <t xml:space="preserve"> for external stability checks</t>
    </r>
  </si>
  <si>
    <r>
      <t xml:space="preserve">Vertical earth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ES</t>
    </r>
    <r>
      <rPr>
        <sz val="10"/>
        <rFont val="Arial"/>
        <family val="2"/>
      </rPr>
      <t xml:space="preserve"> distributed to L</t>
    </r>
    <r>
      <rPr>
        <vertAlign val="subscript"/>
        <sz val="10"/>
        <rFont val="Arial"/>
        <family val="2"/>
      </rPr>
      <t>reinf</t>
    </r>
    <r>
      <rPr>
        <sz val="10"/>
        <rFont val="Arial"/>
        <family val="2"/>
      </rPr>
      <t>)</t>
    </r>
  </si>
  <si>
    <r>
      <t>Z</t>
    </r>
    <r>
      <rPr>
        <vertAlign val="subscript"/>
        <sz val="10"/>
        <rFont val="Arial"/>
        <family val="2"/>
      </rPr>
      <t>2 (Pv)</t>
    </r>
    <r>
      <rPr>
        <sz val="10"/>
        <rFont val="Arial"/>
        <family val="2"/>
      </rPr>
      <t>, for P</t>
    </r>
    <r>
      <rPr>
        <vertAlign val="subscript"/>
        <sz val="10"/>
        <rFont val="Arial"/>
        <family val="2"/>
      </rPr>
      <t>V</t>
    </r>
    <r>
      <rPr>
        <sz val="10"/>
        <rFont val="Arial"/>
        <family val="2"/>
      </rPr>
      <t xml:space="preserve"> distr. to D</t>
    </r>
    <r>
      <rPr>
        <vertAlign val="subscript"/>
        <sz val="10"/>
        <rFont val="Arial"/>
        <family val="2"/>
      </rPr>
      <t>1 (Pv)</t>
    </r>
    <r>
      <rPr>
        <sz val="10"/>
        <rFont val="Arial"/>
        <family val="2"/>
      </rPr>
      <t xml:space="preserve"> =</t>
    </r>
  </si>
  <si>
    <r>
      <t>Z</t>
    </r>
    <r>
      <rPr>
        <vertAlign val="subscript"/>
        <sz val="10"/>
        <rFont val="Arial"/>
        <family val="2"/>
      </rPr>
      <t>2 (q_int)</t>
    </r>
    <r>
      <rPr>
        <sz val="10"/>
        <rFont val="Arial"/>
        <family val="2"/>
      </rPr>
      <t>, for q</t>
    </r>
    <r>
      <rPr>
        <vertAlign val="subscript"/>
        <sz val="10"/>
        <rFont val="Arial"/>
        <family val="2"/>
      </rPr>
      <t>int</t>
    </r>
    <r>
      <rPr>
        <sz val="10"/>
        <rFont val="Arial"/>
        <family val="2"/>
      </rPr>
      <t xml:space="preserve"> distr. to D</t>
    </r>
    <r>
      <rPr>
        <vertAlign val="subscript"/>
        <sz val="10"/>
        <rFont val="Arial"/>
        <family val="2"/>
      </rPr>
      <t>1 (q_int)</t>
    </r>
    <r>
      <rPr>
        <sz val="10"/>
        <rFont val="Arial"/>
        <family val="2"/>
      </rPr>
      <t xml:space="preserve"> =</t>
    </r>
  </si>
  <si>
    <r>
      <t>D</t>
    </r>
    <r>
      <rPr>
        <vertAlign val="subscript"/>
        <sz val="10"/>
        <rFont val="Arial"/>
        <family val="2"/>
      </rPr>
      <t>1 (Pv)</t>
    </r>
  </si>
  <si>
    <r>
      <t>D</t>
    </r>
    <r>
      <rPr>
        <vertAlign val="subscript"/>
        <sz val="10"/>
        <rFont val="Arial"/>
        <family val="2"/>
      </rPr>
      <t>1 (q_int)</t>
    </r>
  </si>
  <si>
    <t>Max. Tensile Forces</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</si>
  <si>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sz val="8"/>
        <rFont val="Arial"/>
        <family val="2"/>
      </rPr>
      <t>(EXT-II)</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</si>
  <si>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sz val="8"/>
        <rFont val="Arial"/>
        <family val="2"/>
      </rPr>
      <t>(EXT-II)</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</si>
  <si>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sz val="8"/>
        <rFont val="Arial"/>
        <family val="2"/>
      </rPr>
      <t>(STR)</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</si>
  <si>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sz val="8"/>
        <rFont val="Arial"/>
        <family val="2"/>
      </rPr>
      <t>(STR)</t>
    </r>
  </si>
  <si>
    <r>
      <t>Tensile Resistance</t>
    </r>
    <r>
      <rPr>
        <sz val="8"/>
        <rFont val="Arial"/>
        <family val="2"/>
      </rPr>
      <t xml:space="preserve"> (STR &amp; EXT)</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</si>
  <si>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or CC</t>
    </r>
  </si>
  <si>
    <r>
      <rPr>
        <sz val="10"/>
        <rFont val="Arial"/>
        <family val="2"/>
      </rPr>
      <t>L</t>
    </r>
    <r>
      <rPr>
        <vertAlign val="subscript"/>
        <sz val="10"/>
        <rFont val="Arial"/>
        <family val="2"/>
      </rPr>
      <t xml:space="preserve">overlap
</t>
    </r>
    <r>
      <rPr>
        <sz val="8"/>
        <rFont val="Arial"/>
        <family val="2"/>
      </rPr>
      <t>(input)</t>
    </r>
  </si>
  <si>
    <r>
      <t>Check
L</t>
    </r>
    <r>
      <rPr>
        <vertAlign val="subscript"/>
        <sz val="10"/>
        <rFont val="Arial"/>
        <family val="2"/>
      </rPr>
      <t>overlap</t>
    </r>
  </si>
  <si>
    <t>(controlling of STR &amp; EXT)</t>
  </si>
  <si>
    <r>
      <t>Geosynthetic Rupture</t>
    </r>
    <r>
      <rPr>
        <sz val="8"/>
        <rFont val="Arial"/>
        <family val="2"/>
      </rPr>
      <t xml:space="preserve"> (STR &amp; EXT)</t>
    </r>
  </si>
  <si>
    <r>
      <t>Redundant Tensile Resist.</t>
    </r>
    <r>
      <rPr>
        <sz val="8"/>
        <rFont val="Arial"/>
        <family val="2"/>
      </rPr>
      <t xml:space="preserve"> (STR)</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</si>
  <si>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vertAlign val="superscript"/>
        <sz val="10"/>
        <rFont val="Arial"/>
        <family val="2"/>
      </rPr>
      <t>[1]</t>
    </r>
  </si>
  <si>
    <r>
      <rPr>
        <vertAlign val="superscript"/>
        <sz val="10"/>
        <rFont val="Arial"/>
        <family val="2"/>
      </rPr>
      <t>[1]</t>
    </r>
    <r>
      <rPr>
        <sz val="10"/>
        <rFont val="Arial"/>
        <family val="2"/>
      </rPr>
      <t xml:space="preserve"> Items marked with asterisk ( * ) indicates that Extreme II (CT) case controls the design.</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</si>
  <si>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vertAlign val="superscript"/>
        <sz val="10"/>
        <rFont val="Arial"/>
        <family val="2"/>
      </rPr>
      <t>[1]</t>
    </r>
  </si>
  <si>
    <t>Type of Stability Check:</t>
  </si>
  <si>
    <r>
      <t>T</t>
    </r>
    <r>
      <rPr>
        <vertAlign val="subscript"/>
        <sz val="10"/>
        <rFont val="Arial"/>
        <family val="2"/>
      </rPr>
      <t>max</t>
    </r>
    <r>
      <rPr>
        <sz val="10"/>
        <rFont val="Arial"/>
        <family val="2"/>
      </rPr>
      <t xml:space="preserve"> =</t>
    </r>
  </si>
  <si>
    <t>SERV I (TEMP LL)</t>
  </si>
  <si>
    <t>REDUNDANCY</t>
  </si>
  <si>
    <t>STR, EXT</t>
  </si>
  <si>
    <t>CONSTRUCTION</t>
  </si>
  <si>
    <t>TENSILE RESISTANCE</t>
  </si>
  <si>
    <t>CONNECTION RESISTANCE</t>
  </si>
  <si>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</si>
  <si>
    <r>
      <t>CC</t>
    </r>
    <r>
      <rPr>
        <sz val="8"/>
        <rFont val="Arial"/>
        <family val="2"/>
      </rPr>
      <t xml:space="preserve"> (STR)</t>
    </r>
    <r>
      <rPr>
        <sz val="10"/>
        <rFont val="Arial"/>
        <family val="2"/>
      </rPr>
      <t xml:space="preserve"> =</t>
    </r>
  </si>
  <si>
    <r>
      <t>CC</t>
    </r>
    <r>
      <rPr>
        <sz val="8"/>
        <rFont val="Arial"/>
        <family val="2"/>
      </rPr>
      <t xml:space="preserve"> (STR or EXT)</t>
    </r>
    <r>
      <rPr>
        <sz val="10"/>
        <rFont val="Arial"/>
        <family val="2"/>
      </rPr>
      <t xml:space="preserve"> =</t>
    </r>
  </si>
  <si>
    <r>
      <t>L</t>
    </r>
    <r>
      <rPr>
        <vertAlign val="subscript"/>
        <sz val="10"/>
        <rFont val="Arial"/>
        <family val="2"/>
      </rPr>
      <t>e</t>
    </r>
    <r>
      <rPr>
        <sz val="8"/>
        <rFont val="Arial"/>
        <family val="2"/>
      </rPr>
      <t xml:space="preserve"> req'd</t>
    </r>
    <r>
      <rPr>
        <sz val="10"/>
        <rFont val="Arial"/>
        <family val="2"/>
      </rPr>
      <t xml:space="preserve"> =</t>
    </r>
  </si>
  <si>
    <r>
      <t>L</t>
    </r>
    <r>
      <rPr>
        <vertAlign val="subscript"/>
        <sz val="10"/>
        <rFont val="Arial"/>
        <family val="2"/>
      </rPr>
      <t>e</t>
    </r>
    <r>
      <rPr>
        <sz val="10"/>
        <rFont val="Arial"/>
        <family val="2"/>
      </rPr>
      <t xml:space="preserve"> =</t>
    </r>
  </si>
  <si>
    <t>STEEL</t>
  </si>
  <si>
    <t>GEOSYNTHETIC</t>
  </si>
  <si>
    <t>(steel or geosynthetic)</t>
  </si>
  <si>
    <t>GEOSYNTHETIC RUPTURE</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</si>
  <si>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</si>
  <si>
    <t>T (Srs)</t>
  </si>
  <si>
    <t>STATIC COMPONENT</t>
  </si>
  <si>
    <t>TRANSIENT COMPONENT</t>
  </si>
  <si>
    <t>T (Srt)</t>
  </si>
  <si>
    <t>note: formula in red is modified the top value will control if both are equal</t>
  </si>
  <si>
    <r>
      <t>T</t>
    </r>
    <r>
      <rPr>
        <vertAlign val="subscript"/>
        <sz val="10"/>
        <rFont val="Arial"/>
        <family val="2"/>
      </rPr>
      <t>max</t>
    </r>
    <r>
      <rPr>
        <sz val="8"/>
        <rFont val="Arial"/>
        <family val="2"/>
      </rPr>
      <t xml:space="preserve"> (static)</t>
    </r>
    <r>
      <rPr>
        <sz val="10"/>
        <rFont val="Arial"/>
        <family val="2"/>
      </rPr>
      <t xml:space="preserve"> =</t>
    </r>
  </si>
  <si>
    <r>
      <t>T</t>
    </r>
    <r>
      <rPr>
        <vertAlign val="subscript"/>
        <sz val="10"/>
        <rFont val="Arial"/>
        <family val="2"/>
      </rPr>
      <t>max</t>
    </r>
    <r>
      <rPr>
        <sz val="8"/>
        <rFont val="Arial"/>
        <family val="2"/>
      </rPr>
      <t xml:space="preserve"> (transient)</t>
    </r>
    <r>
      <rPr>
        <sz val="10"/>
        <rFont val="Arial"/>
        <family val="2"/>
      </rPr>
      <t xml:space="preserve"> =</t>
    </r>
  </si>
  <si>
    <r>
      <t>T</t>
    </r>
    <r>
      <rPr>
        <vertAlign val="subscript"/>
        <sz val="10"/>
        <rFont val="Arial"/>
        <family val="2"/>
      </rPr>
      <t>total</t>
    </r>
    <r>
      <rPr>
        <sz val="10"/>
        <rFont val="Arial"/>
        <family val="2"/>
      </rPr>
      <t xml:space="preserve"> =</t>
    </r>
  </si>
  <si>
    <r>
      <t>CC</t>
    </r>
    <r>
      <rPr>
        <sz val="8"/>
        <rFont val="Arial"/>
        <family val="2"/>
      </rPr>
      <t xml:space="preserve"> (EXT)</t>
    </r>
    <r>
      <rPr>
        <sz val="10"/>
        <rFont val="Arial"/>
        <family val="2"/>
      </rPr>
      <t xml:space="preserve"> =</t>
    </r>
  </si>
  <si>
    <t>Le req'd</t>
  </si>
  <si>
    <r>
      <t>T</t>
    </r>
    <r>
      <rPr>
        <vertAlign val="subscript"/>
        <sz val="10"/>
        <rFont val="Arial"/>
        <family val="2"/>
      </rPr>
      <t>total</t>
    </r>
    <r>
      <rPr>
        <sz val="10"/>
        <rFont val="Arial"/>
        <family val="2"/>
      </rPr>
      <t xml:space="preserve"> =</t>
    </r>
  </si>
  <si>
    <r>
      <t>CC</t>
    </r>
    <r>
      <rPr>
        <sz val="8"/>
        <rFont val="Arial"/>
        <family val="2"/>
      </rPr>
      <t xml:space="preserve"> (EXT)</t>
    </r>
    <r>
      <rPr>
        <sz val="10"/>
        <rFont val="Arial"/>
        <family val="2"/>
      </rPr>
      <t xml:space="preserve"> =</t>
    </r>
  </si>
  <si>
    <t>GEOGRID WALL FACING OVERLAP</t>
  </si>
  <si>
    <t>L req'd</t>
  </si>
  <si>
    <r>
      <t>L</t>
    </r>
    <r>
      <rPr>
        <vertAlign val="subscript"/>
        <sz val="10"/>
        <rFont val="Arial"/>
        <family val="2"/>
      </rPr>
      <t>overlap</t>
    </r>
    <r>
      <rPr>
        <sz val="8"/>
        <rFont val="Arial"/>
        <family val="2"/>
      </rPr>
      <t xml:space="preserve"> req'd</t>
    </r>
    <r>
      <rPr>
        <sz val="10"/>
        <rFont val="Arial"/>
        <family val="2"/>
      </rPr>
      <t xml:space="preserve"> =</t>
    </r>
  </si>
  <si>
    <t>SEISMIC CONSTRUCTION</t>
  </si>
  <si>
    <t>Pullout Resistance:</t>
  </si>
  <si>
    <t>Wall Facing (Overlap):</t>
  </si>
  <si>
    <t>Overturning (Eccentricity):</t>
  </si>
  <si>
    <t>Location</t>
  </si>
  <si>
    <r>
      <t>T</t>
    </r>
    <r>
      <rPr>
        <vertAlign val="subscript"/>
        <sz val="10"/>
        <rFont val="Arial"/>
        <family val="2"/>
      </rPr>
      <t>md</t>
    </r>
    <r>
      <rPr>
        <sz val="10"/>
        <rFont val="Arial"/>
        <family val="2"/>
      </rPr>
      <t xml:space="preserve"> =</t>
    </r>
  </si>
  <si>
    <t>TENSILE RESISTANCE (SEISMIC)</t>
  </si>
  <si>
    <t>CONSTRUCTION EXT-I</t>
  </si>
  <si>
    <t>CONNECTION RESISTANCE (SEISMIC)</t>
  </si>
  <si>
    <t>PULLOUT RESISTANCE</t>
  </si>
  <si>
    <t>Steel Reinforcements:</t>
  </si>
  <si>
    <t>(steel &amp; geosynthetic)</t>
  </si>
  <si>
    <t>GEOSYNTHETIC CONNECTIONS</t>
  </si>
  <si>
    <t>DYNAMIC COMPONENT</t>
  </si>
  <si>
    <t>GEOSYNTHETIC TENSION RUPTURE</t>
  </si>
  <si>
    <t>GEOSYNTHETIC LONG-TERM CONN. STRENGTH</t>
  </si>
  <si>
    <t>STEEL CONNECTION STRENGTH</t>
  </si>
  <si>
    <t>Geosynthetic Connection Strength</t>
  </si>
  <si>
    <r>
      <t>j</t>
    </r>
    <r>
      <rPr>
        <sz val="10"/>
        <rFont val="Arial"/>
        <family val="2"/>
      </rPr>
      <t>S</t>
    </r>
    <r>
      <rPr>
        <vertAlign val="subscript"/>
        <sz val="10"/>
        <rFont val="Arial"/>
        <family val="2"/>
      </rPr>
      <t>rs</t>
    </r>
    <r>
      <rPr>
        <sz val="10"/>
        <rFont val="Arial"/>
        <family val="2"/>
      </rPr>
      <t>CR</t>
    </r>
    <r>
      <rPr>
        <vertAlign val="subscript"/>
        <sz val="10"/>
        <rFont val="Arial"/>
        <family val="2"/>
      </rPr>
      <t>cr</t>
    </r>
    <r>
      <rPr>
        <sz val="10"/>
        <rFont val="Arial"/>
        <family val="2"/>
      </rPr>
      <t>R</t>
    </r>
    <r>
      <rPr>
        <vertAlign val="subscript"/>
        <sz val="10"/>
        <rFont val="Arial"/>
        <family val="2"/>
      </rPr>
      <t>c</t>
    </r>
    <r>
      <rPr>
        <sz val="10"/>
        <rFont val="Arial"/>
        <family val="2"/>
      </rPr>
      <t>/RF</t>
    </r>
    <r>
      <rPr>
        <vertAlign val="subscript"/>
        <sz val="10"/>
        <rFont val="Arial"/>
        <family val="2"/>
      </rPr>
      <t>D</t>
    </r>
    <r>
      <rPr>
        <sz val="10"/>
        <rFont val="Arial"/>
        <family val="2"/>
      </rPr>
      <t xml:space="preserve"> =</t>
    </r>
  </si>
  <si>
    <r>
      <t>j</t>
    </r>
    <r>
      <rPr>
        <sz val="10"/>
        <rFont val="Arial"/>
        <family val="2"/>
      </rPr>
      <t>S</t>
    </r>
    <r>
      <rPr>
        <vertAlign val="subscript"/>
        <sz val="10"/>
        <rFont val="Arial"/>
        <family val="2"/>
      </rPr>
      <t>rt</t>
    </r>
    <r>
      <rPr>
        <sz val="10"/>
        <rFont val="Arial"/>
        <family val="2"/>
      </rPr>
      <t>CR</t>
    </r>
    <r>
      <rPr>
        <vertAlign val="subscript"/>
        <sz val="10"/>
        <rFont val="Arial"/>
        <family val="2"/>
      </rPr>
      <t>u</t>
    </r>
    <r>
      <rPr>
        <sz val="10"/>
        <rFont val="Arial"/>
        <family val="2"/>
      </rPr>
      <t>R</t>
    </r>
    <r>
      <rPr>
        <vertAlign val="subscript"/>
        <sz val="10"/>
        <rFont val="Arial"/>
        <family val="2"/>
      </rPr>
      <t>c</t>
    </r>
    <r>
      <rPr>
        <sz val="10"/>
        <rFont val="Arial"/>
        <family val="2"/>
      </rPr>
      <t>/RF</t>
    </r>
    <r>
      <rPr>
        <vertAlign val="subscript"/>
        <sz val="10"/>
        <rFont val="Arial"/>
        <family val="2"/>
      </rPr>
      <t>D</t>
    </r>
    <r>
      <rPr>
        <sz val="10"/>
        <rFont val="Arial"/>
        <family val="2"/>
      </rPr>
      <t xml:space="preserve"> =</t>
    </r>
  </si>
  <si>
    <t>CC(STR)</t>
  </si>
  <si>
    <r>
      <t>Z</t>
    </r>
    <r>
      <rPr>
        <vertAlign val="subscript"/>
        <sz val="10"/>
        <rFont val="Arial"/>
        <family val="2"/>
      </rPr>
      <t>2_ext</t>
    </r>
  </si>
  <si>
    <r>
      <t>D</t>
    </r>
    <r>
      <rPr>
        <vertAlign val="subscript"/>
        <sz val="10"/>
        <rFont val="Arial"/>
        <family val="2"/>
      </rPr>
      <t>1_Z2</t>
    </r>
  </si>
  <si>
    <r>
      <t>D</t>
    </r>
    <r>
      <rPr>
        <vertAlign val="subscript"/>
        <sz val="10"/>
        <rFont val="Arial"/>
        <family val="2"/>
      </rPr>
      <t>1_H</t>
    </r>
    <r>
      <rPr>
        <sz val="11"/>
        <color theme="1"/>
        <rFont val="Calibri"/>
        <family val="2"/>
        <scheme val="minor"/>
      </rPr>
      <t/>
    </r>
  </si>
  <si>
    <r>
      <t>q</t>
    </r>
    <r>
      <rPr>
        <sz val="8"/>
        <rFont val="Arial"/>
        <family val="2"/>
      </rPr>
      <t xml:space="preserve"> </t>
    </r>
    <r>
      <rPr>
        <vertAlign val="subscript"/>
        <sz val="10"/>
        <rFont val="Arial"/>
        <family val="2"/>
      </rPr>
      <t>LS_int</t>
    </r>
  </si>
  <si>
    <r>
      <t>q</t>
    </r>
    <r>
      <rPr>
        <vertAlign val="subscript"/>
        <sz val="8"/>
        <rFont val="Arial"/>
        <family val="2"/>
      </rPr>
      <t xml:space="preserve"> </t>
    </r>
    <r>
      <rPr>
        <vertAlign val="subscript"/>
        <sz val="10"/>
        <rFont val="Arial"/>
        <family val="2"/>
      </rPr>
      <t>DW</t>
    </r>
  </si>
  <si>
    <r>
      <t>q</t>
    </r>
    <r>
      <rPr>
        <sz val="8"/>
        <rFont val="Arial"/>
        <family val="2"/>
      </rPr>
      <t xml:space="preserve"> </t>
    </r>
    <r>
      <rPr>
        <vertAlign val="subscript"/>
        <sz val="10"/>
        <rFont val="Arial"/>
        <family val="2"/>
      </rPr>
      <t>DW_int</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</si>
  <si>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DW</t>
    </r>
  </si>
  <si>
    <r>
      <t>F</t>
    </r>
    <r>
      <rPr>
        <vertAlign val="subscript"/>
        <sz val="10"/>
        <rFont val="Arial"/>
        <family val="2"/>
      </rPr>
      <t>2_</t>
    </r>
    <r>
      <rPr>
        <vertAlign val="subscript"/>
        <sz val="12"/>
        <rFont val="Arial"/>
        <family val="2"/>
      </rPr>
      <t>q</t>
    </r>
    <r>
      <rPr>
        <vertAlign val="subscript"/>
        <sz val="8"/>
        <rFont val="Arial"/>
        <family val="2"/>
      </rPr>
      <t xml:space="preserve"> </t>
    </r>
    <r>
      <rPr>
        <vertAlign val="subscript"/>
        <sz val="10"/>
        <rFont val="Arial"/>
        <family val="2"/>
      </rPr>
      <t>DW</t>
    </r>
  </si>
  <si>
    <r>
      <t>q</t>
    </r>
    <r>
      <rPr>
        <vertAlign val="subscript"/>
        <sz val="8"/>
        <rFont val="Arial"/>
        <family val="2"/>
      </rPr>
      <t xml:space="preserve"> </t>
    </r>
    <r>
      <rPr>
        <vertAlign val="subscript"/>
        <sz val="10"/>
        <rFont val="Arial"/>
        <family val="2"/>
      </rPr>
      <t>ES_int</t>
    </r>
  </si>
  <si>
    <t>Minimum design earth pressure [D3.11.5.5]:</t>
  </si>
  <si>
    <t>ksf/ft  ----&gt;</t>
  </si>
  <si>
    <t>(uses a minimum pressure of 0.035 ksf/ft, where applicable)</t>
  </si>
  <si>
    <r>
      <rPr>
        <u/>
        <sz val="10"/>
        <rFont val="Arial"/>
        <family val="2"/>
      </rPr>
      <t>Vertical</t>
    </r>
    <r>
      <rPr>
        <sz val="10"/>
        <rFont val="Arial"/>
        <family val="2"/>
      </rPr>
      <t xml:space="preserve"> Load</t>
    </r>
  </si>
  <si>
    <r>
      <rPr>
        <u/>
        <sz val="10"/>
        <rFont val="Arial"/>
        <family val="2"/>
      </rPr>
      <t>Horizontal</t>
    </r>
    <r>
      <rPr>
        <sz val="10"/>
        <rFont val="Arial"/>
        <family val="2"/>
      </rPr>
      <t xml:space="preserve"> Load</t>
    </r>
  </si>
  <si>
    <r>
      <t>[D10.6.3.4-3P, expressed as tons/ft</t>
    </r>
    <r>
      <rPr>
        <vertAlign val="superscript"/>
        <sz val="10"/>
        <rFont val="Arial"/>
        <family val="2"/>
      </rPr>
      <t>2</t>
    </r>
    <r>
      <rPr>
        <sz val="10"/>
        <rFont val="Arial"/>
        <family val="2"/>
      </rPr>
      <t>]</t>
    </r>
  </si>
  <si>
    <t>(NOTE: ONLY LAYER #1 IS CHECKED)</t>
  </si>
  <si>
    <r>
      <t>0.67</t>
    </r>
    <r>
      <rPr>
        <vertAlign val="subscript"/>
        <sz val="10"/>
        <rFont val="Arial"/>
        <family val="2"/>
      </rPr>
      <t xml:space="preserve"> </t>
    </r>
    <r>
      <rPr>
        <sz val="10"/>
        <rFont val="Arial"/>
        <family val="2"/>
      </rPr>
      <t>tan</t>
    </r>
    <r>
      <rPr>
        <vertAlign val="subscript"/>
        <sz val="10"/>
        <rFont val="Symbol"/>
        <family val="1"/>
        <charset val="2"/>
      </rPr>
      <t xml:space="preserve"> </t>
    </r>
    <r>
      <rPr>
        <sz val="10"/>
        <rFont val="Symbol"/>
        <family val="1"/>
        <charset val="2"/>
      </rPr>
      <t>f</t>
    </r>
    <r>
      <rPr>
        <vertAlign val="subscript"/>
        <sz val="10"/>
        <rFont val="Arial"/>
        <family val="2"/>
      </rPr>
      <t xml:space="preserve">r </t>
    </r>
    <r>
      <rPr>
        <sz val="10"/>
        <rFont val="Arial"/>
        <family val="2"/>
      </rPr>
      <t>=</t>
    </r>
  </si>
  <si>
    <r>
      <t>…Z</t>
    </r>
    <r>
      <rPr>
        <vertAlign val="subscript"/>
        <sz val="10"/>
        <rFont val="Arial"/>
        <family val="2"/>
      </rPr>
      <t>2</t>
    </r>
    <r>
      <rPr>
        <sz val="10"/>
        <rFont val="Arial"/>
        <family val="2"/>
      </rPr>
      <t xml:space="preserve"> for distribution of P</t>
    </r>
    <r>
      <rPr>
        <vertAlign val="subscript"/>
        <sz val="10"/>
        <rFont val="Arial"/>
        <family val="2"/>
      </rPr>
      <t>V</t>
    </r>
    <r>
      <rPr>
        <sz val="10"/>
        <rFont val="Arial"/>
        <family val="2"/>
      </rPr>
      <t xml:space="preserve"> surcharge for internal stability [A3.11.6.3-1]</t>
    </r>
  </si>
  <si>
    <r>
      <t>…Z</t>
    </r>
    <r>
      <rPr>
        <vertAlign val="subscript"/>
        <sz val="10"/>
        <rFont val="Arial"/>
        <family val="2"/>
      </rPr>
      <t>2</t>
    </r>
    <r>
      <rPr>
        <sz val="10"/>
        <rFont val="Arial"/>
        <family val="2"/>
      </rPr>
      <t xml:space="preserve"> for distribution of surcharge pressures for internal stability (i.e. q</t>
    </r>
    <r>
      <rPr>
        <vertAlign val="subscript"/>
        <sz val="10"/>
        <rFont val="Arial"/>
        <family val="2"/>
      </rPr>
      <t xml:space="preserve"> DW_int</t>
    </r>
    <r>
      <rPr>
        <sz val="10"/>
        <rFont val="Arial"/>
        <family val="2"/>
      </rPr>
      <t>, q</t>
    </r>
    <r>
      <rPr>
        <vertAlign val="subscript"/>
        <sz val="10"/>
        <rFont val="Arial"/>
        <family val="2"/>
      </rPr>
      <t xml:space="preserve"> LS_int</t>
    </r>
    <r>
      <rPr>
        <sz val="10"/>
        <rFont val="Arial"/>
        <family val="2"/>
      </rPr>
      <t>, q</t>
    </r>
    <r>
      <rPr>
        <vertAlign val="subscript"/>
        <sz val="10"/>
        <rFont val="Arial"/>
        <family val="2"/>
      </rPr>
      <t xml:space="preserve"> ES_int</t>
    </r>
    <r>
      <rPr>
        <sz val="10"/>
        <rFont val="Arial"/>
        <family val="2"/>
      </rPr>
      <t>)</t>
    </r>
  </si>
  <si>
    <t>- Red Text will indicate warnings and errors where applicable</t>
  </si>
  <si>
    <t>README</t>
  </si>
  <si>
    <t>INPUT</t>
  </si>
  <si>
    <t>WORKSHEET_FINAL</t>
  </si>
  <si>
    <t>WORKSHEET_CONSTR</t>
  </si>
  <si>
    <t>SUMMARY OF DESIGN RESULTS</t>
  </si>
  <si>
    <t>OUTPUT</t>
  </si>
  <si>
    <t>AASHTO LRFD Bridge Design Specifications 5th Edition with 2010 Interim Revisions, Section 11.10 Mechanically Stabilized Earth Walls. Any sections referenced in Section 11.10 will follow the AASHTO LRFD as modified by PennDOT Design Manual Part 4 (DM-4), Part B Design Specifications, except as noted.</t>
  </si>
  <si>
    <r>
      <t>P</t>
    </r>
    <r>
      <rPr>
        <vertAlign val="subscript"/>
        <sz val="10"/>
        <rFont val="Arial"/>
        <family val="2"/>
      </rPr>
      <t>H1_pullout</t>
    </r>
  </si>
  <si>
    <r>
      <t xml:space="preserve">Horiz. CT load, portion </t>
    </r>
    <r>
      <rPr>
        <u/>
        <sz val="10"/>
        <rFont val="Arial"/>
        <family val="2"/>
      </rPr>
      <t>within</t>
    </r>
    <r>
      <rPr>
        <sz val="10"/>
        <rFont val="Arial"/>
        <family val="2"/>
      </rPr>
      <t xml:space="preserve"> reinforced zone</t>
    </r>
  </si>
  <si>
    <r>
      <t xml:space="preserve">Horiz. CT load, portion </t>
    </r>
    <r>
      <rPr>
        <u/>
        <sz val="10"/>
        <rFont val="Arial"/>
        <family val="2"/>
      </rPr>
      <t>outside</t>
    </r>
    <r>
      <rPr>
        <sz val="10"/>
        <rFont val="Arial"/>
        <family val="2"/>
      </rPr>
      <t xml:space="preserve"> reinforced zone</t>
    </r>
  </si>
  <si>
    <r>
      <t xml:space="preserve">Horiz. CT load, portion </t>
    </r>
    <r>
      <rPr>
        <u/>
        <sz val="10"/>
        <rFont val="Arial"/>
        <family val="2"/>
      </rPr>
      <t>within</t>
    </r>
    <r>
      <rPr>
        <sz val="10"/>
        <rFont val="Arial"/>
        <family val="2"/>
      </rPr>
      <t xml:space="preserve"> reinforced zone (for internal pullout)</t>
    </r>
  </si>
  <si>
    <r>
      <t>P</t>
    </r>
    <r>
      <rPr>
        <vertAlign val="subscript"/>
        <sz val="10"/>
        <rFont val="Arial"/>
        <family val="2"/>
      </rPr>
      <t>H1 (pull)</t>
    </r>
    <r>
      <rPr>
        <sz val="10"/>
        <rFont val="Arial"/>
        <family val="2"/>
      </rPr>
      <t xml:space="preserve"> =</t>
    </r>
  </si>
  <si>
    <t xml:space="preserve"> Equivalent height of soil for live load surcharge (LS) [D3.11.6.4]:</t>
  </si>
  <si>
    <t xml:space="preserve"> Equivalent height of soil for temporary construction live load surcharge (LS) [D11.6.1.2]:</t>
  </si>
  <si>
    <t>Horizontal traffic impact/collision load on barrier, for tension (10k/5ft = 2.0 k/ft) [A11.10.10.2]:</t>
  </si>
  <si>
    <t>Horizontal traffic impact/collision load on barrier, for pullout (10k/20ft = 0.5 k/ft) [A11.10.10.2]:</t>
  </si>
  <si>
    <t>Horizontal force per foot on abutment due to unfactored longitudinal superstructure loads:</t>
  </si>
  <si>
    <r>
      <t>P</t>
    </r>
    <r>
      <rPr>
        <vertAlign val="subscript"/>
        <sz val="10"/>
        <rFont val="Arial"/>
        <family val="2"/>
      </rPr>
      <t xml:space="preserve">H1 (tens) </t>
    </r>
    <r>
      <rPr>
        <sz val="10"/>
        <rFont val="Arial"/>
        <family val="2"/>
      </rPr>
      <t>=</t>
    </r>
  </si>
  <si>
    <t>ksf/ft</t>
  </si>
  <si>
    <t>---&gt;</t>
  </si>
  <si>
    <t>This spreadsheet is to be used as an aid for designing and analyzing MSE walls.  The spreadsheet contains five tabs: "README", "INPUT", "WORKSHEET_FINAL", "WORKSHEET_CONSTR", and "OUTPUT".  The "README" tab outlines the design criteria and provides sketches of various MSE wall configurations.  The "INPUT" tab contains all the input necessary to complete the design/analysis of the MSE wall.  The "WORKSHEET_FINAL" tab performs all internal and external stability calculations for the completed in-service MSE wall structure.  The "WORKSHEET_CONSTR" tab performs the external and internal stability calculations for the temporary construction loading condition.  The "OUTPUT" tab presents an output table which summarizes the external and internal stability checks, indicates the controlling design locations, and calculates performance ratios for the controlling locations.  The performance ratio is taken as a ratio of the allowable to the actual.  Performance ratios greater than or equal to 1.0 are "OK", while performance ratios less than 1.0 are "NG!".  For further information, refer to the Manual for this spreadsheet.</t>
  </si>
  <si>
    <r>
      <rPr>
        <sz val="10"/>
        <rFont val="Arial"/>
        <family val="2"/>
      </rPr>
      <t xml:space="preserve">Type of Geosynthetic: </t>
    </r>
    <r>
      <rPr>
        <i/>
        <sz val="10"/>
        <rFont val="Arial"/>
        <family val="2"/>
      </rPr>
      <t>d = geogrid, t = geotextile</t>
    </r>
    <r>
      <rPr>
        <sz val="10"/>
        <rFont val="Arial"/>
        <family val="2"/>
      </rPr>
      <t xml:space="preserve"> (Enter for geosynthetic only)</t>
    </r>
  </si>
  <si>
    <r>
      <rPr>
        <sz val="10"/>
        <rFont val="Arial"/>
        <family val="2"/>
      </rPr>
      <t xml:space="preserve">Type of steel strips: </t>
    </r>
    <r>
      <rPr>
        <i/>
        <sz val="10"/>
        <rFont val="Arial"/>
        <family val="2"/>
      </rPr>
      <t>s = smooth, r = ribbed</t>
    </r>
    <r>
      <rPr>
        <sz val="10"/>
        <rFont val="Arial"/>
        <family val="2"/>
      </rPr>
      <t xml:space="preserve"> (Enter for steel strip reinforcement only)</t>
    </r>
  </si>
  <si>
    <t>Spacing of steel grid cross bars:</t>
  </si>
  <si>
    <t>Diameter of steel grid cross bars:</t>
  </si>
  <si>
    <r>
      <rPr>
        <sz val="10"/>
        <rFont val="Arial"/>
        <family val="2"/>
      </rPr>
      <t>Type of Reinforcement:</t>
    </r>
    <r>
      <rPr>
        <i/>
        <sz val="10"/>
        <rFont val="Arial"/>
        <family val="2"/>
      </rPr>
      <t xml:space="preserve"> s = steel strip, g = geosynthetic, m = steel bar grid/mat, w = welded wire grid</t>
    </r>
  </si>
  <si>
    <t>Variable Reinforcement Spacing (Behind Abutment)</t>
  </si>
  <si>
    <r>
      <t>N</t>
    </r>
    <r>
      <rPr>
        <vertAlign val="subscript"/>
        <sz val="10"/>
        <rFont val="Arial"/>
        <family val="2"/>
      </rPr>
      <t>cq</t>
    </r>
    <r>
      <rPr>
        <vertAlign val="subscript"/>
        <sz val="10"/>
        <rFont val="Arial"/>
        <family val="2"/>
      </rPr>
      <t xml:space="preserve"> </t>
    </r>
    <r>
      <rPr>
        <sz val="10"/>
        <rFont val="Arial"/>
        <family val="2"/>
      </rPr>
      <t>=</t>
    </r>
  </si>
  <si>
    <t>Modified bearing capacity factor for walls adjacent to slopes (cohesive soil term) [Fig. A10.6.3.1.2c-1]:</t>
  </si>
  <si>
    <t>Depth from footing base down to highest anticipated groundwater level [D10.6.3.1.2gP]:</t>
  </si>
  <si>
    <r>
      <rPr>
        <sz val="10"/>
        <rFont val="Arial"/>
        <family val="2"/>
      </rPr>
      <t xml:space="preserve">Is the ground sloped in front of the structure (i.e. wall constructed on a slope)? </t>
    </r>
    <r>
      <rPr>
        <i/>
        <sz val="10"/>
        <rFont val="Arial"/>
        <family val="2"/>
      </rPr>
      <t>y = yes, n = no</t>
    </r>
  </si>
  <si>
    <r>
      <t xml:space="preserve">If </t>
    </r>
    <r>
      <rPr>
        <i/>
        <sz val="10"/>
        <rFont val="Arial"/>
        <family val="2"/>
      </rPr>
      <t>"yes"</t>
    </r>
    <r>
      <rPr>
        <sz val="10"/>
        <rFont val="Arial"/>
        <family val="2"/>
      </rPr>
      <t>, enter horiz. component of slope in front of structure (e.g. "3" for 3H:1V slope) [A11.10.2.2]:</t>
    </r>
  </si>
  <si>
    <t>Modified bearing capacity factor for walls adjacent to slopes (cohesionless term) [Fig. A10.6.3.1.2c-2]:</t>
  </si>
  <si>
    <t>Bearing Capacity Factors:</t>
  </si>
  <si>
    <t>[C10.6.3.1.2a-1P (DM-4)]</t>
  </si>
  <si>
    <t>[C10.6.3.1.2a-2P or 3P (DM-4)]</t>
  </si>
  <si>
    <t>[C10.6.3.1.2a-4P (DM-4)]</t>
  </si>
  <si>
    <t>[D10.6.3.1.2gP-6]</t>
  </si>
  <si>
    <r>
      <t>(Note: For walls adjacent to slopes, the user input N</t>
    </r>
    <r>
      <rPr>
        <vertAlign val="subscript"/>
        <sz val="10"/>
        <rFont val="Arial"/>
        <family val="2"/>
      </rPr>
      <t>cq</t>
    </r>
    <r>
      <rPr>
        <sz val="10"/>
        <rFont val="Arial"/>
        <family val="2"/>
      </rPr>
      <t xml:space="preserve"> term will be used in place of N</t>
    </r>
    <r>
      <rPr>
        <vertAlign val="subscript"/>
        <sz val="10"/>
        <rFont val="Arial"/>
        <family val="2"/>
      </rPr>
      <t>c</t>
    </r>
    <r>
      <rPr>
        <sz val="10"/>
        <rFont val="Arial"/>
        <family val="2"/>
      </rPr>
      <t xml:space="preserve"> shown here.)</t>
    </r>
  </si>
  <si>
    <r>
      <t>(Note: For walls adjacent to slopes, the user input N</t>
    </r>
    <r>
      <rPr>
        <vertAlign val="subscript"/>
        <sz val="12"/>
        <rFont val="Symbol"/>
        <family val="1"/>
        <charset val="2"/>
      </rPr>
      <t>g</t>
    </r>
    <r>
      <rPr>
        <vertAlign val="subscript"/>
        <sz val="10"/>
        <rFont val="Calibri Light"/>
        <family val="2"/>
      </rPr>
      <t>q</t>
    </r>
    <r>
      <rPr>
        <sz val="10"/>
        <rFont val="Arial"/>
        <family val="2"/>
      </rPr>
      <t xml:space="preserve"> term will be used in place of N</t>
    </r>
    <r>
      <rPr>
        <vertAlign val="subscript"/>
        <sz val="12"/>
        <rFont val="Symbol"/>
        <family val="1"/>
        <charset val="2"/>
      </rPr>
      <t>g</t>
    </r>
    <r>
      <rPr>
        <sz val="10"/>
        <rFont val="Arial"/>
        <family val="2"/>
      </rPr>
      <t xml:space="preserve"> shown here.)</t>
    </r>
  </si>
  <si>
    <r>
      <t>N</t>
    </r>
    <r>
      <rPr>
        <vertAlign val="subscript"/>
        <sz val="12"/>
        <rFont val="Symbol"/>
        <family val="1"/>
        <charset val="2"/>
      </rPr>
      <t>g</t>
    </r>
    <r>
      <rPr>
        <vertAlign val="subscript"/>
        <sz val="10"/>
        <rFont val="Arial"/>
        <family val="2"/>
      </rPr>
      <t xml:space="preserve">q </t>
    </r>
    <r>
      <rPr>
        <sz val="10"/>
        <rFont val="Arial"/>
        <family val="2"/>
      </rPr>
      <t>=</t>
    </r>
  </si>
  <si>
    <t>Check max spacing:</t>
  </si>
  <si>
    <r>
      <t>q</t>
    </r>
    <r>
      <rPr>
        <vertAlign val="subscript"/>
        <sz val="10"/>
        <rFont val="Arial"/>
        <family val="2"/>
      </rPr>
      <t>ult</t>
    </r>
    <r>
      <rPr>
        <sz val="10"/>
        <rFont val="Arial"/>
        <family val="2"/>
      </rPr>
      <t xml:space="preserve"> (soil) =</t>
    </r>
  </si>
  <si>
    <r>
      <t>q</t>
    </r>
    <r>
      <rPr>
        <vertAlign val="subscript"/>
        <sz val="10"/>
        <rFont val="Arial"/>
        <family val="2"/>
      </rPr>
      <t>n</t>
    </r>
    <r>
      <rPr>
        <sz val="10"/>
        <rFont val="Arial"/>
        <family val="2"/>
      </rPr>
      <t xml:space="preserve"> (soil) =</t>
    </r>
  </si>
  <si>
    <r>
      <t>q</t>
    </r>
    <r>
      <rPr>
        <vertAlign val="subscript"/>
        <sz val="10"/>
        <rFont val="Arial"/>
        <family val="2"/>
      </rPr>
      <t>n</t>
    </r>
    <r>
      <rPr>
        <sz val="10"/>
        <rFont val="Arial"/>
        <family val="2"/>
      </rPr>
      <t xml:space="preserve"> (rock) =</t>
    </r>
  </si>
  <si>
    <r>
      <t>Distance from back of MSE wall to centroid of linear vertical footing load, P</t>
    </r>
    <r>
      <rPr>
        <vertAlign val="subscript"/>
        <sz val="10"/>
        <rFont val="Arial"/>
        <family val="2"/>
      </rPr>
      <t>V</t>
    </r>
    <r>
      <rPr>
        <sz val="10"/>
        <rFont val="Arial"/>
        <family val="2"/>
      </rPr>
      <t xml:space="preserve"> [A3.11.6.3-1]:</t>
    </r>
  </si>
  <si>
    <r>
      <t>L</t>
    </r>
    <r>
      <rPr>
        <vertAlign val="subscript"/>
        <sz val="10"/>
        <rFont val="Arial"/>
        <family val="2"/>
      </rPr>
      <t>e</t>
    </r>
    <r>
      <rPr>
        <sz val="8"/>
        <rFont val="Arial"/>
        <family val="2"/>
      </rPr>
      <t xml:space="preserve"> req'd for</t>
    </r>
  </si>
  <si>
    <r>
      <t>T</t>
    </r>
    <r>
      <rPr>
        <vertAlign val="subscript"/>
        <sz val="10"/>
        <rFont val="Arial"/>
        <family val="2"/>
      </rPr>
      <t>total</t>
    </r>
    <r>
      <rPr>
        <vertAlign val="subscript"/>
        <sz val="8"/>
        <rFont val="Arial"/>
        <family val="2"/>
      </rPr>
      <t xml:space="preserve"> </t>
    </r>
    <r>
      <rPr>
        <sz val="8"/>
        <rFont val="Arial"/>
        <family val="2"/>
      </rPr>
      <t>(pullout)</t>
    </r>
  </si>
  <si>
    <r>
      <t>s</t>
    </r>
    <r>
      <rPr>
        <vertAlign val="subscript"/>
        <sz val="10"/>
        <rFont val="Arial"/>
        <family val="2"/>
      </rPr>
      <t xml:space="preserve">H
</t>
    </r>
    <r>
      <rPr>
        <sz val="8"/>
        <rFont val="Arial"/>
        <family val="2"/>
      </rPr>
      <t>(STR)</t>
    </r>
  </si>
  <si>
    <r>
      <t>T</t>
    </r>
    <r>
      <rPr>
        <vertAlign val="subscript"/>
        <sz val="10"/>
        <rFont val="Arial"/>
        <family val="2"/>
      </rPr>
      <t xml:space="preserve">max
</t>
    </r>
    <r>
      <rPr>
        <sz val="8"/>
        <rFont val="Arial"/>
        <family val="2"/>
      </rPr>
      <t>(STR)</t>
    </r>
  </si>
  <si>
    <r>
      <t>s</t>
    </r>
    <r>
      <rPr>
        <vertAlign val="subscript"/>
        <sz val="10"/>
        <rFont val="Arial"/>
        <family val="2"/>
      </rPr>
      <t xml:space="preserve">H
</t>
    </r>
    <r>
      <rPr>
        <sz val="8"/>
        <rFont val="Arial"/>
        <family val="2"/>
      </rPr>
      <t>(EXT-II)</t>
    </r>
  </si>
  <si>
    <r>
      <t>T</t>
    </r>
    <r>
      <rPr>
        <vertAlign val="subscript"/>
        <sz val="10"/>
        <rFont val="Arial"/>
        <family val="2"/>
      </rPr>
      <t xml:space="preserve">max
</t>
    </r>
    <r>
      <rPr>
        <sz val="8"/>
        <rFont val="Arial"/>
        <family val="2"/>
      </rPr>
      <t>(EXT-II)</t>
    </r>
  </si>
  <si>
    <r>
      <t>T</t>
    </r>
    <r>
      <rPr>
        <vertAlign val="subscript"/>
        <sz val="10"/>
        <rFont val="Arial"/>
        <family val="2"/>
      </rPr>
      <t xml:space="preserve">max
</t>
    </r>
    <r>
      <rPr>
        <sz val="8"/>
        <rFont val="Arial"/>
        <family val="2"/>
      </rPr>
      <t>(STR_red.)</t>
    </r>
  </si>
  <si>
    <r>
      <t>s</t>
    </r>
    <r>
      <rPr>
        <vertAlign val="subscript"/>
        <sz val="10"/>
        <rFont val="Arial"/>
        <family val="2"/>
      </rPr>
      <t xml:space="preserve">H
</t>
    </r>
    <r>
      <rPr>
        <sz val="8"/>
        <rFont val="Arial"/>
        <family val="2"/>
      </rPr>
      <t>(STR_red.)</t>
    </r>
  </si>
  <si>
    <r>
      <t>T</t>
    </r>
    <r>
      <rPr>
        <vertAlign val="subscript"/>
        <sz val="10"/>
        <rFont val="Arial"/>
        <family val="2"/>
      </rPr>
      <t xml:space="preserve">max
</t>
    </r>
    <r>
      <rPr>
        <sz val="8"/>
        <rFont val="Arial"/>
        <family val="2"/>
      </rPr>
      <t>(static)</t>
    </r>
  </si>
  <si>
    <r>
      <t>T</t>
    </r>
    <r>
      <rPr>
        <vertAlign val="subscript"/>
        <sz val="10"/>
        <rFont val="Arial"/>
        <family val="2"/>
      </rPr>
      <t xml:space="preserve">max
</t>
    </r>
    <r>
      <rPr>
        <sz val="8"/>
        <rFont val="Arial"/>
        <family val="2"/>
      </rPr>
      <t>(trans.)</t>
    </r>
  </si>
  <si>
    <r>
      <t>Req'd
L</t>
    </r>
    <r>
      <rPr>
        <vertAlign val="subscript"/>
        <sz val="10"/>
        <rFont val="Arial"/>
        <family val="2"/>
      </rPr>
      <t>e</t>
    </r>
    <r>
      <rPr>
        <sz val="8"/>
        <rFont val="Arial"/>
        <family val="2"/>
      </rPr>
      <t xml:space="preserve"> (STR)</t>
    </r>
  </si>
  <si>
    <r>
      <t>Req'd
L</t>
    </r>
    <r>
      <rPr>
        <vertAlign val="subscript"/>
        <sz val="10"/>
        <rFont val="Arial"/>
        <family val="2"/>
      </rPr>
      <t>e</t>
    </r>
    <r>
      <rPr>
        <sz val="8"/>
        <rFont val="Arial"/>
        <family val="2"/>
      </rPr>
      <t xml:space="preserve"> (EXT-II)</t>
    </r>
  </si>
  <si>
    <r>
      <t>Req'd
L</t>
    </r>
    <r>
      <rPr>
        <vertAlign val="subscript"/>
        <sz val="10"/>
        <rFont val="Arial"/>
        <family val="2"/>
      </rPr>
      <t>e</t>
    </r>
  </si>
  <si>
    <r>
      <t>T</t>
    </r>
    <r>
      <rPr>
        <vertAlign val="subscript"/>
        <sz val="10"/>
        <rFont val="Arial"/>
        <family val="2"/>
      </rPr>
      <t xml:space="preserve">al
</t>
    </r>
    <r>
      <rPr>
        <sz val="8"/>
        <rFont val="Arial"/>
        <family val="2"/>
      </rPr>
      <t>(steel)</t>
    </r>
  </si>
  <si>
    <r>
      <t>T</t>
    </r>
    <r>
      <rPr>
        <vertAlign val="subscript"/>
        <sz val="10"/>
        <rFont val="Arial"/>
        <family val="2"/>
      </rPr>
      <t xml:space="preserve">ult
</t>
    </r>
    <r>
      <rPr>
        <sz val="8"/>
        <rFont val="Arial"/>
        <family val="2"/>
      </rPr>
      <t>(geosynth.)</t>
    </r>
  </si>
  <si>
    <r>
      <t>T</t>
    </r>
    <r>
      <rPr>
        <vertAlign val="subscript"/>
        <sz val="10"/>
        <rFont val="Arial"/>
        <family val="2"/>
      </rPr>
      <t xml:space="preserve">al
</t>
    </r>
    <r>
      <rPr>
        <sz val="8"/>
        <rFont val="Arial"/>
        <family val="2"/>
      </rPr>
      <t>(geosynth.)</t>
    </r>
  </si>
  <si>
    <r>
      <t>T</t>
    </r>
    <r>
      <rPr>
        <vertAlign val="subscript"/>
        <sz val="10"/>
        <rFont val="Arial"/>
        <family val="2"/>
      </rPr>
      <t xml:space="preserve">ac
</t>
    </r>
    <r>
      <rPr>
        <sz val="8"/>
        <rFont val="Arial"/>
        <family val="2"/>
      </rPr>
      <t>(geosynth.)</t>
    </r>
  </si>
  <si>
    <r>
      <t>Add'l L</t>
    </r>
    <r>
      <rPr>
        <vertAlign val="subscript"/>
        <sz val="10"/>
        <rFont val="Arial"/>
        <family val="2"/>
      </rPr>
      <t xml:space="preserve">e
</t>
    </r>
    <r>
      <rPr>
        <sz val="10"/>
        <rFont val="Arial"/>
        <family val="2"/>
      </rPr>
      <t>Needed</t>
    </r>
  </si>
  <si>
    <r>
      <t>Use
L</t>
    </r>
    <r>
      <rPr>
        <vertAlign val="subscript"/>
        <sz val="10"/>
        <rFont val="Arial"/>
        <family val="2"/>
      </rPr>
      <t>reinf</t>
    </r>
  </si>
  <si>
    <r>
      <t>L</t>
    </r>
    <r>
      <rPr>
        <vertAlign val="subscript"/>
        <sz val="10"/>
        <rFont val="Arial"/>
        <family val="2"/>
      </rPr>
      <t>a</t>
    </r>
    <r>
      <rPr>
        <sz val="10"/>
        <rFont val="Arial"/>
        <family val="2"/>
      </rPr>
      <t xml:space="preserve">
(</t>
    </r>
    <r>
      <rPr>
        <sz val="8"/>
        <rFont val="Arial"/>
        <family val="2"/>
      </rPr>
      <t>active zone)</t>
    </r>
  </si>
  <si>
    <r>
      <t>L</t>
    </r>
    <r>
      <rPr>
        <vertAlign val="subscript"/>
        <sz val="10"/>
        <rFont val="Arial"/>
        <family val="2"/>
      </rPr>
      <t>e</t>
    </r>
    <r>
      <rPr>
        <sz val="10"/>
        <rFont val="Arial"/>
        <family val="2"/>
      </rPr>
      <t xml:space="preserve">
</t>
    </r>
    <r>
      <rPr>
        <sz val="8"/>
        <rFont val="Arial"/>
        <family val="2"/>
      </rPr>
      <t>(eff. length)</t>
    </r>
  </si>
  <si>
    <r>
      <t>k</t>
    </r>
    <r>
      <rPr>
        <vertAlign val="subscript"/>
        <sz val="10"/>
        <rFont val="Arial"/>
        <family val="2"/>
      </rPr>
      <t>r</t>
    </r>
    <r>
      <rPr>
        <sz val="8"/>
        <rFont val="Arial"/>
        <family val="2"/>
      </rPr>
      <t xml:space="preserve">
(pullout)</t>
    </r>
  </si>
  <si>
    <r>
      <t>k</t>
    </r>
    <r>
      <rPr>
        <vertAlign val="subscript"/>
        <sz val="10"/>
        <rFont val="Arial"/>
        <family val="2"/>
      </rPr>
      <t>r</t>
    </r>
    <r>
      <rPr>
        <sz val="8"/>
        <rFont val="Arial"/>
        <family val="2"/>
      </rPr>
      <t xml:space="preserve">
(strength)</t>
    </r>
  </si>
  <si>
    <t>(active zone)</t>
  </si>
  <si>
    <t>(eff. length)</t>
  </si>
  <si>
    <t>STR</t>
  </si>
  <si>
    <t>STR_red.</t>
  </si>
  <si>
    <t>EXT-II</t>
  </si>
  <si>
    <t>MAX OF STR, EXT</t>
  </si>
  <si>
    <t>y</t>
  </si>
  <si>
    <t>Minimum design earth pressure [D3.11.5.5]</t>
  </si>
  <si>
    <t>Test Run</t>
  </si>
  <si>
    <t>r</t>
  </si>
  <si>
    <t>pcf</t>
  </si>
  <si>
    <t>…weighted average of soil unit weight (tons per cubic foot) [D10.6.3.1.2gP]</t>
  </si>
  <si>
    <r>
      <t>s</t>
    </r>
    <r>
      <rPr>
        <vertAlign val="subscript"/>
        <sz val="10"/>
        <rFont val="Arial"/>
        <family val="2"/>
      </rPr>
      <t xml:space="preserve">v
</t>
    </r>
    <r>
      <rPr>
        <sz val="8"/>
        <rFont val="Arial"/>
        <family val="2"/>
      </rPr>
      <t>(STR)</t>
    </r>
  </si>
  <si>
    <r>
      <t>s</t>
    </r>
    <r>
      <rPr>
        <vertAlign val="subscript"/>
        <sz val="10"/>
        <rFont val="Arial"/>
        <family val="2"/>
      </rPr>
      <t xml:space="preserve">v
</t>
    </r>
    <r>
      <rPr>
        <sz val="8"/>
        <rFont val="Arial"/>
        <family val="2"/>
      </rPr>
      <t>(EXT-II)</t>
    </r>
  </si>
  <si>
    <r>
      <t>Ds</t>
    </r>
    <r>
      <rPr>
        <vertAlign val="subscript"/>
        <sz val="10"/>
        <rFont val="Arial"/>
        <family val="2"/>
      </rPr>
      <t xml:space="preserve">H
</t>
    </r>
    <r>
      <rPr>
        <sz val="8"/>
        <rFont val="Arial"/>
        <family val="2"/>
      </rPr>
      <t>(STR)</t>
    </r>
  </si>
  <si>
    <r>
      <t>Ds</t>
    </r>
    <r>
      <rPr>
        <vertAlign val="subscript"/>
        <sz val="10"/>
        <rFont val="Arial"/>
        <family val="2"/>
      </rPr>
      <t xml:space="preserve">H
</t>
    </r>
    <r>
      <rPr>
        <sz val="8"/>
        <rFont val="Arial"/>
        <family val="2"/>
      </rPr>
      <t>(EXT-II)</t>
    </r>
  </si>
  <si>
    <r>
      <t>s</t>
    </r>
    <r>
      <rPr>
        <vertAlign val="subscript"/>
        <sz val="10"/>
        <rFont val="Arial"/>
        <family val="2"/>
      </rPr>
      <t xml:space="preserve">v
</t>
    </r>
    <r>
      <rPr>
        <sz val="8"/>
        <rFont val="Arial"/>
        <family val="2"/>
      </rPr>
      <t>(EXT-I)</t>
    </r>
  </si>
  <si>
    <r>
      <t>Ds</t>
    </r>
    <r>
      <rPr>
        <vertAlign val="subscript"/>
        <sz val="10"/>
        <rFont val="Arial"/>
        <family val="2"/>
      </rPr>
      <t xml:space="preserve">H
</t>
    </r>
    <r>
      <rPr>
        <sz val="8"/>
        <rFont val="Arial"/>
        <family val="2"/>
      </rPr>
      <t>(EXT-I)</t>
    </r>
  </si>
  <si>
    <r>
      <t>s</t>
    </r>
    <r>
      <rPr>
        <vertAlign val="subscript"/>
        <sz val="10"/>
        <rFont val="Arial"/>
        <family val="2"/>
      </rPr>
      <t>v</t>
    </r>
    <r>
      <rPr>
        <vertAlign val="subscript"/>
        <sz val="8"/>
        <rFont val="Arial"/>
        <family val="2"/>
      </rPr>
      <t xml:space="preserve"> </t>
    </r>
    <r>
      <rPr>
        <sz val="8"/>
        <rFont val="Arial"/>
        <family val="2"/>
      </rPr>
      <t>(stress in
resist.zone)</t>
    </r>
  </si>
  <si>
    <r>
      <t>s</t>
    </r>
    <r>
      <rPr>
        <vertAlign val="subscript"/>
        <sz val="10"/>
        <rFont val="Arial"/>
        <family val="2"/>
      </rPr>
      <t xml:space="preserve">v
</t>
    </r>
    <r>
      <rPr>
        <sz val="8"/>
        <rFont val="Arial"/>
        <family val="2"/>
      </rPr>
      <t>(STR_no LS)</t>
    </r>
  </si>
  <si>
    <r>
      <t>s</t>
    </r>
    <r>
      <rPr>
        <vertAlign val="subscript"/>
        <sz val="10"/>
        <rFont val="Arial"/>
        <family val="2"/>
      </rPr>
      <t xml:space="preserve">H
</t>
    </r>
    <r>
      <rPr>
        <sz val="8"/>
        <rFont val="Arial"/>
        <family val="2"/>
      </rPr>
      <t>(STR_no LS)</t>
    </r>
  </si>
  <si>
    <r>
      <t>T</t>
    </r>
    <r>
      <rPr>
        <vertAlign val="subscript"/>
        <sz val="10"/>
        <rFont val="Arial"/>
        <family val="2"/>
      </rPr>
      <t xml:space="preserve">max
</t>
    </r>
    <r>
      <rPr>
        <sz val="8"/>
        <rFont val="Arial"/>
        <family val="2"/>
      </rPr>
      <t>(STR_no LS)</t>
    </r>
  </si>
  <si>
    <r>
      <rPr>
        <sz val="10"/>
        <rFont val="Arial"/>
        <family val="2"/>
      </rPr>
      <t>T</t>
    </r>
    <r>
      <rPr>
        <vertAlign val="subscript"/>
        <sz val="10"/>
        <rFont val="Arial"/>
        <family val="2"/>
      </rPr>
      <t>max</t>
    </r>
    <r>
      <rPr>
        <sz val="8"/>
        <rFont val="Arial"/>
        <family val="2"/>
      </rPr>
      <t xml:space="preserve"> (for pullout calcs)</t>
    </r>
  </si>
  <si>
    <t>SEISMIC CONNECTION CHECKS:</t>
  </si>
  <si>
    <r>
      <t>s</t>
    </r>
    <r>
      <rPr>
        <vertAlign val="subscript"/>
        <sz val="10"/>
        <rFont val="Arial"/>
        <family val="2"/>
      </rPr>
      <t xml:space="preserve">v
</t>
    </r>
    <r>
      <rPr>
        <sz val="8"/>
        <rFont val="Arial"/>
        <family val="2"/>
      </rPr>
      <t>(no LS)</t>
    </r>
  </si>
  <si>
    <r>
      <t>L</t>
    </r>
    <r>
      <rPr>
        <vertAlign val="subscript"/>
        <sz val="10"/>
        <rFont val="Arial"/>
        <family val="2"/>
      </rPr>
      <t>e</t>
    </r>
    <r>
      <rPr>
        <sz val="8"/>
        <rFont val="Arial"/>
        <family val="2"/>
      </rPr>
      <t xml:space="preserve"> req'd for
</t>
    </r>
    <r>
      <rPr>
        <sz val="10"/>
        <rFont val="Arial"/>
        <family val="2"/>
      </rPr>
      <t>T</t>
    </r>
    <r>
      <rPr>
        <vertAlign val="subscript"/>
        <sz val="10"/>
        <rFont val="Arial"/>
        <family val="2"/>
      </rPr>
      <t xml:space="preserve">max
</t>
    </r>
    <r>
      <rPr>
        <sz val="8"/>
        <rFont val="Arial"/>
        <family val="2"/>
      </rPr>
      <t>(STR_no LS)</t>
    </r>
  </si>
  <si>
    <r>
      <t>s</t>
    </r>
    <r>
      <rPr>
        <vertAlign val="subscript"/>
        <sz val="10"/>
        <rFont val="Arial"/>
        <family val="2"/>
      </rPr>
      <t>v</t>
    </r>
    <r>
      <rPr>
        <vertAlign val="subscript"/>
        <sz val="8"/>
        <rFont val="Arial"/>
        <family val="2"/>
      </rPr>
      <t xml:space="preserve"> </t>
    </r>
    <r>
      <rPr>
        <sz val="8"/>
        <rFont val="Arial"/>
        <family val="2"/>
      </rPr>
      <t>(stress in overlap zone)</t>
    </r>
  </si>
  <si>
    <t>If "yes" to both above (i.e. friction connection), enter overlap length of facing with reinforcement:</t>
  </si>
  <si>
    <r>
      <t>s</t>
    </r>
    <r>
      <rPr>
        <vertAlign val="subscript"/>
        <sz val="10"/>
        <rFont val="Arial"/>
        <family val="2"/>
      </rPr>
      <t xml:space="preserve">H_redund.
</t>
    </r>
    <r>
      <rPr>
        <sz val="8"/>
        <rFont val="Arial"/>
        <family val="2"/>
      </rPr>
      <t>(STR_no LS)</t>
    </r>
  </si>
  <si>
    <r>
      <t>T</t>
    </r>
    <r>
      <rPr>
        <vertAlign val="subscript"/>
        <sz val="10"/>
        <rFont val="Arial"/>
        <family val="2"/>
      </rPr>
      <t xml:space="preserve">max_redund.
</t>
    </r>
    <r>
      <rPr>
        <sz val="8"/>
        <rFont val="Arial"/>
        <family val="2"/>
      </rPr>
      <t>(STR_no LS)</t>
    </r>
  </si>
  <si>
    <t>STR-I, STR-III, EXT-I</t>
  </si>
  <si>
    <r>
      <t>Horizontal force on abutment due to live load surcharge, q</t>
    </r>
    <r>
      <rPr>
        <vertAlign val="subscript"/>
        <sz val="8"/>
        <rFont val="Arial"/>
        <family val="2"/>
      </rPr>
      <t xml:space="preserve"> </t>
    </r>
    <r>
      <rPr>
        <vertAlign val="subscript"/>
        <sz val="10"/>
        <rFont val="Arial"/>
        <family val="2"/>
      </rPr>
      <t>LS</t>
    </r>
  </si>
  <si>
    <r>
      <t>F</t>
    </r>
    <r>
      <rPr>
        <vertAlign val="subscript"/>
        <sz val="10"/>
        <rFont val="Arial"/>
        <family val="2"/>
      </rPr>
      <t>2a_</t>
    </r>
    <r>
      <rPr>
        <vertAlign val="subscript"/>
        <sz val="12"/>
        <rFont val="Arial"/>
        <family val="2"/>
      </rPr>
      <t>q</t>
    </r>
    <r>
      <rPr>
        <vertAlign val="subscript"/>
        <sz val="8"/>
        <rFont val="Arial"/>
        <family val="2"/>
      </rPr>
      <t xml:space="preserve"> </t>
    </r>
    <r>
      <rPr>
        <vertAlign val="subscript"/>
        <sz val="10"/>
        <rFont val="Arial"/>
        <family val="2"/>
      </rPr>
      <t>LS</t>
    </r>
  </si>
  <si>
    <r>
      <t>Horizontal force on abutment due to roadway surcharge, q</t>
    </r>
    <r>
      <rPr>
        <vertAlign val="subscript"/>
        <sz val="8"/>
        <rFont val="Arial"/>
        <family val="2"/>
      </rPr>
      <t xml:space="preserve"> </t>
    </r>
    <r>
      <rPr>
        <vertAlign val="subscript"/>
        <sz val="10"/>
        <rFont val="Arial"/>
        <family val="2"/>
      </rPr>
      <t>DW</t>
    </r>
  </si>
  <si>
    <r>
      <t>F</t>
    </r>
    <r>
      <rPr>
        <vertAlign val="subscript"/>
        <sz val="10"/>
        <rFont val="Arial"/>
        <family val="2"/>
      </rPr>
      <t>2a_</t>
    </r>
    <r>
      <rPr>
        <vertAlign val="subscript"/>
        <sz val="12"/>
        <rFont val="Arial"/>
        <family val="2"/>
      </rPr>
      <t>q</t>
    </r>
    <r>
      <rPr>
        <vertAlign val="subscript"/>
        <sz val="8"/>
        <rFont val="Arial"/>
        <family val="2"/>
      </rPr>
      <t xml:space="preserve"> </t>
    </r>
    <r>
      <rPr>
        <vertAlign val="subscript"/>
        <sz val="10"/>
        <rFont val="Arial"/>
        <family val="2"/>
      </rPr>
      <t>DW</t>
    </r>
  </si>
  <si>
    <r>
      <t>F</t>
    </r>
    <r>
      <rPr>
        <vertAlign val="subscript"/>
        <sz val="10"/>
        <rFont val="Arial"/>
        <family val="2"/>
      </rPr>
      <t>2a_EH</t>
    </r>
  </si>
  <si>
    <t>REMINDER - MSE Wall design requires check of specified backfill weight ranging from 90pcf to 120pcf per BC-799M.  User is responsible for checking the minimum and maximum values by performing separate design runs.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</si>
</sst>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
    <numFmt numFmtId="167" formatCode="#,##0.0"/>
  </numFmts>
  <fonts count="42">
    <font>
      <sz val="10"/>
      <name val="Arial"/>
    </font>
    <font>
      <sz val="11"/>
      <color theme="1"/>
      <name val="Calibri"/>
      <family val="2"/>
      <scheme val="minor"/>
    </font>
    <font>
      <b/>
      <sz val="10"/>
      <name val="Arial"/>
      <family val="2"/>
    </font>
    <font>
      <b/>
      <u/>
      <sz val="10"/>
      <name val="Arial"/>
      <family val="2"/>
    </font>
    <font>
      <vertAlign val="subscript"/>
      <sz val="10"/>
      <name val="Arial"/>
      <family val="2"/>
    </font>
    <font>
      <sz val="10"/>
      <name val="Symbol"/>
      <family val="1"/>
      <charset val="2"/>
    </font>
    <font>
      <sz val="10"/>
      <name val="aRIEL"/>
    </font>
    <font>
      <vertAlign val="subscript"/>
      <sz val="10"/>
      <name val="Ariel"/>
    </font>
    <font>
      <vertAlign val="subscript"/>
      <sz val="10"/>
      <name val="Symbol"/>
      <family val="1"/>
      <charset val="2"/>
    </font>
    <font>
      <sz val="10"/>
      <name val="Arial"/>
      <family val="2"/>
    </font>
    <font>
      <u/>
      <sz val="10"/>
      <name val="Arial"/>
      <family val="2"/>
    </font>
    <font>
      <vertAlign val="superscript"/>
      <sz val="10"/>
      <name val="Arial"/>
      <family val="2"/>
    </font>
    <font>
      <sz val="10"/>
      <color indexed="10"/>
      <name val="Arial"/>
      <family val="2"/>
    </font>
    <font>
      <u/>
      <sz val="10"/>
      <name val="Symbol"/>
      <family val="1"/>
      <charset val="2"/>
    </font>
    <font>
      <b/>
      <sz val="16"/>
      <name val="Arial"/>
      <family val="2"/>
    </font>
    <font>
      <sz val="14"/>
      <name val="Arial"/>
      <family val="2"/>
    </font>
    <font>
      <i/>
      <sz val="10"/>
      <name val="Arial"/>
      <family val="2"/>
    </font>
    <font>
      <sz val="10"/>
      <name val="Arial"/>
      <family val="2"/>
    </font>
    <font>
      <b/>
      <u/>
      <sz val="14"/>
      <name val="Arial"/>
      <family val="2"/>
    </font>
    <font>
      <sz val="8"/>
      <color indexed="81"/>
      <name val="Tahoma"/>
      <family val="2"/>
    </font>
    <font>
      <b/>
      <sz val="8"/>
      <color indexed="81"/>
      <name val="Tahoma"/>
      <family val="2"/>
    </font>
    <font>
      <sz val="10"/>
      <color rgb="FFFF0000"/>
      <name val="Arial"/>
      <family val="2"/>
    </font>
    <font>
      <u/>
      <sz val="10"/>
      <color rgb="FFFF0000"/>
      <name val="Arial"/>
      <family val="2"/>
    </font>
    <font>
      <b/>
      <u/>
      <sz val="11"/>
      <name val="Arial"/>
      <family val="2"/>
    </font>
    <font>
      <sz val="8"/>
      <name val="Arial"/>
      <family val="2"/>
    </font>
    <font>
      <b/>
      <u/>
      <sz val="10"/>
      <color rgb="FFFF0000"/>
      <name val="Arial"/>
      <family val="2"/>
    </font>
    <font>
      <sz val="9"/>
      <color indexed="81"/>
      <name val="Tahoma"/>
      <family val="2"/>
    </font>
    <font>
      <b/>
      <sz val="9"/>
      <color indexed="81"/>
      <name val="Tahoma"/>
      <family val="2"/>
    </font>
    <font>
      <sz val="10"/>
      <name val="Calibri"/>
      <family val="2"/>
    </font>
    <font>
      <sz val="10"/>
      <color rgb="FFFF3300"/>
      <name val="Arial"/>
      <family val="2"/>
    </font>
    <font>
      <b/>
      <sz val="10"/>
      <color rgb="FFFF0000"/>
      <name val="Arial"/>
      <family val="2"/>
    </font>
    <font>
      <sz val="10"/>
      <name val="Mistral"/>
      <family val="4"/>
    </font>
    <font>
      <vertAlign val="subscript"/>
      <sz val="8"/>
      <name val="Arial"/>
      <family val="2"/>
    </font>
    <font>
      <vertAlign val="subscript"/>
      <sz val="12"/>
      <name val="Symbol"/>
      <family val="1"/>
      <charset val="2"/>
    </font>
    <font>
      <sz val="11"/>
      <name val="Symbol"/>
      <family val="1"/>
      <charset val="2"/>
    </font>
    <font>
      <vertAlign val="subscript"/>
      <sz val="11"/>
      <name val="Arial"/>
      <family val="2"/>
    </font>
    <font>
      <vertAlign val="subscript"/>
      <sz val="11"/>
      <name val="Symbol"/>
      <family val="1"/>
      <charset val="2"/>
    </font>
    <font>
      <vertAlign val="subscript"/>
      <sz val="12"/>
      <name val="Arial"/>
      <family val="2"/>
    </font>
    <font>
      <b/>
      <sz val="14"/>
      <name val="Arial"/>
      <family val="2"/>
    </font>
    <font>
      <sz val="12"/>
      <name val="Arial"/>
      <family val="2"/>
    </font>
    <font>
      <vertAlign val="subscript"/>
      <sz val="10"/>
      <name val="Calibri Light"/>
      <family val="2"/>
    </font>
    <font>
      <sz val="10"/>
      <color rgb="FFFF3399"/>
      <name val="Arial"/>
      <family val="2"/>
    </font>
  </fonts>
  <fills count="9">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CCFFFF"/>
        <bgColor indexed="64"/>
      </patternFill>
    </fill>
    <fill>
      <patternFill patternType="solid">
        <fgColor rgb="FFFFFF99"/>
        <bgColor indexed="64"/>
      </patternFill>
    </fill>
    <fill>
      <patternFill patternType="solid">
        <fgColor rgb="FFFFFF00"/>
        <bgColor indexed="64"/>
      </patternFill>
    </fill>
    <fill>
      <patternFill patternType="solid">
        <fgColor rgb="FFCCFFCC"/>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thin">
        <color indexed="64"/>
      </top>
      <bottom style="double">
        <color indexed="64"/>
      </bottom>
      <diagonal/>
    </border>
  </borders>
  <cellStyleXfs count="1">
    <xf numFmtId="0" fontId="0" fillId="0" borderId="0"/>
  </cellStyleXfs>
  <cellXfs count="686">
    <xf numFmtId="0" fontId="0" fillId="0" borderId="0" xfId="0"/>
    <xf numFmtId="0" fontId="2" fillId="0" borderId="0" xfId="0" applyFont="1"/>
    <xf numFmtId="0" fontId="0" fillId="0" borderId="0" xfId="0" applyAlignment="1">
      <alignment horizontal="center"/>
    </xf>
    <xf numFmtId="0" fontId="0" fillId="0" borderId="0" xfId="0" applyAlignment="1">
      <alignment horizontal="right"/>
    </xf>
    <xf numFmtId="0" fontId="6" fillId="0" borderId="0" xfId="0" applyFont="1" applyAlignment="1">
      <alignment horizontal="right"/>
    </xf>
    <xf numFmtId="0" fontId="3" fillId="0" borderId="0" xfId="0" applyFont="1" applyAlignment="1">
      <alignment horizontal="right"/>
    </xf>
    <xf numFmtId="0" fontId="9" fillId="0" borderId="0" xfId="0" applyFont="1" applyAlignment="1">
      <alignment horizontal="right"/>
    </xf>
    <xf numFmtId="0" fontId="0" fillId="0" borderId="0" xfId="0" applyFill="1" applyAlignment="1">
      <alignment horizontal="center"/>
    </xf>
    <xf numFmtId="0" fontId="3" fillId="0" borderId="0" xfId="0" applyFont="1"/>
    <xf numFmtId="0" fontId="0" fillId="0" borderId="0" xfId="0" applyFill="1"/>
    <xf numFmtId="0" fontId="10" fillId="0" borderId="0" xfId="0" applyFont="1"/>
    <xf numFmtId="0" fontId="0" fillId="0" borderId="0" xfId="0" applyFill="1" applyAlignment="1">
      <alignment horizontal="right"/>
    </xf>
    <xf numFmtId="0" fontId="9" fillId="0" borderId="0" xfId="0" applyFont="1" applyAlignment="1">
      <alignment horizontal="left"/>
    </xf>
    <xf numFmtId="0" fontId="5" fillId="0" borderId="0" xfId="0" applyFont="1"/>
    <xf numFmtId="0" fontId="0" fillId="0" borderId="3" xfId="0" applyBorder="1"/>
    <xf numFmtId="0" fontId="0" fillId="0" borderId="1" xfId="0" applyBorder="1" applyAlignment="1">
      <alignment horizontal="center"/>
    </xf>
    <xf numFmtId="0" fontId="0" fillId="0" borderId="6" xfId="0" applyBorder="1" applyAlignment="1">
      <alignment horizontal="center"/>
    </xf>
    <xf numFmtId="2" fontId="0" fillId="0" borderId="0" xfId="0" applyNumberFormat="1" applyAlignment="1">
      <alignment horizontal="center"/>
    </xf>
    <xf numFmtId="0" fontId="10" fillId="0" borderId="0" xfId="0" applyFont="1" applyAlignment="1">
      <alignment horizontal="center"/>
    </xf>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2" fontId="0" fillId="0" borderId="0" xfId="0" applyNumberFormat="1"/>
    <xf numFmtId="2" fontId="0" fillId="0" borderId="0" xfId="0" applyNumberFormat="1" applyFill="1"/>
    <xf numFmtId="2" fontId="0" fillId="0" borderId="4" xfId="0" applyNumberFormat="1" applyBorder="1" applyAlignment="1">
      <alignment horizontal="center"/>
    </xf>
    <xf numFmtId="2" fontId="0" fillId="0" borderId="1" xfId="0" applyNumberFormat="1" applyBorder="1" applyAlignment="1">
      <alignment horizontal="center"/>
    </xf>
    <xf numFmtId="2" fontId="0" fillId="0" borderId="6" xfId="0" applyNumberFormat="1" applyFill="1" applyBorder="1" applyAlignment="1">
      <alignment horizontal="center"/>
    </xf>
    <xf numFmtId="2" fontId="0" fillId="0" borderId="2" xfId="0" applyNumberFormat="1" applyBorder="1" applyAlignment="1">
      <alignment horizontal="center"/>
    </xf>
    <xf numFmtId="0" fontId="0" fillId="0" borderId="2" xfId="0" applyBorder="1" applyAlignment="1">
      <alignment horizontal="center"/>
    </xf>
    <xf numFmtId="2" fontId="0" fillId="0" borderId="0" xfId="0" applyNumberFormat="1" applyFill="1" applyAlignment="1">
      <alignment horizontal="center"/>
    </xf>
    <xf numFmtId="2" fontId="3" fillId="0" borderId="0" xfId="0" applyNumberFormat="1" applyFont="1" applyAlignment="1">
      <alignment horizontal="center"/>
    </xf>
    <xf numFmtId="2" fontId="3" fillId="2" borderId="0" xfId="0" applyNumberFormat="1" applyFont="1" applyFill="1" applyAlignment="1">
      <alignment horizontal="center"/>
    </xf>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0" fontId="10" fillId="0" borderId="0" xfId="0" applyFont="1" applyAlignment="1">
      <alignment horizontal="left"/>
    </xf>
    <xf numFmtId="0" fontId="13" fillId="0" borderId="0" xfId="0" applyFont="1" applyAlignment="1">
      <alignment horizontal="center"/>
    </xf>
    <xf numFmtId="0" fontId="9" fillId="0" borderId="0" xfId="0" applyFont="1"/>
    <xf numFmtId="0" fontId="9" fillId="0" borderId="0" xfId="0" applyFont="1" applyFill="1" applyAlignment="1">
      <alignment horizontal="right"/>
    </xf>
    <xf numFmtId="2" fontId="9" fillId="0" borderId="0" xfId="0" applyNumberFormat="1" applyFont="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xf numFmtId="0" fontId="0" fillId="0" borderId="0" xfId="0" applyBorder="1"/>
    <xf numFmtId="0" fontId="0" fillId="0" borderId="10" xfId="0" applyBorder="1"/>
    <xf numFmtId="0" fontId="0" fillId="0" borderId="0" xfId="0" applyBorder="1" applyAlignment="1">
      <alignment horizontal="right"/>
    </xf>
    <xf numFmtId="0" fontId="0" fillId="2" borderId="0" xfId="0" applyFill="1" applyBorder="1" applyAlignment="1">
      <alignment horizontal="center"/>
    </xf>
    <xf numFmtId="0" fontId="0" fillId="0" borderId="11" xfId="0" applyBorder="1"/>
    <xf numFmtId="0" fontId="0" fillId="0" borderId="8" xfId="0" applyBorder="1"/>
    <xf numFmtId="0" fontId="0" fillId="0" borderId="12" xfId="0" applyBorder="1"/>
    <xf numFmtId="0" fontId="5" fillId="0" borderId="0" xfId="0" applyFont="1" applyFill="1" applyAlignment="1">
      <alignment horizontal="center"/>
    </xf>
    <xf numFmtId="0" fontId="5" fillId="0" borderId="0" xfId="0" applyFont="1" applyAlignment="1">
      <alignment horizontal="left"/>
    </xf>
    <xf numFmtId="0" fontId="5" fillId="0" borderId="0" xfId="0" applyFont="1" applyBorder="1" applyAlignment="1">
      <alignment horizontal="center"/>
    </xf>
    <xf numFmtId="0" fontId="9" fillId="0" borderId="0" xfId="0" applyFont="1" applyBorder="1" applyAlignment="1">
      <alignment horizontal="center"/>
    </xf>
    <xf numFmtId="0" fontId="9" fillId="0" borderId="14" xfId="0" applyFont="1" applyBorder="1"/>
    <xf numFmtId="0" fontId="9" fillId="0" borderId="11" xfId="0" applyFont="1" applyBorder="1"/>
    <xf numFmtId="0" fontId="9" fillId="0" borderId="9" xfId="0" applyFont="1" applyBorder="1"/>
    <xf numFmtId="2" fontId="9" fillId="0" borderId="9" xfId="0" applyNumberFormat="1" applyFont="1" applyBorder="1" applyAlignment="1">
      <alignment horizontal="center" vertical="center"/>
    </xf>
    <xf numFmtId="0" fontId="0" fillId="0" borderId="3" xfId="0" applyBorder="1" applyAlignment="1">
      <alignment horizontal="center"/>
    </xf>
    <xf numFmtId="2" fontId="9" fillId="0" borderId="0" xfId="0" applyNumberFormat="1" applyFont="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9" xfId="0" applyBorder="1" applyAlignment="1">
      <alignment vertical="center"/>
    </xf>
    <xf numFmtId="0" fontId="0" fillId="0" borderId="0" xfId="0" applyBorder="1" applyAlignment="1">
      <alignment vertical="center"/>
    </xf>
    <xf numFmtId="0" fontId="0" fillId="0" borderId="15" xfId="0" applyBorder="1"/>
    <xf numFmtId="0" fontId="0" fillId="3" borderId="0" xfId="0" applyFill="1"/>
    <xf numFmtId="0" fontId="0" fillId="0" borderId="0" xfId="0" quotePrefix="1"/>
    <xf numFmtId="0" fontId="0" fillId="2" borderId="0" xfId="0" applyFill="1"/>
    <xf numFmtId="0" fontId="2" fillId="0" borderId="0" xfId="0" applyFont="1" applyAlignment="1">
      <alignment horizontal="right"/>
    </xf>
    <xf numFmtId="0" fontId="2" fillId="0" borderId="0" xfId="0" applyFont="1" applyFill="1" applyAlignment="1">
      <alignment horizontal="right"/>
    </xf>
    <xf numFmtId="0" fontId="2" fillId="0" borderId="0" xfId="0" applyFont="1" applyFill="1"/>
    <xf numFmtId="0" fontId="0" fillId="0" borderId="12" xfId="0" applyBorder="1" applyAlignment="1">
      <alignment horizontal="center"/>
    </xf>
    <xf numFmtId="0" fontId="0" fillId="0" borderId="0" xfId="0" applyFill="1" applyBorder="1"/>
    <xf numFmtId="2" fontId="9" fillId="0" borderId="0" xfId="0" applyNumberFormat="1" applyFont="1" applyFill="1" applyBorder="1" applyAlignment="1">
      <alignment horizontal="center"/>
    </xf>
    <xf numFmtId="0" fontId="0" fillId="0" borderId="3" xfId="0" applyFill="1" applyBorder="1" applyAlignment="1">
      <alignment horizontal="center"/>
    </xf>
    <xf numFmtId="0" fontId="10" fillId="0" borderId="0" xfId="0" applyFont="1" applyBorder="1"/>
    <xf numFmtId="0" fontId="9" fillId="0" borderId="0" xfId="0" applyFont="1" applyAlignment="1">
      <alignment vertical="top" wrapText="1"/>
    </xf>
    <xf numFmtId="0" fontId="0" fillId="0" borderId="0" xfId="0" quotePrefix="1" applyFill="1"/>
    <xf numFmtId="0" fontId="12" fillId="0" borderId="0" xfId="0" applyFont="1" applyFill="1"/>
    <xf numFmtId="0" fontId="0" fillId="0" borderId="9" xfId="0" applyFill="1" applyBorder="1" applyAlignment="1">
      <alignment horizontal="center"/>
    </xf>
    <xf numFmtId="0" fontId="0" fillId="0" borderId="11" xfId="0" applyFill="1" applyBorder="1" applyAlignment="1">
      <alignment horizontal="center"/>
    </xf>
    <xf numFmtId="0" fontId="17" fillId="0" borderId="0" xfId="0" applyFont="1" applyAlignment="1">
      <alignment horizontal="center"/>
    </xf>
    <xf numFmtId="2" fontId="0" fillId="0" borderId="4" xfId="0" applyNumberFormat="1" applyFill="1" applyBorder="1" applyAlignment="1">
      <alignment horizontal="center"/>
    </xf>
    <xf numFmtId="0" fontId="2" fillId="0" borderId="0" xfId="0" applyFont="1" applyFill="1" applyBorder="1"/>
    <xf numFmtId="0" fontId="2" fillId="0" borderId="15" xfId="0" applyFont="1" applyBorder="1" applyAlignment="1">
      <alignment horizontal="right"/>
    </xf>
    <xf numFmtId="0" fontId="9" fillId="0" borderId="0" xfId="0" applyFont="1" applyFill="1" applyAlignment="1">
      <alignment horizontal="center"/>
    </xf>
    <xf numFmtId="0" fontId="2" fillId="0" borderId="8" xfId="0" applyFont="1" applyFill="1" applyBorder="1" applyAlignment="1">
      <alignment horizontal="center"/>
    </xf>
    <xf numFmtId="0" fontId="2" fillId="0" borderId="13" xfId="0" applyFont="1" applyFill="1" applyBorder="1" applyAlignment="1">
      <alignment horizontal="center"/>
    </xf>
    <xf numFmtId="14" fontId="2" fillId="0" borderId="8" xfId="0" applyNumberFormat="1" applyFont="1" applyFill="1" applyBorder="1" applyAlignment="1">
      <alignment horizontal="center"/>
    </xf>
    <xf numFmtId="14" fontId="2" fillId="0" borderId="13"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3" borderId="13" xfId="0" applyFont="1" applyFill="1" applyBorder="1" applyAlignment="1" applyProtection="1">
      <alignment horizontal="center"/>
      <protection locked="0"/>
    </xf>
    <xf numFmtId="14" fontId="2" fillId="3" borderId="8" xfId="0" applyNumberFormat="1" applyFont="1" applyFill="1" applyBorder="1" applyAlignment="1" applyProtection="1">
      <alignment horizontal="center"/>
      <protection locked="0"/>
    </xf>
    <xf numFmtId="14" fontId="2" fillId="3" borderId="13" xfId="0" applyNumberFormat="1" applyFont="1" applyFill="1" applyBorder="1" applyAlignment="1" applyProtection="1">
      <alignment horizontal="center"/>
      <protection locked="0"/>
    </xf>
    <xf numFmtId="2" fontId="0" fillId="0" borderId="7" xfId="0" applyNumberFormat="1" applyFill="1" applyBorder="1" applyAlignment="1">
      <alignment horizontal="center"/>
    </xf>
    <xf numFmtId="0" fontId="5" fillId="0" borderId="7" xfId="0" applyFont="1" applyBorder="1" applyAlignment="1">
      <alignment horizontal="center"/>
    </xf>
    <xf numFmtId="0" fontId="5" fillId="0" borderId="1" xfId="0" applyFont="1" applyBorder="1" applyAlignment="1">
      <alignment horizontal="center"/>
    </xf>
    <xf numFmtId="0" fontId="9" fillId="0" borderId="10" xfId="0" applyFont="1" applyBorder="1" applyAlignment="1">
      <alignment horizontal="center"/>
    </xf>
    <xf numFmtId="0" fontId="9" fillId="0" borderId="1" xfId="0" applyFont="1" applyBorder="1" applyAlignment="1">
      <alignment horizontal="center"/>
    </xf>
    <xf numFmtId="0" fontId="0" fillId="4" borderId="0" xfId="0" applyFill="1" applyBorder="1" applyAlignment="1">
      <alignment horizontal="center"/>
    </xf>
    <xf numFmtId="0" fontId="21" fillId="0" borderId="0" xfId="0" applyFont="1"/>
    <xf numFmtId="0" fontId="21" fillId="0" borderId="0" xfId="0" applyFont="1" applyAlignment="1">
      <alignment horizontal="right"/>
    </xf>
    <xf numFmtId="0" fontId="0" fillId="0" borderId="0" xfId="0" applyAlignment="1">
      <alignment horizontal="center"/>
    </xf>
    <xf numFmtId="0" fontId="21" fillId="0" borderId="0" xfId="0" applyFont="1" applyFill="1"/>
    <xf numFmtId="0" fontId="21" fillId="0" borderId="0" xfId="0" applyFont="1" applyAlignment="1">
      <alignment horizontal="left"/>
    </xf>
    <xf numFmtId="0" fontId="5" fillId="0" borderId="0" xfId="0" applyFont="1" applyFill="1" applyAlignment="1">
      <alignment horizontal="left"/>
    </xf>
    <xf numFmtId="0" fontId="0" fillId="0" borderId="12" xfId="0" applyBorder="1" applyAlignment="1">
      <alignment horizontal="center"/>
    </xf>
    <xf numFmtId="0" fontId="0" fillId="0" borderId="0" xfId="0" applyAlignment="1">
      <alignment horizontal="center"/>
    </xf>
    <xf numFmtId="0" fontId="0" fillId="0" borderId="8" xfId="0" applyBorder="1" applyAlignment="1">
      <alignment horizontal="right"/>
    </xf>
    <xf numFmtId="2" fontId="21" fillId="0" borderId="0" xfId="0" applyNumberFormat="1" applyFont="1" applyAlignment="1">
      <alignment horizontal="center"/>
    </xf>
    <xf numFmtId="164" fontId="0" fillId="3" borderId="6" xfId="0" applyNumberFormat="1" applyFill="1" applyBorder="1" applyAlignment="1" applyProtection="1">
      <alignment horizontal="center"/>
      <protection locked="0"/>
    </xf>
    <xf numFmtId="0" fontId="22" fillId="0" borderId="0" xfId="0" applyFont="1" applyBorder="1"/>
    <xf numFmtId="0" fontId="0" fillId="0" borderId="0" xfId="0" applyAlignment="1">
      <alignment horizontal="center"/>
    </xf>
    <xf numFmtId="0" fontId="21" fillId="0" borderId="0" xfId="0" quotePrefix="1" applyFont="1" applyAlignment="1">
      <alignment vertical="top" textRotation="180"/>
    </xf>
    <xf numFmtId="0" fontId="21" fillId="0" borderId="0" xfId="0" applyFont="1" applyAlignment="1">
      <alignment vertical="top" textRotation="180"/>
    </xf>
    <xf numFmtId="0" fontId="9" fillId="0" borderId="0" xfId="0" quotePrefix="1" applyFont="1" applyAlignment="1">
      <alignment horizontal="center"/>
    </xf>
    <xf numFmtId="0" fontId="0" fillId="3" borderId="6" xfId="0" applyNumberFormat="1" applyFill="1" applyBorder="1" applyAlignment="1" applyProtection="1">
      <alignment horizontal="center"/>
      <protection locked="0"/>
    </xf>
    <xf numFmtId="0" fontId="9" fillId="3" borderId="6" xfId="0" applyNumberFormat="1" applyFont="1" applyFill="1" applyBorder="1" applyAlignment="1" applyProtection="1">
      <alignment horizontal="center"/>
      <protection locked="0"/>
    </xf>
    <xf numFmtId="0" fontId="23" fillId="0" borderId="0" xfId="0" applyFont="1"/>
    <xf numFmtId="0" fontId="10" fillId="0" borderId="0" xfId="0" applyFont="1" applyAlignment="1">
      <alignment horizontal="right"/>
    </xf>
    <xf numFmtId="0" fontId="9" fillId="5" borderId="6" xfId="0" applyNumberFormat="1" applyFont="1" applyFill="1" applyBorder="1" applyAlignment="1" applyProtection="1">
      <alignment horizontal="center"/>
      <protection locked="0"/>
    </xf>
    <xf numFmtId="0" fontId="0" fillId="5" borderId="6" xfId="0" applyNumberFormat="1" applyFill="1" applyBorder="1" applyAlignment="1" applyProtection="1">
      <alignment horizontal="center"/>
      <protection locked="0"/>
    </xf>
    <xf numFmtId="0" fontId="0" fillId="3" borderId="2" xfId="0" applyNumberFormat="1" applyFill="1" applyBorder="1" applyAlignment="1" applyProtection="1">
      <alignment horizontal="center"/>
      <protection locked="0"/>
    </xf>
    <xf numFmtId="0" fontId="0" fillId="0" borderId="2" xfId="0" applyNumberFormat="1" applyBorder="1" applyAlignment="1">
      <alignment horizontal="center"/>
    </xf>
    <xf numFmtId="0" fontId="0" fillId="0" borderId="6" xfId="0" applyNumberFormat="1" applyBorder="1" applyAlignment="1">
      <alignment horizontal="center"/>
    </xf>
    <xf numFmtId="0" fontId="3" fillId="0" borderId="0" xfId="0" applyFont="1" applyAlignment="1"/>
    <xf numFmtId="2" fontId="0" fillId="5" borderId="6" xfId="0" applyNumberFormat="1" applyFill="1" applyBorder="1" applyAlignment="1" applyProtection="1">
      <alignment horizontal="center"/>
      <protection locked="0"/>
    </xf>
    <xf numFmtId="0" fontId="9" fillId="0" borderId="0" xfId="0" applyFont="1" applyAlignment="1"/>
    <xf numFmtId="0" fontId="9" fillId="0" borderId="8" xfId="0" applyFont="1" applyBorder="1" applyAlignment="1">
      <alignment horizontal="center"/>
    </xf>
    <xf numFmtId="0" fontId="9" fillId="0" borderId="2" xfId="0" applyFont="1" applyBorder="1" applyAlignment="1">
      <alignment horizontal="center"/>
    </xf>
    <xf numFmtId="0" fontId="9" fillId="0" borderId="2" xfId="0" applyNumberFormat="1" applyFont="1" applyBorder="1" applyAlignment="1">
      <alignment horizontal="center"/>
    </xf>
    <xf numFmtId="0" fontId="9" fillId="0" borderId="6" xfId="0" applyNumberFormat="1"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3" xfId="0" applyFont="1" applyBorder="1" applyAlignment="1">
      <alignment horizontal="center"/>
    </xf>
    <xf numFmtId="2" fontId="0" fillId="4" borderId="2" xfId="0" applyNumberFormat="1" applyFill="1" applyBorder="1" applyAlignment="1">
      <alignment horizontal="center"/>
    </xf>
    <xf numFmtId="2" fontId="9" fillId="0" borderId="0" xfId="0" applyNumberFormat="1" applyFont="1"/>
    <xf numFmtId="2" fontId="9" fillId="0" borderId="7" xfId="0" applyNumberFormat="1" applyFont="1" applyFill="1" applyBorder="1" applyAlignment="1">
      <alignment horizontal="center"/>
    </xf>
    <xf numFmtId="2" fontId="0" fillId="6" borderId="0" xfId="0" applyNumberFormat="1" applyFill="1" applyAlignment="1">
      <alignment horizontal="center"/>
    </xf>
    <xf numFmtId="2" fontId="9" fillId="6" borderId="0" xfId="0" applyNumberFormat="1" applyFont="1" applyFill="1" applyAlignment="1">
      <alignment horizontal="center"/>
    </xf>
    <xf numFmtId="0" fontId="9" fillId="0" borderId="0" xfId="0" applyFont="1" applyFill="1"/>
    <xf numFmtId="2" fontId="9" fillId="0" borderId="0" xfId="0" applyNumberFormat="1" applyFont="1" applyFill="1" applyAlignment="1">
      <alignment horizontal="center"/>
    </xf>
    <xf numFmtId="0" fontId="9" fillId="0" borderId="0" xfId="0" applyFont="1" applyFill="1" applyAlignment="1">
      <alignment horizontal="left"/>
    </xf>
    <xf numFmtId="2" fontId="9" fillId="0" borderId="0" xfId="0" applyNumberFormat="1" applyFont="1" applyAlignment="1">
      <alignment horizontal="center" wrapText="1"/>
    </xf>
    <xf numFmtId="0" fontId="9" fillId="0" borderId="0" xfId="0" applyFont="1" applyAlignment="1">
      <alignment horizontal="center" vertical="center"/>
    </xf>
    <xf numFmtId="0" fontId="25" fillId="0" borderId="0" xfId="0" applyFont="1"/>
    <xf numFmtId="0" fontId="9" fillId="0" borderId="0" xfId="0" applyFont="1" applyAlignment="1">
      <alignment horizontal="center"/>
    </xf>
    <xf numFmtId="2" fontId="0" fillId="3" borderId="6" xfId="0" applyNumberFormat="1" applyFill="1" applyBorder="1" applyAlignment="1" applyProtection="1">
      <alignment horizontal="center"/>
      <protection locked="0"/>
    </xf>
    <xf numFmtId="0" fontId="9" fillId="0" borderId="0" xfId="0" applyFont="1" applyFill="1" applyAlignment="1">
      <alignment horizontal="right"/>
    </xf>
    <xf numFmtId="0" fontId="5" fillId="0" borderId="0" xfId="0" applyFont="1" applyFill="1" applyBorder="1"/>
    <xf numFmtId="0" fontId="9" fillId="0" borderId="8" xfId="0" applyFont="1" applyBorder="1" applyAlignment="1">
      <alignment horizontal="left"/>
    </xf>
    <xf numFmtId="0" fontId="9" fillId="0" borderId="0" xfId="0" quotePrefix="1" applyFont="1" applyFill="1" applyAlignment="1">
      <alignment horizontal="right"/>
    </xf>
    <xf numFmtId="0" fontId="10" fillId="0" borderId="0" xfId="0" applyFont="1" applyFill="1" applyAlignment="1">
      <alignment horizontal="left"/>
    </xf>
    <xf numFmtId="0" fontId="21" fillId="0" borderId="0" xfId="0" applyFont="1" applyAlignment="1"/>
    <xf numFmtId="0" fontId="21" fillId="0" borderId="8" xfId="0" applyFont="1" applyBorder="1"/>
    <xf numFmtId="0" fontId="9" fillId="0" borderId="0" xfId="0" applyFont="1" applyFill="1" applyAlignment="1">
      <alignment horizontal="right"/>
    </xf>
    <xf numFmtId="0" fontId="9" fillId="0" borderId="0" xfId="0" applyFont="1" applyAlignment="1">
      <alignment horizontal="center"/>
    </xf>
    <xf numFmtId="0" fontId="9" fillId="0" borderId="0" xfId="0" applyFont="1" applyFill="1" applyAlignment="1">
      <alignment horizontal="right"/>
    </xf>
    <xf numFmtId="2" fontId="21" fillId="0" borderId="0" xfId="0" applyNumberFormat="1" applyFont="1" applyFill="1" applyAlignment="1">
      <alignment horizontal="center"/>
    </xf>
    <xf numFmtId="0" fontId="3" fillId="0" borderId="0" xfId="0" applyFont="1" applyFill="1"/>
    <xf numFmtId="0" fontId="30" fillId="0" borderId="0" xfId="0" applyFont="1"/>
    <xf numFmtId="0" fontId="21" fillId="0" borderId="0" xfId="0" quotePrefix="1" applyFont="1" applyAlignment="1"/>
    <xf numFmtId="0" fontId="31" fillId="0" borderId="0" xfId="0" applyFont="1"/>
    <xf numFmtId="2" fontId="21" fillId="0" borderId="0" xfId="0" applyNumberFormat="1" applyFont="1" applyFill="1" applyAlignment="1">
      <alignment horizontal="left"/>
    </xf>
    <xf numFmtId="0" fontId="9" fillId="0" borderId="0" xfId="0" applyFont="1" applyAlignment="1">
      <alignment horizontal="center"/>
    </xf>
    <xf numFmtId="0" fontId="21" fillId="0" borderId="0" xfId="0" quotePrefix="1" applyFont="1"/>
    <xf numFmtId="0" fontId="9" fillId="0" borderId="15" xfId="0" applyFont="1" applyBorder="1"/>
    <xf numFmtId="0" fontId="9" fillId="0" borderId="5" xfId="0" applyFont="1" applyBorder="1" applyAlignment="1">
      <alignment horizontal="left"/>
    </xf>
    <xf numFmtId="0" fontId="9" fillId="0" borderId="12" xfId="0" applyFont="1" applyBorder="1" applyAlignment="1">
      <alignment horizontal="left"/>
    </xf>
    <xf numFmtId="0" fontId="9" fillId="0" borderId="12" xfId="0" applyFont="1" applyBorder="1"/>
    <xf numFmtId="0" fontId="9" fillId="0" borderId="5" xfId="0" applyFont="1" applyBorder="1"/>
    <xf numFmtId="2" fontId="9" fillId="6" borderId="0" xfId="0" applyNumberFormat="1" applyFont="1" applyFill="1" applyBorder="1" applyAlignment="1">
      <alignment horizontal="center"/>
    </xf>
    <xf numFmtId="2" fontId="9" fillId="0" borderId="0" xfId="0" applyNumberFormat="1" applyFont="1" applyFill="1"/>
    <xf numFmtId="2" fontId="9" fillId="0" borderId="0" xfId="0" applyNumberFormat="1" applyFont="1" applyFill="1" applyAlignment="1">
      <alignment vertical="center"/>
    </xf>
    <xf numFmtId="0" fontId="5" fillId="0" borderId="0" xfId="0" applyFont="1" applyAlignment="1"/>
    <xf numFmtId="0" fontId="9" fillId="0" borderId="0" xfId="0" applyFont="1" applyFill="1" applyAlignment="1">
      <alignment horizontal="right"/>
    </xf>
    <xf numFmtId="0" fontId="0" fillId="0" borderId="8" xfId="0" applyBorder="1" applyAlignment="1">
      <alignment horizontal="center"/>
    </xf>
    <xf numFmtId="0" fontId="9" fillId="0" borderId="0" xfId="0" applyFont="1" applyAlignment="1">
      <alignment horizontal="center"/>
    </xf>
    <xf numFmtId="0" fontId="9" fillId="0" borderId="0" xfId="0" applyFont="1" applyFill="1" applyAlignment="1">
      <alignment horizontal="right"/>
    </xf>
    <xf numFmtId="0" fontId="0" fillId="0" borderId="0" xfId="0" applyAlignment="1">
      <alignment horizontal="center"/>
    </xf>
    <xf numFmtId="0" fontId="9" fillId="0" borderId="0" xfId="0" applyFont="1" applyFill="1" applyBorder="1"/>
    <xf numFmtId="0" fontId="5" fillId="0" borderId="9" xfId="0" applyFont="1" applyBorder="1" applyAlignment="1">
      <alignment horizontal="center"/>
    </xf>
    <xf numFmtId="0" fontId="9" fillId="0" borderId="14" xfId="0" applyFont="1" applyBorder="1" applyAlignment="1">
      <alignment horizontal="center"/>
    </xf>
    <xf numFmtId="0" fontId="5" fillId="0" borderId="0" xfId="0" applyFont="1" applyFill="1"/>
    <xf numFmtId="0" fontId="0" fillId="0" borderId="0" xfId="0" applyAlignment="1"/>
    <xf numFmtId="0" fontId="10" fillId="0" borderId="0" xfId="0" applyFont="1" applyAlignment="1"/>
    <xf numFmtId="0" fontId="9" fillId="0" borderId="0" xfId="0" applyFont="1" applyAlignment="1">
      <alignment horizontal="center"/>
    </xf>
    <xf numFmtId="0" fontId="9" fillId="0" borderId="0" xfId="0" applyFont="1" applyAlignment="1">
      <alignment horizontal="center"/>
    </xf>
    <xf numFmtId="0" fontId="9" fillId="0" borderId="0" xfId="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9" fillId="0" borderId="9" xfId="0" applyFont="1" applyBorder="1" applyAlignment="1">
      <alignment horizontal="center"/>
    </xf>
    <xf numFmtId="0" fontId="10" fillId="0" borderId="9" xfId="0" applyFont="1" applyBorder="1"/>
    <xf numFmtId="0" fontId="10" fillId="0" borderId="0" xfId="0" applyFont="1" applyBorder="1" applyAlignment="1"/>
    <xf numFmtId="0" fontId="9" fillId="0" borderId="0" xfId="0" applyFont="1" applyAlignment="1">
      <alignment horizontal="center"/>
    </xf>
    <xf numFmtId="0" fontId="0" fillId="0" borderId="0" xfId="0" applyAlignment="1">
      <alignment horizontal="center"/>
    </xf>
    <xf numFmtId="0" fontId="9" fillId="0" borderId="2" xfId="0" applyFont="1" applyBorder="1" applyAlignment="1">
      <alignment horizontal="center"/>
    </xf>
    <xf numFmtId="0" fontId="9" fillId="0" borderId="0" xfId="0" applyFont="1"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9" fillId="0" borderId="7" xfId="0" applyFont="1" applyBorder="1" applyAlignment="1">
      <alignment horizontal="center"/>
    </xf>
    <xf numFmtId="0" fontId="0" fillId="0" borderId="0" xfId="0" applyBorder="1" applyAlignment="1">
      <alignment horizontal="center"/>
    </xf>
    <xf numFmtId="0" fontId="9" fillId="0" borderId="0" xfId="0" applyFont="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10" fillId="0" borderId="0" xfId="0" applyFont="1" applyBorder="1" applyAlignment="1">
      <alignment horizontal="center"/>
    </xf>
    <xf numFmtId="0" fontId="9" fillId="0" borderId="2" xfId="0" applyFont="1" applyBorder="1" applyAlignment="1">
      <alignment horizontal="center"/>
    </xf>
    <xf numFmtId="2" fontId="0" fillId="6" borderId="0" xfId="0" applyNumberFormat="1" applyFill="1" applyBorder="1" applyAlignment="1">
      <alignment horizontal="center"/>
    </xf>
    <xf numFmtId="0" fontId="21" fillId="0" borderId="0" xfId="0" applyFont="1" applyFill="1" applyAlignment="1"/>
    <xf numFmtId="0" fontId="9" fillId="0" borderId="0" xfId="0" applyFont="1" applyAlignment="1"/>
    <xf numFmtId="0" fontId="24" fillId="0" borderId="0" xfId="0" applyFont="1" applyAlignment="1">
      <alignment horizontal="center"/>
    </xf>
    <xf numFmtId="0" fontId="10" fillId="0" borderId="9" xfId="0" applyFont="1" applyBorder="1" applyAlignment="1">
      <alignment horizontal="left"/>
    </xf>
    <xf numFmtId="0" fontId="9" fillId="0" borderId="10" xfId="0" applyFont="1" applyFill="1" applyBorder="1" applyAlignment="1">
      <alignment horizontal="center"/>
    </xf>
    <xf numFmtId="0" fontId="9" fillId="0" borderId="0" xfId="0" applyFont="1" applyFill="1" applyBorder="1" applyAlignment="1">
      <alignment horizontal="center"/>
    </xf>
    <xf numFmtId="0" fontId="9" fillId="0" borderId="10" xfId="0" applyFont="1" applyBorder="1" applyAlignment="1">
      <alignment horizontal="center"/>
    </xf>
    <xf numFmtId="0" fontId="29" fillId="0" borderId="0" xfId="0" applyFont="1"/>
    <xf numFmtId="0" fontId="10" fillId="0" borderId="0" xfId="0" applyFont="1" applyFill="1" applyAlignment="1"/>
    <xf numFmtId="0" fontId="21" fillId="0" borderId="0" xfId="0" applyFont="1" applyAlignment="1">
      <alignment horizontal="center"/>
    </xf>
    <xf numFmtId="0" fontId="21" fillId="0" borderId="0" xfId="0" applyFont="1" applyBorder="1" applyAlignment="1"/>
    <xf numFmtId="0" fontId="24" fillId="0" borderId="2" xfId="0" applyFont="1" applyBorder="1" applyAlignment="1">
      <alignment horizontal="center"/>
    </xf>
    <xf numFmtId="0" fontId="9" fillId="0" borderId="9" xfId="0" applyFont="1" applyFill="1" applyBorder="1" applyAlignment="1">
      <alignment horizontal="center"/>
    </xf>
    <xf numFmtId="0" fontId="9" fillId="0" borderId="9" xfId="0" applyFont="1" applyBorder="1" applyAlignment="1"/>
    <xf numFmtId="0" fontId="9" fillId="0" borderId="0" xfId="0" applyFont="1" applyBorder="1" applyAlignment="1"/>
    <xf numFmtId="0" fontId="24" fillId="0" borderId="9" xfId="0" applyFont="1" applyBorder="1" applyAlignment="1">
      <alignment horizontal="center"/>
    </xf>
    <xf numFmtId="0" fontId="10" fillId="0" borderId="9" xfId="0" applyFont="1" applyBorder="1" applyAlignment="1"/>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9" fillId="0" borderId="8" xfId="0" applyFont="1" applyBorder="1" applyAlignment="1">
      <alignment horizontal="center"/>
    </xf>
    <xf numFmtId="0" fontId="0" fillId="0" borderId="0" xfId="0" applyBorder="1" applyAlignment="1">
      <alignment horizontal="center"/>
    </xf>
    <xf numFmtId="0" fontId="9" fillId="0" borderId="7" xfId="0" applyFont="1" applyBorder="1" applyAlignment="1">
      <alignment horizontal="center"/>
    </xf>
    <xf numFmtId="0" fontId="0" fillId="0" borderId="0" xfId="0" applyAlignment="1">
      <alignment horizontal="center"/>
    </xf>
    <xf numFmtId="0" fontId="10" fillId="0" borderId="0" xfId="0" applyFont="1"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7" xfId="0" applyBorder="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9" fillId="0" borderId="0" xfId="0" applyFont="1" applyAlignment="1">
      <alignment horizontal="center"/>
    </xf>
    <xf numFmtId="0" fontId="5" fillId="0" borderId="0" xfId="0" applyFont="1" applyBorder="1" applyAlignment="1">
      <alignment horizontal="center"/>
    </xf>
    <xf numFmtId="0" fontId="9" fillId="0" borderId="4" xfId="0" applyFont="1" applyBorder="1" applyAlignment="1">
      <alignment horizontal="left"/>
    </xf>
    <xf numFmtId="0" fontId="9" fillId="0" borderId="5" xfId="0" applyFont="1" applyBorder="1" applyAlignment="1">
      <alignment horizontal="left" vertical="center"/>
    </xf>
    <xf numFmtId="0" fontId="9" fillId="0" borderId="15" xfId="0" applyFont="1" applyBorder="1" applyAlignment="1">
      <alignment horizontal="left"/>
    </xf>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0" fillId="0" borderId="0" xfId="0" applyBorder="1" applyAlignment="1">
      <alignment horizontal="center"/>
    </xf>
    <xf numFmtId="0" fontId="9" fillId="0" borderId="7" xfId="0" applyFont="1" applyBorder="1" applyAlignment="1">
      <alignment horizontal="center"/>
    </xf>
    <xf numFmtId="0" fontId="0" fillId="0" borderId="0" xfId="0"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7" xfId="0" applyBorder="1" applyAlignment="1">
      <alignment horizontal="center"/>
    </xf>
    <xf numFmtId="0" fontId="9" fillId="0" borderId="9" xfId="0" applyFont="1" applyBorder="1" applyAlignment="1">
      <alignment horizontal="center"/>
    </xf>
    <xf numFmtId="0" fontId="0" fillId="0" borderId="7" xfId="0" applyBorder="1" applyAlignment="1"/>
    <xf numFmtId="0" fontId="0" fillId="0" borderId="4" xfId="0" applyBorder="1" applyAlignment="1"/>
    <xf numFmtId="0" fontId="5" fillId="0" borderId="9" xfId="0" applyFont="1" applyBorder="1" applyAlignment="1">
      <alignment horizontal="center" wrapText="1"/>
    </xf>
    <xf numFmtId="0" fontId="24" fillId="0" borderId="0" xfId="0" applyFont="1" applyAlignment="1">
      <alignment horizontal="center" wrapText="1"/>
    </xf>
    <xf numFmtId="0" fontId="9" fillId="0" borderId="0" xfId="0" applyFont="1" applyAlignment="1">
      <alignment horizontal="center" wrapText="1"/>
    </xf>
    <xf numFmtId="0" fontId="9" fillId="0" borderId="0" xfId="0" quotePrefix="1" applyFont="1"/>
    <xf numFmtId="1" fontId="0" fillId="0" borderId="0" xfId="0" applyNumberFormat="1"/>
    <xf numFmtId="1" fontId="0" fillId="6" borderId="0" xfId="0" applyNumberFormat="1" applyFill="1" applyAlignment="1">
      <alignment horizontal="center"/>
    </xf>
    <xf numFmtId="0" fontId="9" fillId="0" borderId="4" xfId="0" applyFont="1" applyBorder="1"/>
    <xf numFmtId="1" fontId="0" fillId="0" borderId="0" xfId="0" applyNumberFormat="1" applyFill="1" applyAlignment="1">
      <alignment horizontal="center"/>
    </xf>
    <xf numFmtId="0" fontId="21" fillId="0" borderId="13" xfId="0" applyFont="1" applyBorder="1" applyAlignment="1">
      <alignment horizontal="left"/>
    </xf>
    <xf numFmtId="2" fontId="0" fillId="6" borderId="9" xfId="0" applyNumberFormat="1" applyFill="1" applyBorder="1" applyAlignment="1">
      <alignment horizontal="center"/>
    </xf>
    <xf numFmtId="0" fontId="9" fillId="0" borderId="0" xfId="0" applyFont="1" applyBorder="1"/>
    <xf numFmtId="2" fontId="30" fillId="6" borderId="6" xfId="0" applyNumberFormat="1" applyFont="1" applyFill="1" applyBorder="1" applyAlignment="1">
      <alignment horizontal="center"/>
    </xf>
    <xf numFmtId="0" fontId="0" fillId="0" borderId="0" xfId="0" applyBorder="1" applyAlignment="1"/>
    <xf numFmtId="2" fontId="17" fillId="6" borderId="0" xfId="0" applyNumberFormat="1" applyFont="1" applyFill="1" applyAlignment="1">
      <alignment horizontal="center"/>
    </xf>
    <xf numFmtId="0" fontId="21" fillId="0" borderId="0" xfId="0" applyFont="1" applyBorder="1" applyAlignment="1">
      <alignment horizontal="center"/>
    </xf>
    <xf numFmtId="1" fontId="21" fillId="0" borderId="0" xfId="0" applyNumberFormat="1" applyFont="1" applyAlignment="1">
      <alignment horizontal="center"/>
    </xf>
    <xf numFmtId="0" fontId="2" fillId="0" borderId="13" xfId="0" applyFont="1" applyBorder="1" applyAlignment="1">
      <alignment horizontal="center"/>
    </xf>
    <xf numFmtId="0" fontId="9" fillId="0" borderId="0" xfId="0" applyFont="1" applyFill="1" applyAlignment="1">
      <alignment horizontal="right"/>
    </xf>
    <xf numFmtId="0" fontId="9" fillId="0" borderId="6" xfId="0" applyFont="1" applyBorder="1" applyAlignment="1">
      <alignment horizontal="center"/>
    </xf>
    <xf numFmtId="0" fontId="9" fillId="0" borderId="0" xfId="0" applyFont="1" applyAlignment="1">
      <alignment horizontal="center"/>
    </xf>
    <xf numFmtId="0" fontId="9" fillId="0" borderId="0" xfId="0" applyFont="1"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9" fillId="0" borderId="5" xfId="0" applyFont="1" applyBorder="1" applyAlignment="1">
      <alignment horizontal="center"/>
    </xf>
    <xf numFmtId="0" fontId="0" fillId="0" borderId="15" xfId="0" applyBorder="1" applyAlignment="1">
      <alignment horizontal="center"/>
    </xf>
    <xf numFmtId="0" fontId="0" fillId="0" borderId="5" xfId="0" applyBorder="1" applyAlignment="1">
      <alignment horizontal="center"/>
    </xf>
    <xf numFmtId="2" fontId="0" fillId="0" borderId="15" xfId="0" applyNumberFormat="1" applyBorder="1" applyAlignment="1">
      <alignment horizontal="center"/>
    </xf>
    <xf numFmtId="0" fontId="0" fillId="0" borderId="0" xfId="0" applyAlignment="1">
      <alignment horizontal="center"/>
    </xf>
    <xf numFmtId="0" fontId="9" fillId="0" borderId="1" xfId="0" applyFont="1" applyBorder="1" applyAlignment="1">
      <alignment horizontal="center"/>
    </xf>
    <xf numFmtId="2" fontId="0" fillId="0" borderId="15" xfId="0" applyNumberFormat="1" applyFill="1" applyBorder="1" applyAlignment="1">
      <alignment horizontal="center"/>
    </xf>
    <xf numFmtId="2" fontId="9" fillId="0" borderId="15" xfId="0" applyNumberFormat="1" applyFont="1" applyBorder="1" applyAlignment="1">
      <alignment horizontal="center"/>
    </xf>
    <xf numFmtId="0" fontId="9" fillId="0" borderId="0" xfId="0" applyFont="1" applyFill="1" applyAlignment="1">
      <alignment horizontal="right"/>
    </xf>
    <xf numFmtId="164" fontId="9" fillId="4" borderId="0" xfId="0" applyNumberFormat="1" applyFont="1" applyFill="1" applyAlignment="1">
      <alignment horizontal="center"/>
    </xf>
    <xf numFmtId="2" fontId="9" fillId="4" borderId="0" xfId="0" applyNumberFormat="1" applyFont="1" applyFill="1" applyAlignment="1">
      <alignment horizontal="center"/>
    </xf>
    <xf numFmtId="164" fontId="2" fillId="4" borderId="0" xfId="0" applyNumberFormat="1" applyFont="1" applyFill="1" applyAlignment="1">
      <alignment horizontal="center"/>
    </xf>
    <xf numFmtId="2" fontId="2" fillId="4" borderId="0" xfId="0" applyNumberFormat="1" applyFont="1" applyFill="1" applyAlignment="1">
      <alignment horizontal="center"/>
    </xf>
    <xf numFmtId="2" fontId="0" fillId="4" borderId="0" xfId="0" applyNumberFormat="1" applyFill="1" applyAlignment="1">
      <alignment horizontal="center"/>
    </xf>
    <xf numFmtId="166" fontId="2" fillId="4" borderId="0" xfId="0" applyNumberFormat="1" applyFont="1" applyFill="1" applyAlignment="1">
      <alignment horizontal="center"/>
    </xf>
    <xf numFmtId="164" fontId="0" fillId="4" borderId="0" xfId="0" applyNumberFormat="1" applyFill="1" applyAlignment="1">
      <alignment horizontal="center"/>
    </xf>
    <xf numFmtId="0" fontId="0" fillId="0" borderId="0" xfId="0" applyFill="1" applyAlignment="1">
      <alignment vertical="center"/>
    </xf>
    <xf numFmtId="0" fontId="0" fillId="0" borderId="0" xfId="0" applyFill="1" applyAlignment="1">
      <alignment vertical="top" wrapText="1"/>
    </xf>
    <xf numFmtId="0" fontId="9" fillId="0" borderId="0" xfId="0" quotePrefix="1" applyFont="1" applyFill="1" applyAlignment="1">
      <alignment horizontal="center" vertical="center"/>
    </xf>
    <xf numFmtId="164" fontId="0" fillId="4" borderId="0" xfId="0" applyNumberFormat="1" applyFill="1" applyAlignment="1">
      <alignment horizontal="center" vertical="center"/>
    </xf>
    <xf numFmtId="0" fontId="9" fillId="0" borderId="0" xfId="0" applyFont="1" applyAlignment="1">
      <alignment vertical="center"/>
    </xf>
    <xf numFmtId="0" fontId="10" fillId="0" borderId="0" xfId="0" applyFont="1" applyAlignment="1">
      <alignment vertical="center"/>
    </xf>
    <xf numFmtId="2" fontId="9" fillId="4" borderId="0" xfId="0" quotePrefix="1" applyNumberFormat="1" applyFont="1" applyFill="1" applyAlignment="1">
      <alignment horizontal="center" vertical="center"/>
    </xf>
    <xf numFmtId="2" fontId="9" fillId="4" borderId="0" xfId="0" quotePrefix="1" applyNumberFormat="1" applyFont="1" applyFill="1" applyAlignment="1">
      <alignment horizontal="center"/>
    </xf>
    <xf numFmtId="0" fontId="0" fillId="0" borderId="1" xfId="0" applyFill="1" applyBorder="1"/>
    <xf numFmtId="0" fontId="0" fillId="0" borderId="2" xfId="0" applyFill="1" applyBorder="1"/>
    <xf numFmtId="0" fontId="5" fillId="0" borderId="6" xfId="0" applyFont="1" applyFill="1" applyBorder="1"/>
    <xf numFmtId="2" fontId="9" fillId="0" borderId="6" xfId="0" applyNumberFormat="1" applyFont="1" applyFill="1" applyBorder="1" applyAlignment="1">
      <alignment horizontal="center"/>
    </xf>
    <xf numFmtId="2" fontId="0" fillId="4" borderId="6" xfId="0" applyNumberFormat="1" applyFill="1" applyBorder="1" applyAlignment="1">
      <alignment horizontal="center"/>
    </xf>
    <xf numFmtId="0" fontId="9" fillId="0" borderId="9" xfId="0" applyFont="1" applyBorder="1" applyAlignment="1">
      <alignment horizontal="left"/>
    </xf>
    <xf numFmtId="0" fontId="9" fillId="0" borderId="11" xfId="0" applyFont="1" applyBorder="1" applyAlignment="1">
      <alignment horizontal="left"/>
    </xf>
    <xf numFmtId="0" fontId="9" fillId="0" borderId="14" xfId="0" applyFont="1" applyBorder="1" applyAlignment="1">
      <alignment horizontal="left"/>
    </xf>
    <xf numFmtId="0" fontId="0" fillId="0" borderId="13" xfId="0" applyBorder="1" applyAlignment="1">
      <alignment horizontal="center"/>
    </xf>
    <xf numFmtId="0" fontId="0" fillId="0" borderId="16" xfId="0" applyBorder="1" applyAlignment="1">
      <alignment horizontal="center"/>
    </xf>
    <xf numFmtId="0" fontId="9" fillId="0" borderId="21" xfId="0" applyFont="1" applyBorder="1"/>
    <xf numFmtId="0" fontId="9" fillId="0" borderId="22" xfId="0" applyFont="1" applyBorder="1" applyAlignment="1">
      <alignment horizontal="left"/>
    </xf>
    <xf numFmtId="0" fontId="9" fillId="0" borderId="24" xfId="0" applyFont="1" applyBorder="1"/>
    <xf numFmtId="2" fontId="0" fillId="0" borderId="13" xfId="0" applyNumberFormat="1" applyBorder="1" applyAlignment="1">
      <alignment horizontal="center"/>
    </xf>
    <xf numFmtId="2" fontId="0" fillId="0" borderId="16" xfId="0" applyNumberFormat="1" applyBorder="1" applyAlignment="1">
      <alignment horizontal="center"/>
    </xf>
    <xf numFmtId="0" fontId="0" fillId="0" borderId="17" xfId="0" applyBorder="1" applyAlignment="1">
      <alignment horizontal="center"/>
    </xf>
    <xf numFmtId="2" fontId="0" fillId="0" borderId="7" xfId="0" applyNumberFormat="1" applyBorder="1" applyAlignment="1">
      <alignment horizontal="center"/>
    </xf>
    <xf numFmtId="2" fontId="0" fillId="0" borderId="14" xfId="0" applyNumberFormat="1" applyBorder="1" applyAlignment="1">
      <alignment horizontal="center"/>
    </xf>
    <xf numFmtId="2" fontId="0" fillId="0" borderId="17" xfId="0" applyNumberFormat="1" applyBorder="1" applyAlignment="1">
      <alignment horizontal="center"/>
    </xf>
    <xf numFmtId="2" fontId="0" fillId="0" borderId="13" xfId="0" applyNumberFormat="1" applyFill="1" applyBorder="1" applyAlignment="1">
      <alignment horizontal="center"/>
    </xf>
    <xf numFmtId="2" fontId="9" fillId="0" borderId="15" xfId="0" applyNumberFormat="1" applyFont="1" applyFill="1" applyBorder="1" applyAlignment="1">
      <alignment horizontal="center"/>
    </xf>
    <xf numFmtId="2" fontId="0" fillId="0" borderId="16" xfId="0" applyNumberFormat="1" applyFill="1" applyBorder="1" applyAlignment="1">
      <alignment horizontal="center"/>
    </xf>
    <xf numFmtId="2" fontId="9" fillId="0" borderId="16" xfId="0" applyNumberFormat="1" applyFont="1" applyFill="1" applyBorder="1" applyAlignment="1">
      <alignment horizontal="center"/>
    </xf>
    <xf numFmtId="4" fontId="0" fillId="4" borderId="5" xfId="0" applyNumberFormat="1" applyFill="1" applyBorder="1" applyAlignment="1">
      <alignment horizontal="center"/>
    </xf>
    <xf numFmtId="4" fontId="0" fillId="4" borderId="15" xfId="0" applyNumberFormat="1" applyFill="1" applyBorder="1" applyAlignment="1">
      <alignment horizontal="center"/>
    </xf>
    <xf numFmtId="4" fontId="0" fillId="4" borderId="16" xfId="0" applyNumberFormat="1" applyFill="1" applyBorder="1" applyAlignment="1">
      <alignment horizontal="center"/>
    </xf>
    <xf numFmtId="4" fontId="0" fillId="4" borderId="13" xfId="0" applyNumberFormat="1" applyFill="1" applyBorder="1" applyAlignment="1">
      <alignment horizontal="center"/>
    </xf>
    <xf numFmtId="4" fontId="0" fillId="4" borderId="22" xfId="0" applyNumberFormat="1" applyFill="1" applyBorder="1" applyAlignment="1">
      <alignment horizontal="center"/>
    </xf>
    <xf numFmtId="4" fontId="0" fillId="4" borderId="21" xfId="0" applyNumberFormat="1" applyFill="1" applyBorder="1" applyAlignment="1">
      <alignment horizontal="center"/>
    </xf>
    <xf numFmtId="4" fontId="0" fillId="4" borderId="23" xfId="0" applyNumberFormat="1" applyFill="1" applyBorder="1" applyAlignment="1">
      <alignment horizontal="center"/>
    </xf>
    <xf numFmtId="4" fontId="0" fillId="4" borderId="6" xfId="0" applyNumberFormat="1" applyFill="1" applyBorder="1" applyAlignment="1">
      <alignment horizontal="center"/>
    </xf>
    <xf numFmtId="4" fontId="0" fillId="4" borderId="19" xfId="0" applyNumberFormat="1" applyFill="1" applyBorder="1" applyAlignment="1">
      <alignment horizontal="center"/>
    </xf>
    <xf numFmtId="2" fontId="9" fillId="4" borderId="6" xfId="0" applyNumberFormat="1" applyFont="1" applyFill="1" applyBorder="1" applyAlignment="1">
      <alignment horizontal="center"/>
    </xf>
    <xf numFmtId="0" fontId="9" fillId="0" borderId="2" xfId="0" applyFont="1" applyFill="1" applyBorder="1"/>
    <xf numFmtId="2" fontId="9" fillId="0" borderId="13" xfId="0" applyNumberFormat="1" applyFont="1" applyFill="1" applyBorder="1" applyAlignment="1">
      <alignment horizontal="center"/>
    </xf>
    <xf numFmtId="2" fontId="9" fillId="0" borderId="13" xfId="0" applyNumberFormat="1" applyFont="1" applyBorder="1" applyAlignment="1">
      <alignment horizontal="center"/>
    </xf>
    <xf numFmtId="2" fontId="0" fillId="0" borderId="14" xfId="0" applyNumberFormat="1" applyFill="1" applyBorder="1" applyAlignment="1">
      <alignment horizontal="center"/>
    </xf>
    <xf numFmtId="0" fontId="9" fillId="0" borderId="16" xfId="0" applyFont="1" applyBorder="1" applyAlignment="1">
      <alignment horizontal="center"/>
    </xf>
    <xf numFmtId="2" fontId="9" fillId="0" borderId="16" xfId="0" applyNumberFormat="1" applyFont="1" applyBorder="1" applyAlignment="1">
      <alignment horizontal="center"/>
    </xf>
    <xf numFmtId="2" fontId="0" fillId="0" borderId="17" xfId="0" applyNumberFormat="1" applyFill="1" applyBorder="1" applyAlignment="1">
      <alignment horizontal="center"/>
    </xf>
    <xf numFmtId="4" fontId="9" fillId="4" borderId="5" xfId="0" applyNumberFormat="1" applyFont="1" applyFill="1" applyBorder="1" applyAlignment="1">
      <alignment horizontal="center"/>
    </xf>
    <xf numFmtId="4" fontId="9" fillId="4" borderId="13" xfId="0" applyNumberFormat="1" applyFont="1" applyFill="1" applyBorder="1" applyAlignment="1">
      <alignment horizontal="center"/>
    </xf>
    <xf numFmtId="4" fontId="9" fillId="4" borderId="16" xfId="0" applyNumberFormat="1" applyFont="1" applyFill="1" applyBorder="1" applyAlignment="1">
      <alignment horizontal="center"/>
    </xf>
    <xf numFmtId="4" fontId="9" fillId="4" borderId="6" xfId="0" applyNumberFormat="1" applyFont="1" applyFill="1" applyBorder="1" applyAlignment="1">
      <alignment horizontal="center"/>
    </xf>
    <xf numFmtId="4" fontId="9" fillId="4" borderId="15" xfId="0" applyNumberFormat="1" applyFont="1" applyFill="1" applyBorder="1" applyAlignment="1">
      <alignment horizontal="center"/>
    </xf>
    <xf numFmtId="0" fontId="9" fillId="0" borderId="21" xfId="0" applyFont="1" applyBorder="1" applyAlignment="1">
      <alignment horizontal="left"/>
    </xf>
    <xf numFmtId="4" fontId="9" fillId="4" borderId="22" xfId="0" applyNumberFormat="1" applyFont="1" applyFill="1" applyBorder="1" applyAlignment="1">
      <alignment horizontal="center"/>
    </xf>
    <xf numFmtId="4" fontId="9" fillId="4" borderId="30" xfId="0" applyNumberFormat="1" applyFont="1" applyFill="1" applyBorder="1" applyAlignment="1">
      <alignment horizontal="center"/>
    </xf>
    <xf numFmtId="4" fontId="9" fillId="4" borderId="23" xfId="0" applyNumberFormat="1" applyFont="1" applyFill="1" applyBorder="1" applyAlignment="1">
      <alignment horizontal="center"/>
    </xf>
    <xf numFmtId="4" fontId="9" fillId="4" borderId="19" xfId="0" applyNumberFormat="1" applyFont="1" applyFill="1" applyBorder="1" applyAlignment="1">
      <alignment horizontal="center"/>
    </xf>
    <xf numFmtId="4" fontId="9" fillId="4" borderId="21" xfId="0" applyNumberFormat="1" applyFont="1" applyFill="1" applyBorder="1" applyAlignment="1">
      <alignment horizontal="center"/>
    </xf>
    <xf numFmtId="0" fontId="9" fillId="0" borderId="22" xfId="0" applyFont="1" applyBorder="1"/>
    <xf numFmtId="0" fontId="0" fillId="0" borderId="5" xfId="0" applyBorder="1"/>
    <xf numFmtId="0" fontId="0" fillId="0" borderId="21" xfId="0" applyBorder="1"/>
    <xf numFmtId="0" fontId="0" fillId="0" borderId="22" xfId="0" applyBorder="1"/>
    <xf numFmtId="1" fontId="0" fillId="4" borderId="19" xfId="0" applyNumberFormat="1" applyFill="1" applyBorder="1" applyAlignment="1">
      <alignment horizontal="center"/>
    </xf>
    <xf numFmtId="1" fontId="0" fillId="4" borderId="21" xfId="0" applyNumberFormat="1" applyFill="1" applyBorder="1" applyAlignment="1">
      <alignment horizontal="center"/>
    </xf>
    <xf numFmtId="1" fontId="0" fillId="4" borderId="23" xfId="0" applyNumberFormat="1" applyFill="1" applyBorder="1" applyAlignment="1">
      <alignment horizontal="center"/>
    </xf>
    <xf numFmtId="165" fontId="0" fillId="4" borderId="0" xfId="0" applyNumberFormat="1" applyFill="1" applyAlignment="1">
      <alignment horizontal="center"/>
    </xf>
    <xf numFmtId="1" fontId="9" fillId="4" borderId="19" xfId="0" applyNumberFormat="1" applyFont="1" applyFill="1" applyBorder="1" applyAlignment="1">
      <alignment horizontal="center"/>
    </xf>
    <xf numFmtId="1" fontId="9" fillId="4" borderId="21" xfId="0" applyNumberFormat="1" applyFont="1" applyFill="1" applyBorder="1" applyAlignment="1">
      <alignment horizontal="center"/>
    </xf>
    <xf numFmtId="1" fontId="9" fillId="4" borderId="23" xfId="0" applyNumberFormat="1" applyFont="1" applyFill="1" applyBorder="1" applyAlignment="1">
      <alignment horizontal="center"/>
    </xf>
    <xf numFmtId="0" fontId="9" fillId="0" borderId="11" xfId="0" applyFont="1" applyBorder="1" applyAlignment="1"/>
    <xf numFmtId="0" fontId="9" fillId="0" borderId="12" xfId="0" applyFont="1" applyBorder="1" applyAlignment="1"/>
    <xf numFmtId="2" fontId="9" fillId="0" borderId="8" xfId="0" applyNumberFormat="1" applyFont="1" applyBorder="1" applyAlignment="1">
      <alignment horizontal="center"/>
    </xf>
    <xf numFmtId="4" fontId="9" fillId="4" borderId="2" xfId="0" applyNumberFormat="1" applyFont="1" applyFill="1" applyBorder="1" applyAlignment="1">
      <alignment horizontal="center"/>
    </xf>
    <xf numFmtId="4" fontId="9" fillId="4" borderId="11" xfId="0" applyNumberFormat="1" applyFont="1" applyFill="1" applyBorder="1" applyAlignment="1">
      <alignment horizontal="center"/>
    </xf>
    <xf numFmtId="4" fontId="9" fillId="4" borderId="18" xfId="0" applyNumberFormat="1" applyFont="1" applyFill="1" applyBorder="1" applyAlignment="1">
      <alignment horizontal="center"/>
    </xf>
    <xf numFmtId="4" fontId="9" fillId="4" borderId="28" xfId="0" applyNumberFormat="1" applyFont="1" applyFill="1" applyBorder="1" applyAlignment="1">
      <alignment horizontal="center"/>
    </xf>
    <xf numFmtId="4" fontId="9" fillId="4" borderId="8" xfId="0" applyNumberFormat="1" applyFont="1" applyFill="1" applyBorder="1" applyAlignment="1">
      <alignment horizontal="center"/>
    </xf>
    <xf numFmtId="4" fontId="9" fillId="4" borderId="26" xfId="0" applyNumberFormat="1" applyFont="1" applyFill="1" applyBorder="1" applyAlignment="1">
      <alignment horizontal="center"/>
    </xf>
    <xf numFmtId="4" fontId="9" fillId="4" borderId="27" xfId="0" applyNumberFormat="1" applyFont="1" applyFill="1" applyBorder="1" applyAlignment="1">
      <alignment horizontal="center"/>
    </xf>
    <xf numFmtId="4" fontId="9" fillId="4" borderId="29" xfId="0" applyNumberFormat="1" applyFont="1" applyFill="1" applyBorder="1" applyAlignment="1">
      <alignment horizontal="center"/>
    </xf>
    <xf numFmtId="4" fontId="9" fillId="4" borderId="3" xfId="0" applyNumberFormat="1" applyFont="1" applyFill="1" applyBorder="1" applyAlignment="1">
      <alignment horizontal="center"/>
    </xf>
    <xf numFmtId="4" fontId="9" fillId="4" borderId="9" xfId="0" applyNumberFormat="1" applyFont="1" applyFill="1" applyBorder="1" applyAlignment="1">
      <alignment horizontal="center"/>
    </xf>
    <xf numFmtId="4" fontId="9" fillId="4" borderId="20" xfId="0" applyNumberFormat="1" applyFont="1" applyFill="1" applyBorder="1" applyAlignment="1">
      <alignment horizontal="center"/>
    </xf>
    <xf numFmtId="2" fontId="9" fillId="0" borderId="12" xfId="0" applyNumberFormat="1" applyFont="1" applyFill="1" applyBorder="1" applyAlignment="1">
      <alignment horizontal="center"/>
    </xf>
    <xf numFmtId="0" fontId="9" fillId="0" borderId="3" xfId="0" applyFont="1" applyFill="1" applyBorder="1" applyAlignment="1">
      <alignment horizontal="left"/>
    </xf>
    <xf numFmtId="0" fontId="10" fillId="0" borderId="3" xfId="0" applyFont="1" applyFill="1" applyBorder="1" applyAlignment="1">
      <alignment horizontal="left"/>
    </xf>
    <xf numFmtId="0" fontId="0" fillId="4" borderId="0" xfId="0" applyNumberFormat="1" applyFill="1" applyAlignment="1">
      <alignment horizontal="center"/>
    </xf>
    <xf numFmtId="0" fontId="9" fillId="0" borderId="0" xfId="0" quotePrefix="1" applyFont="1" applyFill="1" applyAlignment="1">
      <alignment horizontal="left"/>
    </xf>
    <xf numFmtId="0" fontId="0" fillId="0" borderId="0" xfId="0" applyFill="1" applyAlignment="1">
      <alignment horizontal="left"/>
    </xf>
    <xf numFmtId="164" fontId="9" fillId="0" borderId="0" xfId="0" applyNumberFormat="1" applyFont="1" applyFill="1"/>
    <xf numFmtId="164" fontId="9" fillId="0" borderId="0" xfId="0" applyNumberFormat="1" applyFont="1"/>
    <xf numFmtId="0" fontId="0" fillId="0" borderId="8" xfId="0" applyBorder="1" applyAlignment="1">
      <alignment horizontal="left"/>
    </xf>
    <xf numFmtId="165" fontId="0" fillId="4" borderId="8" xfId="0" applyNumberFormat="1" applyFill="1" applyBorder="1" applyAlignment="1">
      <alignment horizontal="center"/>
    </xf>
    <xf numFmtId="165" fontId="0" fillId="4" borderId="0" xfId="0" applyNumberFormat="1" applyFill="1" applyBorder="1" applyAlignment="1">
      <alignment horizontal="center"/>
    </xf>
    <xf numFmtId="0" fontId="18" fillId="0" borderId="0" xfId="0" applyFont="1" applyFill="1" applyBorder="1" applyAlignment="1"/>
    <xf numFmtId="0" fontId="38" fillId="0" borderId="0" xfId="0" applyFont="1" applyFill="1" applyBorder="1" applyAlignment="1"/>
    <xf numFmtId="0" fontId="18" fillId="0" borderId="0" xfId="0" applyFont="1" applyAlignment="1"/>
    <xf numFmtId="0" fontId="15" fillId="0" borderId="0" xfId="0" applyFont="1" applyAlignment="1"/>
    <xf numFmtId="0" fontId="39" fillId="0" borderId="15" xfId="0" applyFont="1" applyBorder="1"/>
    <xf numFmtId="0" fontId="15" fillId="0" borderId="0" xfId="0" applyFont="1" applyFill="1" applyBorder="1" applyAlignment="1"/>
    <xf numFmtId="0" fontId="9" fillId="0" borderId="14" xfId="0" applyFont="1" applyFill="1" applyBorder="1"/>
    <xf numFmtId="0" fontId="0" fillId="0" borderId="7" xfId="0" applyFill="1" applyBorder="1"/>
    <xf numFmtId="0" fontId="9" fillId="0" borderId="14" xfId="0" applyFont="1" applyFill="1" applyBorder="1" applyAlignment="1">
      <alignment horizontal="right"/>
    </xf>
    <xf numFmtId="2" fontId="9" fillId="0" borderId="4" xfId="0" applyNumberFormat="1" applyFont="1" applyFill="1" applyBorder="1" applyAlignment="1">
      <alignment horizontal="center"/>
    </xf>
    <xf numFmtId="0" fontId="9" fillId="0" borderId="11" xfId="0" applyFont="1" applyFill="1" applyBorder="1"/>
    <xf numFmtId="0" fontId="0" fillId="0" borderId="8" xfId="0" applyFill="1" applyBorder="1"/>
    <xf numFmtId="0" fontId="9" fillId="0" borderId="11" xfId="0" applyFont="1" applyFill="1" applyBorder="1" applyAlignment="1">
      <alignment horizontal="right"/>
    </xf>
    <xf numFmtId="2" fontId="9" fillId="0" borderId="8" xfId="0" applyNumberFormat="1" applyFont="1" applyFill="1" applyBorder="1" applyAlignment="1">
      <alignment horizontal="center"/>
    </xf>
    <xf numFmtId="0" fontId="9" fillId="0" borderId="9" xfId="0" applyFont="1" applyFill="1" applyBorder="1" applyAlignment="1">
      <alignment horizontal="right"/>
    </xf>
    <xf numFmtId="2" fontId="9" fillId="0" borderId="10" xfId="0" applyNumberFormat="1" applyFont="1" applyFill="1" applyBorder="1" applyAlignment="1">
      <alignment horizontal="center"/>
    </xf>
    <xf numFmtId="0" fontId="9" fillId="0" borderId="9" xfId="0" applyFont="1" applyFill="1" applyBorder="1"/>
    <xf numFmtId="0" fontId="0" fillId="0" borderId="14" xfId="0" applyFill="1" applyBorder="1"/>
    <xf numFmtId="0" fontId="0" fillId="0" borderId="1" xfId="0" applyFill="1" applyBorder="1" applyAlignment="1">
      <alignment horizontal="center"/>
    </xf>
    <xf numFmtId="0" fontId="0" fillId="0" borderId="11" xfId="0" applyFill="1" applyBorder="1"/>
    <xf numFmtId="0" fontId="5" fillId="0" borderId="11" xfId="0" applyFont="1" applyFill="1" applyBorder="1" applyAlignment="1">
      <alignment horizontal="right"/>
    </xf>
    <xf numFmtId="2" fontId="0" fillId="0" borderId="12" xfId="0" applyNumberFormat="1" applyFill="1" applyBorder="1" applyAlignment="1">
      <alignment horizontal="center"/>
    </xf>
    <xf numFmtId="0" fontId="0" fillId="0" borderId="2" xfId="0" applyFill="1" applyBorder="1" applyAlignment="1">
      <alignment horizontal="center"/>
    </xf>
    <xf numFmtId="0" fontId="0" fillId="0" borderId="9" xfId="0" applyFill="1" applyBorder="1"/>
    <xf numFmtId="2" fontId="0" fillId="0" borderId="10" xfId="0" applyNumberFormat="1" applyFill="1" applyBorder="1" applyAlignment="1">
      <alignment horizontal="center"/>
    </xf>
    <xf numFmtId="0" fontId="5" fillId="0" borderId="11" xfId="0" applyFont="1" applyFill="1" applyBorder="1" applyAlignment="1">
      <alignment horizontal="center"/>
    </xf>
    <xf numFmtId="0" fontId="0" fillId="0" borderId="11" xfId="0" applyFill="1" applyBorder="1" applyAlignment="1">
      <alignment horizontal="right"/>
    </xf>
    <xf numFmtId="0" fontId="5" fillId="0" borderId="9" xfId="0" applyFont="1" applyFill="1" applyBorder="1" applyAlignment="1">
      <alignment horizontal="right"/>
    </xf>
    <xf numFmtId="0" fontId="0" fillId="0" borderId="4" xfId="0" applyFill="1" applyBorder="1"/>
    <xf numFmtId="0" fontId="0" fillId="0" borderId="12" xfId="0" applyFill="1" applyBorder="1"/>
    <xf numFmtId="0" fontId="9" fillId="0" borderId="9" xfId="0" applyFont="1" applyFill="1" applyBorder="1" applyAlignment="1"/>
    <xf numFmtId="0" fontId="0" fillId="0" borderId="7" xfId="0" applyFill="1" applyBorder="1" applyAlignment="1"/>
    <xf numFmtId="0" fontId="0" fillId="0" borderId="7" xfId="0" applyFill="1" applyBorder="1" applyAlignment="1">
      <alignment horizontal="center"/>
    </xf>
    <xf numFmtId="0" fontId="0" fillId="0" borderId="4" xfId="0" applyFill="1" applyBorder="1" applyAlignment="1"/>
    <xf numFmtId="0" fontId="9" fillId="0" borderId="6" xfId="0" applyFont="1" applyFill="1" applyBorder="1" applyAlignment="1">
      <alignment horizontal="center"/>
    </xf>
    <xf numFmtId="0" fontId="9" fillId="0" borderId="4" xfId="0" applyFont="1" applyFill="1" applyBorder="1" applyAlignment="1"/>
    <xf numFmtId="1" fontId="9" fillId="0" borderId="0" xfId="0" applyNumberFormat="1" applyFont="1" applyFill="1" applyBorder="1" applyAlignment="1">
      <alignment horizontal="center"/>
    </xf>
    <xf numFmtId="1" fontId="0" fillId="0" borderId="0" xfId="0" applyNumberFormat="1" applyFill="1" applyBorder="1" applyAlignment="1">
      <alignment horizontal="center"/>
    </xf>
    <xf numFmtId="0" fontId="12" fillId="0" borderId="0" xfId="0" applyFont="1" applyFill="1" applyAlignment="1">
      <alignment horizontal="center"/>
    </xf>
    <xf numFmtId="0" fontId="12" fillId="7" borderId="0" xfId="0" applyFont="1" applyFill="1"/>
    <xf numFmtId="2" fontId="9" fillId="7" borderId="2" xfId="0" applyNumberFormat="1" applyFont="1" applyFill="1" applyBorder="1" applyAlignment="1">
      <alignment horizontal="center"/>
    </xf>
    <xf numFmtId="2" fontId="9" fillId="7" borderId="11" xfId="0" applyNumberFormat="1" applyFont="1" applyFill="1" applyBorder="1" applyAlignment="1">
      <alignment horizontal="center"/>
    </xf>
    <xf numFmtId="2" fontId="9" fillId="7" borderId="18" xfId="0" applyNumberFormat="1" applyFont="1" applyFill="1" applyBorder="1" applyAlignment="1">
      <alignment horizontal="center"/>
    </xf>
    <xf numFmtId="0" fontId="0" fillId="4" borderId="6" xfId="0" applyFill="1" applyBorder="1" applyAlignment="1">
      <alignment horizontal="center"/>
    </xf>
    <xf numFmtId="164" fontId="0" fillId="4" borderId="6" xfId="0" applyNumberFormat="1" applyFill="1" applyBorder="1" applyAlignment="1">
      <alignment horizontal="center"/>
    </xf>
    <xf numFmtId="164" fontId="0" fillId="4" borderId="2" xfId="0" applyNumberFormat="1" applyFill="1" applyBorder="1" applyAlignment="1">
      <alignment horizontal="center"/>
    </xf>
    <xf numFmtId="0" fontId="0" fillId="4" borderId="0" xfId="0" applyFill="1" applyAlignment="1">
      <alignment horizontal="center"/>
    </xf>
    <xf numFmtId="0" fontId="0" fillId="0" borderId="0" xfId="0" applyAlignment="1">
      <alignment horizontal="center"/>
    </xf>
    <xf numFmtId="0" fontId="9" fillId="0" borderId="0" xfId="0" quotePrefix="1" applyFont="1" applyAlignment="1">
      <alignment horizontal="right"/>
    </xf>
    <xf numFmtId="0" fontId="9" fillId="4" borderId="0" xfId="0" applyFont="1" applyFill="1" applyAlignment="1">
      <alignment horizontal="center"/>
    </xf>
    <xf numFmtId="167" fontId="0" fillId="4" borderId="0" xfId="0" applyNumberFormat="1" applyFill="1" applyAlignment="1">
      <alignment horizontal="center"/>
    </xf>
    <xf numFmtId="2" fontId="0" fillId="4" borderId="0" xfId="0" applyNumberFormat="1" applyFill="1" applyBorder="1" applyAlignment="1">
      <alignment horizontal="center"/>
    </xf>
    <xf numFmtId="2" fontId="9" fillId="4" borderId="0" xfId="0" applyNumberFormat="1" applyFont="1" applyFill="1" applyBorder="1" applyAlignment="1">
      <alignment horizontal="center"/>
    </xf>
    <xf numFmtId="0" fontId="9" fillId="4" borderId="2" xfId="0" applyNumberFormat="1" applyFont="1" applyFill="1" applyBorder="1" applyAlignment="1">
      <alignment horizontal="center"/>
    </xf>
    <xf numFmtId="0" fontId="9" fillId="4" borderId="6" xfId="0" applyNumberFormat="1" applyFont="1" applyFill="1" applyBorder="1" applyAlignment="1">
      <alignment horizontal="center"/>
    </xf>
    <xf numFmtId="0" fontId="9" fillId="4" borderId="2" xfId="0" quotePrefix="1" applyNumberFormat="1" applyFont="1" applyFill="1" applyBorder="1" applyAlignment="1">
      <alignment horizontal="center"/>
    </xf>
    <xf numFmtId="0" fontId="9" fillId="4" borderId="0" xfId="0" applyFont="1" applyFill="1" applyAlignment="1">
      <alignment horizontal="right"/>
    </xf>
    <xf numFmtId="0" fontId="9" fillId="4" borderId="0" xfId="0" applyFont="1" applyFill="1"/>
    <xf numFmtId="0" fontId="0" fillId="0" borderId="0" xfId="0" applyAlignment="1">
      <alignment horizontal="center"/>
    </xf>
    <xf numFmtId="0" fontId="12" fillId="4" borderId="0" xfId="0" applyFont="1" applyFill="1"/>
    <xf numFmtId="0" fontId="9" fillId="4" borderId="0" xfId="0" applyFont="1" applyFill="1" applyAlignment="1">
      <alignment horizontal="left"/>
    </xf>
    <xf numFmtId="0" fontId="21" fillId="4" borderId="0" xfId="0" applyFont="1" applyFill="1"/>
    <xf numFmtId="0" fontId="0" fillId="4" borderId="0" xfId="0" applyFill="1"/>
    <xf numFmtId="2" fontId="0" fillId="4" borderId="15" xfId="0" applyNumberFormat="1" applyFill="1" applyBorder="1" applyAlignment="1">
      <alignment horizontal="center"/>
    </xf>
    <xf numFmtId="2" fontId="0" fillId="4" borderId="16" xfId="0" applyNumberFormat="1" applyFill="1" applyBorder="1" applyAlignment="1">
      <alignment horizontal="center"/>
    </xf>
    <xf numFmtId="2" fontId="9" fillId="4" borderId="0" xfId="0" applyNumberFormat="1" applyFont="1" applyFill="1"/>
    <xf numFmtId="0" fontId="9" fillId="0" borderId="0" xfId="0" applyFont="1" applyAlignment="1">
      <alignment horizontal="center"/>
    </xf>
    <xf numFmtId="2" fontId="21" fillId="0" borderId="0" xfId="0" applyNumberFormat="1" applyFont="1" applyFill="1"/>
    <xf numFmtId="0" fontId="21" fillId="4" borderId="0" xfId="0" applyFont="1" applyFill="1" applyAlignment="1">
      <alignment horizontal="right"/>
    </xf>
    <xf numFmtId="0" fontId="21" fillId="4" borderId="0" xfId="0" applyFont="1" applyFill="1" applyAlignment="1">
      <alignment horizontal="left"/>
    </xf>
    <xf numFmtId="0" fontId="21" fillId="0" borderId="0" xfId="0" applyFont="1" applyFill="1" applyAlignment="1">
      <alignment horizontal="left"/>
    </xf>
    <xf numFmtId="2" fontId="9" fillId="4" borderId="15" xfId="0" applyNumberFormat="1" applyFont="1" applyFill="1" applyBorder="1" applyAlignment="1">
      <alignment horizontal="center"/>
    </xf>
    <xf numFmtId="2" fontId="9" fillId="4" borderId="16" xfId="0" applyNumberFormat="1" applyFont="1" applyFill="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0" xfId="0" applyFont="1" applyAlignment="1">
      <alignment horizontal="center"/>
    </xf>
    <xf numFmtId="0" fontId="5" fillId="0" borderId="0" xfId="0" applyFont="1" applyFill="1" applyAlignment="1">
      <alignment horizontal="center" wrapText="1"/>
    </xf>
    <xf numFmtId="0" fontId="9" fillId="0" borderId="0" xfId="0" applyFont="1" applyBorder="1" applyAlignment="1">
      <alignment horizontal="center" wrapText="1"/>
    </xf>
    <xf numFmtId="0" fontId="9" fillId="0" borderId="0" xfId="0" applyFont="1" applyFill="1" applyAlignment="1">
      <alignment horizontal="center" wrapText="1"/>
    </xf>
    <xf numFmtId="0" fontId="0" fillId="0" borderId="0" xfId="0" applyAlignment="1">
      <alignment horizontal="center"/>
    </xf>
    <xf numFmtId="0" fontId="9" fillId="0" borderId="9" xfId="0" applyFont="1" applyBorder="1" applyAlignment="1">
      <alignment vertical="top"/>
    </xf>
    <xf numFmtId="0" fontId="9" fillId="0" borderId="0" xfId="0" applyFont="1" applyBorder="1" applyAlignment="1">
      <alignment vertical="top"/>
    </xf>
    <xf numFmtId="0" fontId="9" fillId="0" borderId="9" xfId="0" applyFont="1" applyBorder="1" applyAlignment="1">
      <alignment vertical="center"/>
    </xf>
    <xf numFmtId="0" fontId="9" fillId="0" borderId="9" xfId="0" applyFont="1" applyFill="1" applyBorder="1" applyAlignment="1">
      <alignment horizontal="center" wrapText="1"/>
    </xf>
    <xf numFmtId="2" fontId="9" fillId="4" borderId="9" xfId="0" applyNumberFormat="1" applyFont="1" applyFill="1" applyBorder="1" applyAlignment="1">
      <alignment horizontal="center"/>
    </xf>
    <xf numFmtId="0" fontId="9" fillId="0" borderId="0" xfId="0" applyFont="1" applyFill="1" applyAlignment="1">
      <alignment horizontal="right"/>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center"/>
    </xf>
    <xf numFmtId="0" fontId="9" fillId="0" borderId="0" xfId="0" applyFont="1" applyAlignment="1">
      <alignment horizontal="center"/>
    </xf>
    <xf numFmtId="0" fontId="9" fillId="0" borderId="0" xfId="0" applyFont="1" applyBorder="1" applyAlignment="1">
      <alignment horizontal="center" vertical="center"/>
    </xf>
    <xf numFmtId="0" fontId="9" fillId="0" borderId="9" xfId="0" applyFont="1" applyBorder="1" applyAlignment="1">
      <alignment horizontal="center"/>
    </xf>
    <xf numFmtId="0" fontId="9" fillId="0" borderId="0" xfId="0" applyFont="1" applyAlignment="1">
      <alignment horizontal="center"/>
    </xf>
    <xf numFmtId="0" fontId="5" fillId="0" borderId="9" xfId="0" applyFont="1" applyBorder="1" applyAlignment="1">
      <alignment horizontal="center"/>
    </xf>
    <xf numFmtId="0" fontId="9" fillId="0" borderId="0" xfId="0" applyFont="1" applyFill="1" applyAlignment="1">
      <alignment horizontal="right" vertical="center"/>
    </xf>
    <xf numFmtId="0" fontId="9" fillId="0" borderId="0" xfId="0" applyFont="1" applyAlignment="1">
      <alignment horizontal="right" vertical="center"/>
    </xf>
    <xf numFmtId="0" fontId="9" fillId="0" borderId="9" xfId="0" applyFont="1" applyBorder="1" applyAlignment="1">
      <alignment horizontal="center"/>
    </xf>
    <xf numFmtId="0" fontId="9" fillId="0" borderId="0" xfId="0" applyFont="1" applyBorder="1" applyAlignment="1">
      <alignment horizontal="center"/>
    </xf>
    <xf numFmtId="0" fontId="9" fillId="0" borderId="2" xfId="0" applyFont="1" applyBorder="1" applyAlignment="1">
      <alignment horizontal="center"/>
    </xf>
    <xf numFmtId="0" fontId="9" fillId="0" borderId="10" xfId="0" applyFont="1" applyBorder="1" applyAlignment="1">
      <alignment horizontal="center"/>
    </xf>
    <xf numFmtId="0" fontId="0" fillId="0" borderId="0" xfId="0"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0" xfId="0" applyFill="1" applyBorder="1" applyAlignment="1">
      <alignment horizontal="center"/>
    </xf>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9" fillId="0" borderId="12" xfId="0" applyFont="1" applyFill="1" applyBorder="1" applyAlignment="1">
      <alignment horizontal="center"/>
    </xf>
    <xf numFmtId="0" fontId="9" fillId="0" borderId="0" xfId="0" applyFont="1" applyFill="1" applyBorder="1" applyAlignment="1">
      <alignment horizontal="center" wrapText="1"/>
    </xf>
    <xf numFmtId="0" fontId="9" fillId="0" borderId="3" xfId="0" applyFont="1" applyFill="1" applyBorder="1" applyAlignment="1">
      <alignment horizontal="center"/>
    </xf>
    <xf numFmtId="0" fontId="5" fillId="0" borderId="3" xfId="0" applyFont="1" applyBorder="1" applyAlignment="1">
      <alignment horizontal="center"/>
    </xf>
    <xf numFmtId="2" fontId="9" fillId="4" borderId="3" xfId="0" applyNumberFormat="1" applyFont="1" applyFill="1" applyBorder="1" applyAlignment="1">
      <alignment horizontal="center"/>
    </xf>
    <xf numFmtId="2" fontId="9" fillId="4" borderId="2" xfId="0" applyNumberFormat="1" applyFont="1" applyFill="1" applyBorder="1" applyAlignment="1">
      <alignment horizontal="center"/>
    </xf>
    <xf numFmtId="2" fontId="9" fillId="4" borderId="10" xfId="0" applyNumberFormat="1" applyFont="1" applyFill="1" applyBorder="1" applyAlignment="1">
      <alignment horizontal="center"/>
    </xf>
    <xf numFmtId="2" fontId="9" fillId="4" borderId="11" xfId="0" applyNumberFormat="1" applyFont="1" applyFill="1" applyBorder="1" applyAlignment="1">
      <alignment horizontal="center"/>
    </xf>
    <xf numFmtId="2" fontId="9" fillId="4" borderId="12" xfId="0" applyNumberFormat="1" applyFont="1" applyFill="1" applyBorder="1" applyAlignment="1">
      <alignment horizontal="center"/>
    </xf>
    <xf numFmtId="0" fontId="9" fillId="4" borderId="9" xfId="0" applyFont="1" applyFill="1" applyBorder="1" applyAlignment="1">
      <alignment horizontal="center"/>
    </xf>
    <xf numFmtId="0" fontId="9" fillId="4" borderId="11" xfId="0" applyFont="1" applyFill="1" applyBorder="1" applyAlignment="1">
      <alignment horizontal="center"/>
    </xf>
    <xf numFmtId="0" fontId="10" fillId="0" borderId="14" xfId="0" applyFont="1" applyFill="1" applyBorder="1" applyAlignment="1"/>
    <xf numFmtId="0" fontId="10" fillId="0" borderId="7" xfId="0" applyFont="1" applyFill="1" applyBorder="1" applyAlignment="1"/>
    <xf numFmtId="0" fontId="10" fillId="0" borderId="4" xfId="0" applyFont="1" applyFill="1" applyBorder="1" applyAlignment="1"/>
    <xf numFmtId="0" fontId="9" fillId="4" borderId="10" xfId="0" applyFont="1" applyFill="1" applyBorder="1" applyAlignment="1">
      <alignment horizontal="center"/>
    </xf>
    <xf numFmtId="2" fontId="9" fillId="4" borderId="8" xfId="0" applyNumberFormat="1" applyFont="1" applyFill="1" applyBorder="1" applyAlignment="1">
      <alignment horizontal="center"/>
    </xf>
    <xf numFmtId="0" fontId="9" fillId="4" borderId="12" xfId="0" applyFont="1" applyFill="1" applyBorder="1" applyAlignment="1">
      <alignment horizontal="center"/>
    </xf>
    <xf numFmtId="0" fontId="0" fillId="0" borderId="7" xfId="0" applyBorder="1"/>
    <xf numFmtId="164" fontId="9" fillId="4" borderId="9" xfId="0" applyNumberFormat="1" applyFont="1" applyFill="1" applyBorder="1" applyAlignment="1">
      <alignment horizontal="center"/>
    </xf>
    <xf numFmtId="164" fontId="9" fillId="4" borderId="11" xfId="0" applyNumberFormat="1" applyFont="1" applyFill="1" applyBorder="1" applyAlignment="1">
      <alignment horizontal="center"/>
    </xf>
    <xf numFmtId="0" fontId="10" fillId="0" borderId="14" xfId="0" applyFont="1" applyBorder="1"/>
    <xf numFmtId="0" fontId="0" fillId="0" borderId="4" xfId="0" applyBorder="1"/>
    <xf numFmtId="0" fontId="9" fillId="0" borderId="10" xfId="0" applyFont="1" applyBorder="1" applyAlignment="1"/>
    <xf numFmtId="0" fontId="0" fillId="0" borderId="10" xfId="0" applyBorder="1" applyAlignment="1">
      <alignment horizontal="center"/>
    </xf>
    <xf numFmtId="2" fontId="0" fillId="4" borderId="9" xfId="0" applyNumberFormat="1" applyFill="1" applyBorder="1" applyAlignment="1">
      <alignment horizontal="center"/>
    </xf>
    <xf numFmtId="0" fontId="9" fillId="4" borderId="0" xfId="0" applyFont="1" applyFill="1" applyBorder="1" applyAlignment="1">
      <alignment horizontal="center"/>
    </xf>
    <xf numFmtId="2" fontId="0" fillId="4" borderId="11" xfId="0" applyNumberFormat="1" applyFill="1" applyBorder="1" applyAlignment="1">
      <alignment horizontal="center"/>
    </xf>
    <xf numFmtId="2" fontId="0" fillId="4" borderId="8" xfId="0" applyNumberFormat="1" applyFill="1" applyBorder="1" applyAlignment="1">
      <alignment horizontal="center"/>
    </xf>
    <xf numFmtId="0" fontId="9" fillId="4" borderId="8" xfId="0" applyFont="1" applyFill="1" applyBorder="1" applyAlignment="1">
      <alignment horizontal="center"/>
    </xf>
    <xf numFmtId="0" fontId="10" fillId="0" borderId="14" xfId="0" applyFont="1" applyBorder="1" applyAlignment="1">
      <alignment horizontal="left"/>
    </xf>
    <xf numFmtId="0" fontId="10" fillId="0" borderId="0" xfId="0" applyFont="1" applyBorder="1" applyAlignment="1">
      <alignment horizontal="left"/>
    </xf>
    <xf numFmtId="0" fontId="9" fillId="0" borderId="0" xfId="0" quotePrefix="1" applyFont="1" applyFill="1" applyAlignment="1">
      <alignment horizontal="center"/>
    </xf>
    <xf numFmtId="2" fontId="2" fillId="0" borderId="0" xfId="0" applyNumberFormat="1" applyFont="1" applyFill="1" applyAlignment="1">
      <alignment horizontal="center"/>
    </xf>
    <xf numFmtId="0" fontId="5" fillId="0" borderId="14" xfId="0" applyFont="1" applyFill="1" applyBorder="1" applyAlignment="1">
      <alignment horizontal="center" wrapText="1"/>
    </xf>
    <xf numFmtId="0" fontId="9" fillId="0" borderId="7" xfId="0" applyFont="1" applyFill="1" applyBorder="1" applyAlignment="1">
      <alignment horizontal="center" wrapText="1"/>
    </xf>
    <xf numFmtId="0" fontId="5" fillId="0" borderId="7" xfId="0" applyFont="1" applyFill="1" applyBorder="1" applyAlignment="1">
      <alignment horizontal="center" wrapText="1"/>
    </xf>
    <xf numFmtId="0" fontId="9" fillId="0" borderId="4" xfId="0" applyFont="1" applyFill="1" applyBorder="1" applyAlignment="1">
      <alignment horizontal="center" wrapText="1"/>
    </xf>
    <xf numFmtId="0" fontId="5" fillId="0" borderId="9" xfId="0" applyFont="1" applyFill="1" applyBorder="1" applyAlignment="1">
      <alignment horizontal="center" wrapText="1"/>
    </xf>
    <xf numFmtId="0" fontId="9" fillId="0" borderId="10" xfId="0" applyFont="1" applyFill="1" applyBorder="1" applyAlignment="1">
      <alignment horizontal="center" wrapText="1"/>
    </xf>
    <xf numFmtId="0" fontId="9" fillId="0" borderId="1" xfId="0" applyFont="1" applyFill="1" applyBorder="1" applyAlignment="1">
      <alignment horizontal="center" wrapText="1"/>
    </xf>
    <xf numFmtId="0" fontId="9" fillId="0" borderId="8" xfId="0" applyFont="1" applyFill="1" applyBorder="1" applyAlignment="1">
      <alignment horizontal="center"/>
    </xf>
    <xf numFmtId="0" fontId="0" fillId="0" borderId="8" xfId="0" applyFill="1" applyBorder="1" applyAlignment="1">
      <alignment horizontal="center"/>
    </xf>
    <xf numFmtId="0" fontId="9" fillId="0" borderId="2" xfId="0" applyFont="1" applyFill="1" applyBorder="1" applyAlignment="1">
      <alignment horizontal="center"/>
    </xf>
    <xf numFmtId="0" fontId="9" fillId="0" borderId="0" xfId="0" applyNumberFormat="1" applyFont="1" applyAlignment="1">
      <alignment horizontal="center"/>
    </xf>
    <xf numFmtId="0" fontId="9" fillId="0" borderId="9" xfId="0" applyNumberFormat="1" applyFont="1" applyBorder="1" applyAlignment="1">
      <alignment horizontal="center"/>
    </xf>
    <xf numFmtId="0" fontId="9" fillId="0" borderId="0" xfId="0" applyNumberFormat="1" applyFont="1" applyBorder="1" applyAlignment="1">
      <alignment horizontal="center"/>
    </xf>
    <xf numFmtId="0" fontId="9" fillId="0" borderId="0" xfId="0" applyNumberFormat="1" applyFont="1" applyFill="1" applyAlignment="1">
      <alignment horizontal="center"/>
    </xf>
    <xf numFmtId="0" fontId="9" fillId="0" borderId="0" xfId="0" quotePrefix="1" applyNumberFormat="1" applyFont="1" applyAlignment="1">
      <alignment horizontal="center"/>
    </xf>
    <xf numFmtId="0" fontId="9" fillId="0" borderId="0" xfId="0" applyFont="1" applyBorder="1" applyAlignment="1">
      <alignment horizontal="right"/>
    </xf>
    <xf numFmtId="0" fontId="9" fillId="0" borderId="0" xfId="0" applyFont="1" applyFill="1" applyBorder="1" applyAlignment="1">
      <alignment horizontal="center" vertical="center"/>
    </xf>
    <xf numFmtId="0" fontId="9" fillId="0" borderId="0" xfId="0" applyFont="1" applyFill="1" applyBorder="1" applyAlignment="1">
      <alignment horizontal="right"/>
    </xf>
    <xf numFmtId="0" fontId="24" fillId="0" borderId="9" xfId="0" applyFont="1" applyFill="1" applyBorder="1" applyAlignment="1">
      <alignment horizontal="center"/>
    </xf>
    <xf numFmtId="0" fontId="9" fillId="0" borderId="0" xfId="0" applyFont="1" applyFill="1" applyBorder="1" applyAlignment="1">
      <alignment horizontal="left"/>
    </xf>
    <xf numFmtId="0" fontId="9" fillId="0" borderId="1" xfId="0" applyFont="1" applyFill="1" applyBorder="1" applyAlignment="1">
      <alignment horizontal="center"/>
    </xf>
    <xf numFmtId="0" fontId="9" fillId="0" borderId="0" xfId="0" applyFont="1" applyFill="1" applyAlignment="1"/>
    <xf numFmtId="0" fontId="5" fillId="0" borderId="0" xfId="0" applyFont="1" applyFill="1" applyBorder="1" applyAlignment="1">
      <alignment horizontal="center"/>
    </xf>
    <xf numFmtId="0" fontId="24" fillId="0" borderId="0" xfId="0" applyFont="1" applyFill="1" applyAlignment="1">
      <alignment horizontal="center"/>
    </xf>
    <xf numFmtId="0" fontId="9" fillId="0" borderId="0" xfId="0" applyFont="1" applyFill="1" applyBorder="1" applyAlignment="1"/>
    <xf numFmtId="0" fontId="41" fillId="0" borderId="0" xfId="0" applyFont="1" applyFill="1"/>
    <xf numFmtId="0" fontId="41" fillId="0" borderId="0" xfId="0" applyFont="1"/>
    <xf numFmtId="2" fontId="41" fillId="0" borderId="0" xfId="0" applyNumberFormat="1" applyFont="1" applyBorder="1" applyAlignment="1">
      <alignment horizontal="left" vertical="center"/>
    </xf>
    <xf numFmtId="0" fontId="9" fillId="0" borderId="6" xfId="0" applyNumberFormat="1" applyFont="1" applyBorder="1" applyAlignment="1" applyProtection="1">
      <alignment horizontal="center"/>
      <protection locked="0"/>
    </xf>
    <xf numFmtId="0" fontId="9" fillId="0" borderId="2" xfId="0" applyNumberFormat="1" applyFont="1" applyBorder="1" applyAlignment="1" applyProtection="1">
      <alignment horizontal="center"/>
      <protection locked="0"/>
    </xf>
    <xf numFmtId="0" fontId="9" fillId="0" borderId="0" xfId="0" applyFont="1" applyAlignment="1">
      <alignment wrapText="1"/>
    </xf>
    <xf numFmtId="0" fontId="0" fillId="0" borderId="0" xfId="0" applyAlignment="1">
      <alignment wrapText="1"/>
    </xf>
    <xf numFmtId="0" fontId="9" fillId="0" borderId="0" xfId="0" applyFont="1" applyAlignment="1">
      <alignment vertical="top" wrapText="1"/>
    </xf>
    <xf numFmtId="0" fontId="2" fillId="0" borderId="8" xfId="0" applyFont="1" applyFill="1" applyBorder="1" applyAlignment="1"/>
    <xf numFmtId="0" fontId="2" fillId="0" borderId="13" xfId="0" applyFont="1" applyFill="1" applyBorder="1" applyAlignment="1"/>
    <xf numFmtId="0" fontId="39" fillId="0" borderId="15" xfId="0" applyFont="1" applyBorder="1" applyAlignment="1">
      <alignment horizontal="center"/>
    </xf>
    <xf numFmtId="0" fontId="39" fillId="0" borderId="13" xfId="0" applyFont="1" applyBorder="1" applyAlignment="1">
      <alignment horizontal="center"/>
    </xf>
    <xf numFmtId="0" fontId="39" fillId="0" borderId="5" xfId="0" applyFont="1" applyBorder="1" applyAlignment="1">
      <alignment horizontal="center"/>
    </xf>
    <xf numFmtId="0" fontId="14" fillId="0" borderId="14" xfId="0" applyFont="1" applyBorder="1" applyAlignment="1">
      <alignment horizontal="center"/>
    </xf>
    <xf numFmtId="0" fontId="14" fillId="0" borderId="7" xfId="0" applyFont="1" applyBorder="1" applyAlignment="1">
      <alignment horizontal="center"/>
    </xf>
    <xf numFmtId="0" fontId="14" fillId="0" borderId="4" xfId="0" applyFont="1" applyBorder="1" applyAlignment="1">
      <alignment horizontal="center"/>
    </xf>
    <xf numFmtId="0" fontId="9" fillId="0" borderId="0" xfId="0" applyFont="1" applyFill="1" applyAlignment="1">
      <alignment horizontal="right"/>
    </xf>
    <xf numFmtId="0" fontId="0" fillId="4" borderId="0" xfId="0" applyFill="1" applyAlignment="1">
      <alignment horizontal="left" vertical="top" wrapText="1"/>
    </xf>
    <xf numFmtId="0" fontId="39" fillId="0" borderId="15" xfId="0" applyFont="1" applyFill="1" applyBorder="1" applyAlignment="1">
      <alignment horizontal="center"/>
    </xf>
    <xf numFmtId="0" fontId="39" fillId="0" borderId="5" xfId="0" applyFont="1" applyFill="1" applyBorder="1" applyAlignment="1">
      <alignment horizontal="center"/>
    </xf>
    <xf numFmtId="0" fontId="16" fillId="0" borderId="0" xfId="0" applyFont="1" applyAlignment="1">
      <alignment horizontal="right"/>
    </xf>
    <xf numFmtId="0" fontId="16" fillId="0" borderId="0" xfId="0" applyFont="1" applyFill="1" applyAlignment="1">
      <alignment horizontal="right"/>
    </xf>
    <xf numFmtId="0" fontId="10" fillId="0" borderId="0" xfId="0" applyFont="1" applyFill="1" applyBorder="1" applyAlignment="1">
      <alignment horizontal="center"/>
    </xf>
    <xf numFmtId="0" fontId="2" fillId="3" borderId="8" xfId="0" applyFont="1" applyFill="1" applyBorder="1" applyAlignment="1" applyProtection="1">
      <protection locked="0"/>
    </xf>
    <xf numFmtId="0" fontId="2" fillId="3" borderId="13" xfId="0" applyFont="1" applyFill="1" applyBorder="1" applyAlignment="1" applyProtection="1">
      <protection locked="0"/>
    </xf>
    <xf numFmtId="0" fontId="2" fillId="0" borderId="0" xfId="0" applyFont="1" applyAlignment="1">
      <alignment horizontal="center"/>
    </xf>
    <xf numFmtId="0" fontId="9" fillId="0" borderId="0" xfId="0" applyFont="1" applyFill="1" applyAlignment="1">
      <alignment horizontal="right" vertical="center"/>
    </xf>
    <xf numFmtId="0" fontId="9" fillId="0" borderId="9" xfId="0" applyFont="1" applyFill="1" applyBorder="1" applyAlignment="1">
      <alignment horizontal="center" wrapText="1"/>
    </xf>
    <xf numFmtId="0" fontId="0" fillId="0" borderId="0" xfId="0" applyFill="1" applyAlignment="1">
      <alignment horizontal="center" wrapText="1"/>
    </xf>
    <xf numFmtId="0" fontId="0" fillId="0" borderId="9" xfId="0" applyFill="1" applyBorder="1" applyAlignment="1">
      <alignment horizontal="center" wrapText="1"/>
    </xf>
    <xf numFmtId="2" fontId="0" fillId="0" borderId="15" xfId="0" applyNumberFormat="1" applyBorder="1" applyAlignment="1">
      <alignment horizontal="center"/>
    </xf>
    <xf numFmtId="2" fontId="0" fillId="0" borderId="5" xfId="0" applyNumberFormat="1" applyBorder="1" applyAlignment="1">
      <alignment horizontal="center"/>
    </xf>
    <xf numFmtId="0" fontId="0" fillId="0" borderId="15"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 xfId="0" applyNumberFormat="1" applyBorder="1" applyAlignment="1">
      <alignment horizontal="center" vertical="center"/>
    </xf>
    <xf numFmtId="2" fontId="0" fillId="0" borderId="2" xfId="0" applyNumberFormat="1" applyBorder="1" applyAlignment="1">
      <alignment horizontal="center" vertical="center"/>
    </xf>
    <xf numFmtId="0" fontId="9" fillId="0" borderId="6" xfId="0" applyFont="1" applyBorder="1" applyAlignment="1">
      <alignment horizontal="center" wrapText="1"/>
    </xf>
    <xf numFmtId="0" fontId="9" fillId="0" borderId="1" xfId="0" applyFont="1" applyBorder="1" applyAlignment="1">
      <alignment horizontal="center" wrapText="1"/>
    </xf>
    <xf numFmtId="0" fontId="9" fillId="0" borderId="14" xfId="0" applyFont="1" applyBorder="1" applyAlignment="1">
      <alignment horizontal="center" wrapText="1"/>
    </xf>
    <xf numFmtId="0" fontId="9" fillId="0" borderId="4" xfId="0" applyFont="1" applyBorder="1" applyAlignment="1">
      <alignment horizontal="center" wrapText="1"/>
    </xf>
    <xf numFmtId="0" fontId="9" fillId="0" borderId="11" xfId="0" applyFont="1" applyBorder="1" applyAlignment="1">
      <alignment horizontal="center" wrapText="1"/>
    </xf>
    <xf numFmtId="0" fontId="9" fillId="0" borderId="12" xfId="0" applyFont="1" applyBorder="1" applyAlignment="1">
      <alignment horizontal="center" wrapText="1"/>
    </xf>
    <xf numFmtId="0" fontId="9" fillId="0" borderId="15" xfId="0" applyFont="1" applyBorder="1" applyAlignment="1">
      <alignment horizontal="center" wrapText="1"/>
    </xf>
    <xf numFmtId="0" fontId="9" fillId="0" borderId="13" xfId="0" applyFont="1" applyBorder="1" applyAlignment="1">
      <alignment horizontal="center" wrapText="1"/>
    </xf>
    <xf numFmtId="0" fontId="9" fillId="0" borderId="5" xfId="0" applyFont="1" applyBorder="1" applyAlignment="1">
      <alignment horizontal="center" wrapText="1"/>
    </xf>
    <xf numFmtId="0" fontId="9" fillId="0" borderId="6" xfId="0" applyFont="1" applyBorder="1" applyAlignment="1">
      <alignment horizontal="center"/>
    </xf>
    <xf numFmtId="0" fontId="5" fillId="0" borderId="6" xfId="0" applyFont="1" applyBorder="1" applyAlignment="1">
      <alignment horizontal="center" wrapText="1"/>
    </xf>
    <xf numFmtId="0" fontId="5" fillId="0" borderId="6" xfId="0" applyFont="1" applyBorder="1" applyAlignment="1">
      <alignment horizontal="center"/>
    </xf>
    <xf numFmtId="2" fontId="0" fillId="0" borderId="6" xfId="0" applyNumberFormat="1" applyFill="1" applyBorder="1" applyAlignment="1">
      <alignment horizontal="center"/>
    </xf>
    <xf numFmtId="0" fontId="9" fillId="0" borderId="10" xfId="0" applyFont="1" applyBorder="1" applyAlignment="1">
      <alignment horizontal="left" vertical="center"/>
    </xf>
    <xf numFmtId="0" fontId="9" fillId="0" borderId="12" xfId="0" applyFont="1" applyBorder="1" applyAlignment="1">
      <alignment horizontal="left" vertical="center"/>
    </xf>
    <xf numFmtId="0" fontId="9" fillId="0" borderId="4" xfId="0" applyFont="1" applyBorder="1" applyAlignment="1">
      <alignment horizontal="left" vertical="center"/>
    </xf>
    <xf numFmtId="0" fontId="9" fillId="0" borderId="25" xfId="0" applyFont="1" applyBorder="1" applyAlignment="1">
      <alignment horizontal="left" vertical="center"/>
    </xf>
    <xf numFmtId="0" fontId="10" fillId="0" borderId="9" xfId="0" applyFont="1" applyBorder="1" applyAlignment="1">
      <alignment horizontal="center"/>
    </xf>
    <xf numFmtId="0" fontId="10" fillId="0" borderId="0" xfId="0" applyFont="1" applyBorder="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9" fillId="0" borderId="7" xfId="0" applyFont="1" applyBorder="1" applyAlignment="1">
      <alignment horizontal="center" wrapText="1"/>
    </xf>
    <xf numFmtId="0" fontId="9" fillId="0" borderId="2" xfId="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9" fillId="0" borderId="10" xfId="0" applyFont="1" applyBorder="1" applyAlignment="1">
      <alignment horizontal="center"/>
    </xf>
    <xf numFmtId="0" fontId="24" fillId="0" borderId="8" xfId="0" applyFont="1" applyBorder="1" applyAlignment="1">
      <alignment horizontal="center"/>
    </xf>
    <xf numFmtId="0" fontId="2" fillId="0" borderId="8" xfId="0" applyFont="1" applyBorder="1" applyAlignment="1"/>
    <xf numFmtId="0" fontId="2" fillId="0" borderId="13" xfId="0" applyFont="1" applyBorder="1" applyAlignment="1"/>
    <xf numFmtId="0" fontId="39" fillId="0" borderId="13" xfId="0" applyFont="1" applyFill="1" applyBorder="1" applyAlignment="1">
      <alignment horizontal="center"/>
    </xf>
    <xf numFmtId="0" fontId="9" fillId="0" borderId="11" xfId="0" applyFont="1" applyBorder="1" applyAlignment="1">
      <alignment horizontal="center"/>
    </xf>
    <xf numFmtId="0" fontId="9" fillId="0" borderId="8" xfId="0" applyFont="1" applyBorder="1" applyAlignment="1">
      <alignment horizontal="center"/>
    </xf>
    <xf numFmtId="0" fontId="9" fillId="0" borderId="4" xfId="0" applyFont="1" applyBorder="1" applyAlignment="1">
      <alignment vertical="center"/>
    </xf>
    <xf numFmtId="0" fontId="9" fillId="0" borderId="10" xfId="0" applyFont="1" applyBorder="1" applyAlignment="1">
      <alignment vertical="center"/>
    </xf>
    <xf numFmtId="0" fontId="9" fillId="0" borderId="12" xfId="0" applyFont="1" applyBorder="1" applyAlignment="1">
      <alignment vertical="center"/>
    </xf>
    <xf numFmtId="0" fontId="0" fillId="0" borderId="0" xfId="0" applyBorder="1" applyAlignment="1">
      <alignment horizontal="center"/>
    </xf>
    <xf numFmtId="0" fontId="9" fillId="0" borderId="14" xfId="0" applyFont="1" applyBorder="1" applyAlignment="1">
      <alignment horizontal="center"/>
    </xf>
    <xf numFmtId="0" fontId="0" fillId="0" borderId="4" xfId="0"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9" fillId="0" borderId="5" xfId="0" applyFont="1" applyBorder="1" applyAlignment="1">
      <alignment horizontal="center"/>
    </xf>
    <xf numFmtId="0" fontId="9" fillId="0" borderId="8" xfId="0" applyFont="1" applyBorder="1" applyAlignment="1">
      <alignment horizontal="center" wrapText="1"/>
    </xf>
    <xf numFmtId="0" fontId="9" fillId="0" borderId="4" xfId="0" applyFont="1" applyBorder="1" applyAlignment="1">
      <alignment horizontal="center"/>
    </xf>
    <xf numFmtId="0" fontId="9" fillId="0" borderId="12" xfId="0" applyFont="1" applyBorder="1" applyAlignment="1">
      <alignment horizontal="center"/>
    </xf>
    <xf numFmtId="2" fontId="9" fillId="0" borderId="15" xfId="0" applyNumberFormat="1" applyFont="1" applyBorder="1" applyAlignment="1">
      <alignment horizontal="center"/>
    </xf>
    <xf numFmtId="2" fontId="9" fillId="0" borderId="5" xfId="0" applyNumberFormat="1" applyFont="1" applyBorder="1" applyAlignment="1">
      <alignment horizontal="center"/>
    </xf>
    <xf numFmtId="2" fontId="9" fillId="0" borderId="6" xfId="0" applyNumberFormat="1" applyFont="1" applyFill="1" applyBorder="1" applyAlignment="1">
      <alignment horizontal="center"/>
    </xf>
    <xf numFmtId="0" fontId="10" fillId="0" borderId="0" xfId="0" applyFont="1" applyAlignment="1">
      <alignment horizontal="center" wrapText="1"/>
    </xf>
    <xf numFmtId="0" fontId="5" fillId="0" borderId="9" xfId="0" applyFont="1" applyBorder="1" applyAlignment="1">
      <alignment horizontal="center"/>
    </xf>
    <xf numFmtId="0" fontId="5" fillId="0" borderId="0" xfId="0" applyFont="1" applyBorder="1" applyAlignment="1">
      <alignment horizontal="center"/>
    </xf>
    <xf numFmtId="0" fontId="5" fillId="0" borderId="10" xfId="0" applyFont="1" applyBorder="1" applyAlignment="1">
      <alignment horizontal="center"/>
    </xf>
    <xf numFmtId="0" fontId="5" fillId="0" borderId="0" xfId="0" applyFont="1" applyFill="1" applyAlignment="1">
      <alignment horizontal="center" wrapText="1"/>
    </xf>
    <xf numFmtId="2" fontId="0" fillId="0" borderId="15" xfId="0" applyNumberFormat="1" applyFill="1" applyBorder="1" applyAlignment="1">
      <alignment horizontal="center"/>
    </xf>
    <xf numFmtId="2" fontId="0" fillId="0" borderId="5" xfId="0" applyNumberFormat="1" applyFill="1" applyBorder="1" applyAlignment="1">
      <alignment horizontal="center"/>
    </xf>
    <xf numFmtId="0" fontId="38" fillId="8" borderId="15" xfId="0" applyFont="1" applyFill="1" applyBorder="1" applyAlignment="1">
      <alignment horizontal="center"/>
    </xf>
    <xf numFmtId="0" fontId="15" fillId="8" borderId="13" xfId="0" applyFont="1" applyFill="1" applyBorder="1" applyAlignment="1">
      <alignment horizontal="center"/>
    </xf>
    <xf numFmtId="0" fontId="15" fillId="8" borderId="5" xfId="0" applyFont="1" applyFill="1" applyBorder="1" applyAlignment="1">
      <alignment horizontal="center"/>
    </xf>
    <xf numFmtId="0" fontId="15" fillId="0" borderId="15" xfId="0" applyFont="1" applyBorder="1" applyAlignment="1">
      <alignment horizontal="center"/>
    </xf>
    <xf numFmtId="0" fontId="15" fillId="0" borderId="13" xfId="0" applyFont="1" applyBorder="1" applyAlignment="1">
      <alignment horizontal="center"/>
    </xf>
    <xf numFmtId="2" fontId="9" fillId="0" borderId="1" xfId="0" applyNumberFormat="1" applyFont="1" applyFill="1" applyBorder="1" applyAlignment="1">
      <alignment horizontal="center" vertical="center"/>
    </xf>
    <xf numFmtId="0" fontId="0" fillId="0" borderId="3" xfId="0" applyFill="1" applyBorder="1" applyAlignment="1">
      <alignment vertical="center"/>
    </xf>
    <xf numFmtId="0" fontId="9" fillId="0" borderId="14" xfId="0" applyFont="1" applyFill="1" applyBorder="1" applyAlignment="1">
      <alignment horizontal="center" vertical="center" wrapText="1"/>
    </xf>
    <xf numFmtId="0" fontId="0" fillId="0" borderId="4" xfId="0" applyFill="1" applyBorder="1" applyAlignment="1">
      <alignment vertical="center" wrapText="1"/>
    </xf>
    <xf numFmtId="0" fontId="0" fillId="0" borderId="11" xfId="0" applyFill="1" applyBorder="1" applyAlignment="1">
      <alignment vertical="center" wrapText="1"/>
    </xf>
    <xf numFmtId="0" fontId="0" fillId="0" borderId="12" xfId="0" applyFill="1" applyBorder="1" applyAlignment="1">
      <alignment vertical="center" wrapText="1"/>
    </xf>
    <xf numFmtId="0" fontId="15" fillId="0" borderId="15" xfId="0" applyFont="1" applyFill="1" applyBorder="1" applyAlignment="1">
      <alignment horizontal="center"/>
    </xf>
    <xf numFmtId="0" fontId="15" fillId="0" borderId="13" xfId="0" applyFont="1" applyFill="1" applyBorder="1" applyAlignment="1">
      <alignment horizontal="center"/>
    </xf>
    <xf numFmtId="0" fontId="9" fillId="0" borderId="5" xfId="0" applyFont="1" applyFill="1" applyBorder="1" applyAlignment="1">
      <alignment horizontal="center"/>
    </xf>
    <xf numFmtId="0" fontId="0" fillId="0" borderId="14"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2" fontId="9" fillId="0" borderId="4" xfId="0" applyNumberFormat="1" applyFont="1" applyFill="1" applyBorder="1" applyAlignment="1">
      <alignment horizontal="center" vertical="center"/>
    </xf>
    <xf numFmtId="0" fontId="9" fillId="0" borderId="12" xfId="0" applyFont="1" applyFill="1" applyBorder="1" applyAlignment="1">
      <alignment vertical="center"/>
    </xf>
    <xf numFmtId="2" fontId="9" fillId="0" borderId="10" xfId="0" applyNumberFormat="1" applyFont="1" applyFill="1" applyBorder="1" applyAlignment="1">
      <alignment horizontal="center" vertical="center"/>
    </xf>
    <xf numFmtId="0" fontId="0" fillId="0" borderId="2" xfId="0" applyFill="1" applyBorder="1" applyAlignment="1">
      <alignment vertical="center"/>
    </xf>
    <xf numFmtId="0" fontId="9" fillId="0" borderId="10" xfId="0" applyFont="1" applyFill="1" applyBorder="1" applyAlignment="1">
      <alignment vertical="center"/>
    </xf>
    <xf numFmtId="0" fontId="9" fillId="0" borderId="15" xfId="0" applyFont="1" applyFill="1" applyBorder="1" applyAlignment="1">
      <alignment horizontal="center"/>
    </xf>
    <xf numFmtId="0" fontId="0" fillId="0" borderId="5" xfId="0" applyFill="1" applyBorder="1" applyAlignment="1">
      <alignment horizontal="center"/>
    </xf>
    <xf numFmtId="0" fontId="9" fillId="0" borderId="2" xfId="0" applyFont="1" applyFill="1" applyBorder="1" applyAlignment="1">
      <alignment vertical="center"/>
    </xf>
    <xf numFmtId="0" fontId="0" fillId="0" borderId="14" xfId="0" applyFill="1" applyBorder="1" applyAlignment="1">
      <alignment horizontal="center" vertical="center"/>
    </xf>
    <xf numFmtId="0" fontId="0" fillId="0" borderId="4"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15" fillId="0" borderId="11" xfId="0" applyFont="1" applyFill="1" applyBorder="1" applyAlignment="1">
      <alignment horizontal="center"/>
    </xf>
    <xf numFmtId="0" fontId="15" fillId="0" borderId="8" xfId="0" applyFont="1" applyFill="1" applyBorder="1" applyAlignment="1">
      <alignment horizontal="center"/>
    </xf>
    <xf numFmtId="0" fontId="9" fillId="0" borderId="12" xfId="0" applyFont="1" applyFill="1" applyBorder="1" applyAlignment="1">
      <alignment horizont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15" fillId="0" borderId="11" xfId="0" applyFont="1" applyBorder="1" applyAlignment="1">
      <alignment horizontal="center"/>
    </xf>
    <xf numFmtId="0" fontId="15" fillId="0" borderId="8" xfId="0" applyFont="1" applyBorder="1" applyAlignment="1">
      <alignment horizontal="center"/>
    </xf>
  </cellXfs>
  <cellStyles count="1">
    <cellStyle name="Normal" xfId="0" builtinId="0"/>
  </cellStyles>
  <dxfs count="1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b/>
        <i val="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3399"/>
      <color rgb="FFCCFFFF"/>
      <color rgb="FFFF3300"/>
      <color rgb="FFFF99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371475</xdr:colOff>
      <xdr:row>19</xdr:row>
      <xdr:rowOff>76200</xdr:rowOff>
    </xdr:from>
    <xdr:to>
      <xdr:col>11</xdr:col>
      <xdr:colOff>152400</xdr:colOff>
      <xdr:row>48</xdr:row>
      <xdr:rowOff>133350</xdr:rowOff>
    </xdr:to>
    <xdr:grpSp>
      <xdr:nvGrpSpPr>
        <xdr:cNvPr id="1025" name="Group 1">
          <a:extLst>
            <a:ext uri="{FF2B5EF4-FFF2-40B4-BE49-F238E27FC236}">
              <a16:creationId xmlns:a16="http://schemas.microsoft.com/office/drawing/2014/main" id="{00000000-0008-0000-0000-000001040000}"/>
            </a:ext>
          </a:extLst>
        </xdr:cNvPr>
        <xdr:cNvGrpSpPr>
          <a:grpSpLocks/>
        </xdr:cNvGrpSpPr>
      </xdr:nvGrpSpPr>
      <xdr:grpSpPr bwMode="auto">
        <a:xfrm>
          <a:off x="1123950" y="5010150"/>
          <a:ext cx="5267325" cy="4752975"/>
          <a:chOff x="1881" y="6227"/>
          <a:chExt cx="8294" cy="7484"/>
        </a:xfrm>
      </xdr:grpSpPr>
      <mc:AlternateContent xmlns:mc="http://schemas.openxmlformats.org/markup-compatibility/2006">
        <mc:Choice xmlns:a14="http://schemas.microsoft.com/office/drawing/2010/main" Requires="a14">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81" y="6227"/>
                <a:ext cx="8294" cy="6764"/>
              </a:xfrm>
              <a:prstGeom prst="rect">
                <a:avLst/>
              </a:prstGeom>
              <a:noFill/>
              <a:extLst>
                <a:ext uri="{909E8E84-426E-40DD-AFC4-6F175D3DCCD1}">
                  <a14:hiddenFill>
                    <a:solidFill>
                      <a:srgbClr val="FFFFFF"/>
                    </a:solidFill>
                  </a14:hiddenFill>
                </a:ext>
              </a:extLst>
            </xdr:spPr>
          </xdr:sp>
        </mc:Choice>
        <mc:Fallback/>
      </mc:AlternateContent>
      <xdr:sp macro="" textlink="">
        <xdr:nvSpPr>
          <xdr:cNvPr id="1027" name="Text Box 3">
            <a:extLst>
              <a:ext uri="{FF2B5EF4-FFF2-40B4-BE49-F238E27FC236}">
                <a16:creationId xmlns:a16="http://schemas.microsoft.com/office/drawing/2014/main" id="{00000000-0008-0000-0000-000003040000}"/>
              </a:ext>
            </a:extLst>
          </xdr:cNvPr>
          <xdr:cNvSpPr txBox="1">
            <a:spLocks noChangeArrowheads="1"/>
          </xdr:cNvSpPr>
        </xdr:nvSpPr>
        <xdr:spPr bwMode="auto">
          <a:xfrm>
            <a:off x="2421" y="13144"/>
            <a:ext cx="6840" cy="567"/>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A11.10.2-1 - MSE Wall Element Dimensions Needed for Design</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grpSp>
    <xdr:clientData/>
  </xdr:twoCellAnchor>
  <xdr:twoCellAnchor>
    <xdr:from>
      <xdr:col>0</xdr:col>
      <xdr:colOff>9525</xdr:colOff>
      <xdr:row>53</xdr:row>
      <xdr:rowOff>114300</xdr:rowOff>
    </xdr:from>
    <xdr:to>
      <xdr:col>5</xdr:col>
      <xdr:colOff>542925</xdr:colOff>
      <xdr:row>64</xdr:row>
      <xdr:rowOff>114300</xdr:rowOff>
    </xdr:to>
    <xdr:grpSp>
      <xdr:nvGrpSpPr>
        <xdr:cNvPr id="1028" name="Group 4">
          <a:extLst>
            <a:ext uri="{FF2B5EF4-FFF2-40B4-BE49-F238E27FC236}">
              <a16:creationId xmlns:a16="http://schemas.microsoft.com/office/drawing/2014/main" id="{00000000-0008-0000-0000-000004040000}"/>
            </a:ext>
          </a:extLst>
        </xdr:cNvPr>
        <xdr:cNvGrpSpPr>
          <a:grpSpLocks noChangeAspect="1"/>
        </xdr:cNvGrpSpPr>
      </xdr:nvGrpSpPr>
      <xdr:grpSpPr bwMode="auto">
        <a:xfrm>
          <a:off x="9525" y="10553700"/>
          <a:ext cx="3114675" cy="1781175"/>
          <a:chOff x="2061" y="6124"/>
          <a:chExt cx="6270" cy="3420"/>
        </a:xfrm>
      </xdr:grpSpPr>
      <xdr:pic>
        <xdr:nvPicPr>
          <xdr:cNvPr id="1029" name="Picture 5" descr="LevelBF_2.jpg">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 y="6124"/>
            <a:ext cx="5595" cy="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30" name="Group 6">
            <a:extLst>
              <a:ext uri="{FF2B5EF4-FFF2-40B4-BE49-F238E27FC236}">
                <a16:creationId xmlns:a16="http://schemas.microsoft.com/office/drawing/2014/main" id="{00000000-0008-0000-0000-000006040000}"/>
              </a:ext>
            </a:extLst>
          </xdr:cNvPr>
          <xdr:cNvGrpSpPr>
            <a:grpSpLocks noChangeAspect="1"/>
          </xdr:cNvGrpSpPr>
        </xdr:nvGrpSpPr>
        <xdr:grpSpPr bwMode="auto">
          <a:xfrm>
            <a:off x="2061" y="8704"/>
            <a:ext cx="6270" cy="840"/>
            <a:chOff x="2061" y="8704"/>
            <a:chExt cx="6270" cy="840"/>
          </a:xfrm>
        </xdr:grpSpPr>
        <xdr:sp macro="" textlink="">
          <xdr:nvSpPr>
            <xdr:cNvPr id="1031" name="Text Box 7">
              <a:extLst>
                <a:ext uri="{FF2B5EF4-FFF2-40B4-BE49-F238E27FC236}">
                  <a16:creationId xmlns:a16="http://schemas.microsoft.com/office/drawing/2014/main" id="{00000000-0008-0000-0000-000007040000}"/>
                </a:ext>
              </a:extLst>
            </xdr:cNvPr>
            <xdr:cNvSpPr txBox="1">
              <a:spLocks noChangeAspect="1" noChangeArrowheads="1"/>
            </xdr:cNvSpPr>
          </xdr:nvSpPr>
          <xdr:spPr bwMode="auto">
            <a:xfrm>
              <a:off x="2391" y="8704"/>
              <a:ext cx="594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Figure 1. AASHTO Figure 3.11.5.8.1-1 – Earth Pressure Distribution for MSE Wall with Level Backfill Surface</a:t>
              </a:r>
            </a:p>
            <a:p>
              <a:pPr algn="l" rtl="0">
                <a:defRPr sz="1000"/>
              </a:pPr>
              <a:endParaRPr lang="en-US" sz="900" b="0" i="0" u="none" strike="noStrike" baseline="0">
                <a:solidFill>
                  <a:srgbClr val="000000"/>
                </a:solidFill>
                <a:latin typeface="Arial"/>
                <a:cs typeface="Arial"/>
              </a:endParaRPr>
            </a:p>
          </xdr:txBody>
        </xdr:sp>
        <xdr:sp macro="" textlink="">
          <xdr:nvSpPr>
            <xdr:cNvPr id="1032" name="Rectangle 8">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2061" y="8824"/>
              <a:ext cx="36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5</xdr:col>
      <xdr:colOff>400050</xdr:colOff>
      <xdr:row>50</xdr:row>
      <xdr:rowOff>114300</xdr:rowOff>
    </xdr:from>
    <xdr:to>
      <xdr:col>11</xdr:col>
      <xdr:colOff>419100</xdr:colOff>
      <xdr:row>64</xdr:row>
      <xdr:rowOff>85725</xdr:rowOff>
    </xdr:to>
    <xdr:grpSp>
      <xdr:nvGrpSpPr>
        <xdr:cNvPr id="1033" name="Group 9">
          <a:extLst>
            <a:ext uri="{FF2B5EF4-FFF2-40B4-BE49-F238E27FC236}">
              <a16:creationId xmlns:a16="http://schemas.microsoft.com/office/drawing/2014/main" id="{00000000-0008-0000-0000-000009040000}"/>
            </a:ext>
          </a:extLst>
        </xdr:cNvPr>
        <xdr:cNvGrpSpPr>
          <a:grpSpLocks noChangeAspect="1"/>
        </xdr:cNvGrpSpPr>
      </xdr:nvGrpSpPr>
      <xdr:grpSpPr bwMode="auto">
        <a:xfrm>
          <a:off x="2981325" y="10067925"/>
          <a:ext cx="3676650" cy="2238375"/>
          <a:chOff x="2241" y="10444"/>
          <a:chExt cx="6405" cy="3900"/>
        </a:xfrm>
      </xdr:grpSpPr>
      <xdr:pic>
        <xdr:nvPicPr>
          <xdr:cNvPr id="1034" name="Picture 10" descr="SlopeBF_2.jpg">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 y="10444"/>
            <a:ext cx="5760" cy="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5" name="Text Box 11">
            <a:extLst>
              <a:ext uri="{FF2B5EF4-FFF2-40B4-BE49-F238E27FC236}">
                <a16:creationId xmlns:a16="http://schemas.microsoft.com/office/drawing/2014/main" id="{00000000-0008-0000-0000-00000B040000}"/>
              </a:ext>
            </a:extLst>
          </xdr:cNvPr>
          <xdr:cNvSpPr txBox="1">
            <a:spLocks noChangeAspect="1" noChangeArrowheads="1"/>
          </xdr:cNvSpPr>
        </xdr:nvSpPr>
        <xdr:spPr bwMode="auto">
          <a:xfrm>
            <a:off x="2346" y="13624"/>
            <a:ext cx="630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2. AASHTO Figure 3.11.5.8.1-2 – Earth Pressure </a:t>
            </a:r>
          </a:p>
          <a:p>
            <a:pPr algn="l" rtl="0">
              <a:defRPr sz="1000"/>
            </a:pPr>
            <a:r>
              <a:rPr lang="en-US" sz="900" b="0" i="0" u="none" strike="noStrike" baseline="0">
                <a:solidFill>
                  <a:srgbClr val="000000"/>
                </a:solidFill>
                <a:latin typeface="Times New Roman"/>
                <a:cs typeface="Times New Roman"/>
              </a:rPr>
              <a:t>for MSE Wall with Sloping Backfill Surface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grpSp>
    <xdr:clientData/>
  </xdr:twoCellAnchor>
  <xdr:twoCellAnchor>
    <xdr:from>
      <xdr:col>10</xdr:col>
      <xdr:colOff>457200</xdr:colOff>
      <xdr:row>50</xdr:row>
      <xdr:rowOff>76200</xdr:rowOff>
    </xdr:from>
    <xdr:to>
      <xdr:col>15</xdr:col>
      <xdr:colOff>581025</xdr:colOff>
      <xdr:row>64</xdr:row>
      <xdr:rowOff>76200</xdr:rowOff>
    </xdr:to>
    <xdr:grpSp>
      <xdr:nvGrpSpPr>
        <xdr:cNvPr id="1036" name="Group 12">
          <a:extLst>
            <a:ext uri="{FF2B5EF4-FFF2-40B4-BE49-F238E27FC236}">
              <a16:creationId xmlns:a16="http://schemas.microsoft.com/office/drawing/2014/main" id="{00000000-0008-0000-0000-00000C040000}"/>
            </a:ext>
          </a:extLst>
        </xdr:cNvPr>
        <xdr:cNvGrpSpPr>
          <a:grpSpLocks noChangeAspect="1"/>
        </xdr:cNvGrpSpPr>
      </xdr:nvGrpSpPr>
      <xdr:grpSpPr bwMode="auto">
        <a:xfrm>
          <a:off x="6086475" y="10029825"/>
          <a:ext cx="3171825" cy="2266950"/>
          <a:chOff x="2880" y="3244"/>
          <a:chExt cx="5901" cy="4425"/>
        </a:xfrm>
      </xdr:grpSpPr>
      <xdr:pic>
        <xdr:nvPicPr>
          <xdr:cNvPr id="1037" name="Picture 13" descr="BrokenBF.jpg">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0" y="3244"/>
            <a:ext cx="5430" cy="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8" name="Text Box 14">
            <a:extLst>
              <a:ext uri="{FF2B5EF4-FFF2-40B4-BE49-F238E27FC236}">
                <a16:creationId xmlns:a16="http://schemas.microsoft.com/office/drawing/2014/main" id="{00000000-0008-0000-0000-00000E040000}"/>
              </a:ext>
            </a:extLst>
          </xdr:cNvPr>
          <xdr:cNvSpPr txBox="1">
            <a:spLocks noChangeAspect="1" noChangeArrowheads="1"/>
          </xdr:cNvSpPr>
        </xdr:nvSpPr>
        <xdr:spPr bwMode="auto">
          <a:xfrm>
            <a:off x="3021" y="6949"/>
            <a:ext cx="576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Figure 3. AASHTO Figure 3.11.5.8.1-3 – Earth Pressure Distribution for MSE Wall with Broken Backfill Surface</a:t>
            </a:r>
          </a:p>
          <a:p>
            <a:pPr algn="l" rtl="0">
              <a:defRPr sz="1000"/>
            </a:pPr>
            <a:endParaRPr lang="en-US" sz="900" b="0" i="0" u="none" strike="noStrike" baseline="0">
              <a:solidFill>
                <a:srgbClr val="000000"/>
              </a:solidFill>
              <a:latin typeface="Arial"/>
              <a:cs typeface="Arial"/>
            </a:endParaRPr>
          </a:p>
        </xdr:txBody>
      </xdr:sp>
    </xdr:grpSp>
    <xdr:clientData/>
  </xdr:twoCellAnchor>
  <xdr:twoCellAnchor>
    <xdr:from>
      <xdr:col>0</xdr:col>
      <xdr:colOff>0</xdr:colOff>
      <xdr:row>69</xdr:row>
      <xdr:rowOff>152400</xdr:rowOff>
    </xdr:from>
    <xdr:to>
      <xdr:col>5</xdr:col>
      <xdr:colOff>266700</xdr:colOff>
      <xdr:row>88</xdr:row>
      <xdr:rowOff>47625</xdr:rowOff>
    </xdr:to>
    <xdr:grpSp>
      <xdr:nvGrpSpPr>
        <xdr:cNvPr id="1039" name="Group 15">
          <a:extLst>
            <a:ext uri="{FF2B5EF4-FFF2-40B4-BE49-F238E27FC236}">
              <a16:creationId xmlns:a16="http://schemas.microsoft.com/office/drawing/2014/main" id="{00000000-0008-0000-0000-00000F040000}"/>
            </a:ext>
          </a:extLst>
        </xdr:cNvPr>
        <xdr:cNvGrpSpPr>
          <a:grpSpLocks/>
        </xdr:cNvGrpSpPr>
      </xdr:nvGrpSpPr>
      <xdr:grpSpPr bwMode="auto">
        <a:xfrm>
          <a:off x="0" y="13182600"/>
          <a:ext cx="2847975" cy="2971800"/>
          <a:chOff x="2391" y="5224"/>
          <a:chExt cx="4710" cy="4680"/>
        </a:xfrm>
      </xdr:grpSpPr>
      <xdr:sp macro="" textlink="">
        <xdr:nvSpPr>
          <xdr:cNvPr id="1040" name="Text Box 16">
            <a:extLst>
              <a:ext uri="{FF2B5EF4-FFF2-40B4-BE49-F238E27FC236}">
                <a16:creationId xmlns:a16="http://schemas.microsoft.com/office/drawing/2014/main" id="{00000000-0008-0000-0000-000010040000}"/>
              </a:ext>
            </a:extLst>
          </xdr:cNvPr>
          <xdr:cNvSpPr txBox="1">
            <a:spLocks noChangeArrowheads="1"/>
          </xdr:cNvSpPr>
        </xdr:nvSpPr>
        <xdr:spPr bwMode="auto">
          <a:xfrm>
            <a:off x="2421" y="9004"/>
            <a:ext cx="468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8. AASHTO Figure 11.10.7.1-1a - Seismic External Stability of a MSE Wall, Level Backfill Condition</a:t>
            </a:r>
          </a:p>
          <a:p>
            <a:pPr algn="l" rtl="0">
              <a:defRPr sz="1000"/>
            </a:pPr>
            <a:endParaRPr lang="en-US" sz="900" b="0" i="0" u="none" strike="noStrike" baseline="0">
              <a:solidFill>
                <a:srgbClr val="000000"/>
              </a:solidFill>
              <a:latin typeface="Times New Roman"/>
              <a:cs typeface="Times New Roman"/>
            </a:endParaRPr>
          </a:p>
        </xdr:txBody>
      </xdr:sp>
      <xdr:pic>
        <xdr:nvPicPr>
          <xdr:cNvPr id="1041" name="Picture 17" descr="J:\DESIGN\MSE Wall\Scans\FigA11_10_7_1-1a.jpg">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91" y="5224"/>
            <a:ext cx="4395" cy="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104775</xdr:colOff>
      <xdr:row>65</xdr:row>
      <xdr:rowOff>114300</xdr:rowOff>
    </xdr:from>
    <xdr:to>
      <xdr:col>11</xdr:col>
      <xdr:colOff>219075</xdr:colOff>
      <xdr:row>88</xdr:row>
      <xdr:rowOff>47625</xdr:rowOff>
    </xdr:to>
    <xdr:grpSp>
      <xdr:nvGrpSpPr>
        <xdr:cNvPr id="1042" name="Group 18">
          <a:extLst>
            <a:ext uri="{FF2B5EF4-FFF2-40B4-BE49-F238E27FC236}">
              <a16:creationId xmlns:a16="http://schemas.microsoft.com/office/drawing/2014/main" id="{00000000-0008-0000-0000-000012040000}"/>
            </a:ext>
          </a:extLst>
        </xdr:cNvPr>
        <xdr:cNvGrpSpPr>
          <a:grpSpLocks/>
        </xdr:cNvGrpSpPr>
      </xdr:nvGrpSpPr>
      <xdr:grpSpPr bwMode="auto">
        <a:xfrm>
          <a:off x="2686050" y="12496800"/>
          <a:ext cx="3771900" cy="3657600"/>
          <a:chOff x="2421" y="3064"/>
          <a:chExt cx="5940" cy="5760"/>
        </a:xfrm>
      </xdr:grpSpPr>
      <xdr:pic>
        <xdr:nvPicPr>
          <xdr:cNvPr id="1043" name="Picture 19" descr="J:\DESIGN\MSE Wall\Scans\FigA11_10_7_1-1b.jpg">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21" y="3064"/>
            <a:ext cx="5940" cy="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44" name="Text Box 20">
            <a:extLst>
              <a:ext uri="{FF2B5EF4-FFF2-40B4-BE49-F238E27FC236}">
                <a16:creationId xmlns:a16="http://schemas.microsoft.com/office/drawing/2014/main" id="{00000000-0008-0000-0000-000014040000}"/>
              </a:ext>
            </a:extLst>
          </xdr:cNvPr>
          <xdr:cNvSpPr txBox="1">
            <a:spLocks noChangeArrowheads="1"/>
          </xdr:cNvSpPr>
        </xdr:nvSpPr>
        <xdr:spPr bwMode="auto">
          <a:xfrm>
            <a:off x="2436" y="7924"/>
            <a:ext cx="468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9. AASHTO Figure 11.10.7.1-1b - Seismic External Stability of a MSE Wall, Sloping Backfill Condition</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twoCellAnchor>
    <xdr:from>
      <xdr:col>1</xdr:col>
      <xdr:colOff>0</xdr:colOff>
      <xdr:row>89</xdr:row>
      <xdr:rowOff>123825</xdr:rowOff>
    </xdr:from>
    <xdr:to>
      <xdr:col>8</xdr:col>
      <xdr:colOff>361221</xdr:colOff>
      <xdr:row>104</xdr:row>
      <xdr:rowOff>72390</xdr:rowOff>
    </xdr:to>
    <xdr:pic>
      <xdr:nvPicPr>
        <xdr:cNvPr id="1045" name="Picture 21" descr="Figure11">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2875" y="16392525"/>
          <a:ext cx="4628421" cy="2377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409575</xdr:colOff>
      <xdr:row>88</xdr:row>
      <xdr:rowOff>142875</xdr:rowOff>
    </xdr:from>
    <xdr:to>
      <xdr:col>15</xdr:col>
      <xdr:colOff>527887</xdr:colOff>
      <xdr:row>104</xdr:row>
      <xdr:rowOff>20955</xdr:rowOff>
    </xdr:to>
    <xdr:pic>
      <xdr:nvPicPr>
        <xdr:cNvPr id="1046" name="Picture 22" descr="Figure13">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19650" y="16249650"/>
          <a:ext cx="4385512" cy="246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180975</xdr:colOff>
      <xdr:row>67</xdr:row>
      <xdr:rowOff>9525</xdr:rowOff>
    </xdr:from>
    <xdr:to>
      <xdr:col>15</xdr:col>
      <xdr:colOff>600075</xdr:colOff>
      <xdr:row>87</xdr:row>
      <xdr:rowOff>85725</xdr:rowOff>
    </xdr:to>
    <xdr:grpSp>
      <xdr:nvGrpSpPr>
        <xdr:cNvPr id="1047" name="Group 23">
          <a:extLst>
            <a:ext uri="{FF2B5EF4-FFF2-40B4-BE49-F238E27FC236}">
              <a16:creationId xmlns:a16="http://schemas.microsoft.com/office/drawing/2014/main" id="{00000000-0008-0000-0000-000017040000}"/>
            </a:ext>
          </a:extLst>
        </xdr:cNvPr>
        <xdr:cNvGrpSpPr>
          <a:grpSpLocks/>
        </xdr:cNvGrpSpPr>
      </xdr:nvGrpSpPr>
      <xdr:grpSpPr bwMode="auto">
        <a:xfrm>
          <a:off x="6419850" y="12715875"/>
          <a:ext cx="2857500" cy="3314700"/>
          <a:chOff x="3861" y="8644"/>
          <a:chExt cx="4500" cy="5220"/>
        </a:xfrm>
      </xdr:grpSpPr>
      <xdr:grpSp>
        <xdr:nvGrpSpPr>
          <xdr:cNvPr id="1048" name="Group 24">
            <a:extLst>
              <a:ext uri="{FF2B5EF4-FFF2-40B4-BE49-F238E27FC236}">
                <a16:creationId xmlns:a16="http://schemas.microsoft.com/office/drawing/2014/main" id="{00000000-0008-0000-0000-000018040000}"/>
              </a:ext>
            </a:extLst>
          </xdr:cNvPr>
          <xdr:cNvGrpSpPr>
            <a:grpSpLocks/>
          </xdr:cNvGrpSpPr>
        </xdr:nvGrpSpPr>
        <xdr:grpSpPr bwMode="auto">
          <a:xfrm>
            <a:off x="3861" y="8644"/>
            <a:ext cx="4425" cy="4485"/>
            <a:chOff x="3681" y="8464"/>
            <a:chExt cx="4425" cy="4485"/>
          </a:xfrm>
        </xdr:grpSpPr>
        <xdr:sp macro="" textlink="">
          <xdr:nvSpPr>
            <xdr:cNvPr id="1049" name="Text Box 25">
              <a:extLst>
                <a:ext uri="{FF2B5EF4-FFF2-40B4-BE49-F238E27FC236}">
                  <a16:creationId xmlns:a16="http://schemas.microsoft.com/office/drawing/2014/main" id="{00000000-0008-0000-0000-000019040000}"/>
                </a:ext>
              </a:extLst>
            </xdr:cNvPr>
            <xdr:cNvSpPr txBox="1">
              <a:spLocks noChangeArrowheads="1"/>
            </xdr:cNvSpPr>
          </xdr:nvSpPr>
          <xdr:spPr bwMode="auto">
            <a:xfrm>
              <a:off x="6846" y="11059"/>
              <a:ext cx="126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i’th Layer </a:t>
              </a:r>
            </a:p>
            <a:p>
              <a:pPr algn="l" rtl="0">
                <a:defRPr sz="1000"/>
              </a:pPr>
              <a:endParaRPr lang="en-US" sz="800" b="0" i="0" u="none" strike="noStrike" baseline="0">
                <a:solidFill>
                  <a:srgbClr val="000000"/>
                </a:solidFill>
                <a:latin typeface="Times New Roman"/>
                <a:cs typeface="Times New Roman"/>
              </a:endParaRPr>
            </a:p>
          </xdr:txBody>
        </xdr:sp>
        <xdr:grpSp>
          <xdr:nvGrpSpPr>
            <xdr:cNvPr id="1050" name="Group 26">
              <a:extLst>
                <a:ext uri="{FF2B5EF4-FFF2-40B4-BE49-F238E27FC236}">
                  <a16:creationId xmlns:a16="http://schemas.microsoft.com/office/drawing/2014/main" id="{00000000-0008-0000-0000-00001A040000}"/>
                </a:ext>
              </a:extLst>
            </xdr:cNvPr>
            <xdr:cNvGrpSpPr>
              <a:grpSpLocks/>
            </xdr:cNvGrpSpPr>
          </xdr:nvGrpSpPr>
          <xdr:grpSpPr bwMode="auto">
            <a:xfrm>
              <a:off x="3681" y="8464"/>
              <a:ext cx="3315" cy="4485"/>
              <a:chOff x="3681" y="8464"/>
              <a:chExt cx="3315" cy="4485"/>
            </a:xfrm>
          </xdr:grpSpPr>
          <xdr:pic>
            <xdr:nvPicPr>
              <xdr:cNvPr id="1051" name="Picture 27" descr="J:\DESIGN\MSE Wall\Scans\FigA11_10_7_2-1.jpg">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81" y="8464"/>
                <a:ext cx="3315" cy="4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6966" y="11179"/>
                <a:ext cx="29" cy="18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053" name="Text Box 29">
            <a:extLst>
              <a:ext uri="{FF2B5EF4-FFF2-40B4-BE49-F238E27FC236}">
                <a16:creationId xmlns:a16="http://schemas.microsoft.com/office/drawing/2014/main" id="{00000000-0008-0000-0000-00001D040000}"/>
              </a:ext>
            </a:extLst>
          </xdr:cNvPr>
          <xdr:cNvSpPr txBox="1">
            <a:spLocks noChangeArrowheads="1"/>
          </xdr:cNvSpPr>
        </xdr:nvSpPr>
        <xdr:spPr bwMode="auto">
          <a:xfrm>
            <a:off x="3861" y="13144"/>
            <a:ext cx="4500" cy="720"/>
          </a:xfrm>
          <a:prstGeom prst="rect">
            <a:avLst/>
          </a:prstGeom>
          <a:solidFill>
            <a:srgbClr val="FFFFFF"/>
          </a:solidFill>
          <a:ln>
            <a:noFill/>
          </a:ln>
          <a:effectLst/>
          <a:extLst>
            <a:ext uri="{91240B29-F687-4F45-9708-019B960494DF}">
              <a14:hiddenLine xmlns:a14="http://schemas.microsoft.com/office/drawing/2010/main" w="9525">
                <a:solidFill>
                  <a:srgbClr val="003366"/>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20. AASHTO Figure 11.10.7.2-1 Seismic Internal Stability of a MSE Wall</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twoCellAnchor>
    <xdr:from>
      <xdr:col>1</xdr:col>
      <xdr:colOff>95250</xdr:colOff>
      <xdr:row>109</xdr:row>
      <xdr:rowOff>38100</xdr:rowOff>
    </xdr:from>
    <xdr:to>
      <xdr:col>8</xdr:col>
      <xdr:colOff>285750</xdr:colOff>
      <xdr:row>136</xdr:row>
      <xdr:rowOff>123825</xdr:rowOff>
    </xdr:to>
    <xdr:grpSp>
      <xdr:nvGrpSpPr>
        <xdr:cNvPr id="1054" name="Group 30">
          <a:extLst>
            <a:ext uri="{FF2B5EF4-FFF2-40B4-BE49-F238E27FC236}">
              <a16:creationId xmlns:a16="http://schemas.microsoft.com/office/drawing/2014/main" id="{00000000-0008-0000-0000-00001E040000}"/>
            </a:ext>
          </a:extLst>
        </xdr:cNvPr>
        <xdr:cNvGrpSpPr>
          <a:grpSpLocks/>
        </xdr:cNvGrpSpPr>
      </xdr:nvGrpSpPr>
      <xdr:grpSpPr bwMode="auto">
        <a:xfrm>
          <a:off x="238125" y="19545300"/>
          <a:ext cx="4457700" cy="4457700"/>
          <a:chOff x="2241" y="7384"/>
          <a:chExt cx="7020" cy="7020"/>
        </a:xfrm>
      </xdr:grpSpPr>
      <xdr:grpSp>
        <xdr:nvGrpSpPr>
          <xdr:cNvPr id="1055" name="Group 31">
            <a:extLst>
              <a:ext uri="{FF2B5EF4-FFF2-40B4-BE49-F238E27FC236}">
                <a16:creationId xmlns:a16="http://schemas.microsoft.com/office/drawing/2014/main" id="{00000000-0008-0000-0000-00001F040000}"/>
              </a:ext>
            </a:extLst>
          </xdr:cNvPr>
          <xdr:cNvGrpSpPr>
            <a:grpSpLocks/>
          </xdr:cNvGrpSpPr>
        </xdr:nvGrpSpPr>
        <xdr:grpSpPr bwMode="auto">
          <a:xfrm>
            <a:off x="2649" y="7384"/>
            <a:ext cx="6252" cy="3215"/>
            <a:chOff x="2781" y="7204"/>
            <a:chExt cx="6252" cy="3215"/>
          </a:xfrm>
        </xdr:grpSpPr>
        <xdr:pic>
          <xdr:nvPicPr>
            <xdr:cNvPr id="1056" name="Picture 32" descr="J:\DESIGN\MSE Wall\Scans\FigA11_10_6_4-1(2b).jpg">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81" y="8644"/>
              <a:ext cx="6252" cy="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57" name="Picture 33" descr="J:\DESIGN\MSE Wall\Scans\FigA11_10_6_4-1(2d).jpg">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61" y="7204"/>
              <a:ext cx="5228" cy="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58" name="Picture 34" descr="J:\DESIGN\MSE Wall\Scans\FigA11_10_6_4-1(2c).jpg">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81" y="9544"/>
            <a:ext cx="5051" cy="1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59" name="Text Box 35">
            <a:extLst>
              <a:ext uri="{FF2B5EF4-FFF2-40B4-BE49-F238E27FC236}">
                <a16:creationId xmlns:a16="http://schemas.microsoft.com/office/drawing/2014/main" id="{00000000-0008-0000-0000-000023040000}"/>
              </a:ext>
            </a:extLst>
          </xdr:cNvPr>
          <xdr:cNvSpPr txBox="1">
            <a:spLocks noChangeArrowheads="1"/>
          </xdr:cNvSpPr>
        </xdr:nvSpPr>
        <xdr:spPr bwMode="auto">
          <a:xfrm>
            <a:off x="2241" y="13684"/>
            <a:ext cx="7020" cy="72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18. AASHTO Figure 11.10.6.4-1 – Reinforcement Coverage Ratio for Metal Reinforcement</a:t>
            </a:r>
          </a:p>
          <a:p>
            <a:pPr algn="l" rtl="0">
              <a:defRPr sz="1000"/>
            </a:pPr>
            <a:endParaRPr lang="en-US" sz="900" b="0" i="0" u="none" strike="noStrike" baseline="0">
              <a:solidFill>
                <a:srgbClr val="000000"/>
              </a:solidFill>
              <a:latin typeface="Times New Roman"/>
              <a:cs typeface="Times New Roman"/>
            </a:endParaRPr>
          </a:p>
        </xdr:txBody>
      </xdr:sp>
      <xdr:pic>
        <xdr:nvPicPr>
          <xdr:cNvPr id="1060" name="Picture 36" descr="J:\DESIGN\MSE Wall\Scans\FigA11_10_6_4-1(2a).jpg">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01" y="11108"/>
            <a:ext cx="6263" cy="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314325</xdr:colOff>
      <xdr:row>109</xdr:row>
      <xdr:rowOff>0</xdr:rowOff>
    </xdr:from>
    <xdr:to>
      <xdr:col>15</xdr:col>
      <xdr:colOff>161925</xdr:colOff>
      <xdr:row>137</xdr:row>
      <xdr:rowOff>47625</xdr:rowOff>
    </xdr:to>
    <xdr:grpSp>
      <xdr:nvGrpSpPr>
        <xdr:cNvPr id="1061" name="Group 37">
          <a:extLst>
            <a:ext uri="{FF2B5EF4-FFF2-40B4-BE49-F238E27FC236}">
              <a16:creationId xmlns:a16="http://schemas.microsoft.com/office/drawing/2014/main" id="{00000000-0008-0000-0000-000025040000}"/>
            </a:ext>
          </a:extLst>
        </xdr:cNvPr>
        <xdr:cNvGrpSpPr>
          <a:grpSpLocks/>
        </xdr:cNvGrpSpPr>
      </xdr:nvGrpSpPr>
      <xdr:grpSpPr bwMode="auto">
        <a:xfrm>
          <a:off x="4724400" y="19507200"/>
          <a:ext cx="4114800" cy="4581525"/>
          <a:chOff x="2421" y="8104"/>
          <a:chExt cx="6480" cy="6120"/>
        </a:xfrm>
      </xdr:grpSpPr>
      <xdr:grpSp>
        <xdr:nvGrpSpPr>
          <xdr:cNvPr id="1062" name="Group 38">
            <a:extLst>
              <a:ext uri="{FF2B5EF4-FFF2-40B4-BE49-F238E27FC236}">
                <a16:creationId xmlns:a16="http://schemas.microsoft.com/office/drawing/2014/main" id="{00000000-0008-0000-0000-000026040000}"/>
              </a:ext>
            </a:extLst>
          </xdr:cNvPr>
          <xdr:cNvGrpSpPr>
            <a:grpSpLocks noChangeAspect="1"/>
          </xdr:cNvGrpSpPr>
        </xdr:nvGrpSpPr>
        <xdr:grpSpPr bwMode="auto">
          <a:xfrm>
            <a:off x="2601" y="10808"/>
            <a:ext cx="5150" cy="1789"/>
            <a:chOff x="1880" y="7204"/>
            <a:chExt cx="6061" cy="2105"/>
          </a:xfrm>
        </xdr:grpSpPr>
        <mc:AlternateContent xmlns:mc="http://schemas.openxmlformats.org/markup-compatibility/2006">
          <mc:Choice xmlns:a14="http://schemas.microsoft.com/office/drawing/2010/main" Requires="a14">
            <xdr:sp macro="" textlink="">
              <xdr:nvSpPr>
                <xdr:cNvPr id="1063" name="Object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1880" y="7739"/>
                  <a:ext cx="6061" cy="1570"/>
                </a:xfrm>
                <a:prstGeom prst="rect">
                  <a:avLst/>
                </a:prstGeom>
                <a:noFill/>
                <a:extLst>
                  <a:ext uri="{909E8E84-426E-40DD-AFC4-6F175D3DCCD1}">
                    <a14:hiddenFill>
                      <a:solidFill>
                        <a:srgbClr val="FFFFFF"/>
                      </a:solidFill>
                    </a14:hiddenFill>
                  </a:ext>
                </a:extLst>
              </xdr:spPr>
            </xdr:sp>
          </mc:Choice>
          <mc:Fallback/>
        </mc:AlternateContent>
        <xdr:sp macro="" textlink="">
          <xdr:nvSpPr>
            <xdr:cNvPr id="1064" name="Text Box 40">
              <a:extLst>
                <a:ext uri="{FF2B5EF4-FFF2-40B4-BE49-F238E27FC236}">
                  <a16:creationId xmlns:a16="http://schemas.microsoft.com/office/drawing/2014/main" id="{00000000-0008-0000-0000-000028040000}"/>
                </a:ext>
              </a:extLst>
            </xdr:cNvPr>
            <xdr:cNvSpPr txBox="1">
              <a:spLocks noChangeAspect="1" noChangeArrowheads="1"/>
            </xdr:cNvSpPr>
          </xdr:nvSpPr>
          <xdr:spPr bwMode="auto">
            <a:xfrm>
              <a:off x="2736" y="7204"/>
              <a:ext cx="306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Continuous Geosynthetic Sheets</a:t>
              </a:r>
            </a:p>
            <a:p>
              <a:pPr algn="l" rtl="0">
                <a:defRPr sz="1000"/>
              </a:pPr>
              <a:endParaRPr lang="en-US" sz="800" b="0" i="0" u="none" strike="noStrike" baseline="0">
                <a:solidFill>
                  <a:srgbClr val="000000"/>
                </a:solidFill>
                <a:latin typeface="Times New Roman"/>
                <a:cs typeface="Times New Roman"/>
              </a:endParaRPr>
            </a:p>
          </xdr:txBody>
        </xdr:sp>
      </xdr:grpSp>
      <xdr:grpSp>
        <xdr:nvGrpSpPr>
          <xdr:cNvPr id="1065" name="Group 41">
            <a:extLst>
              <a:ext uri="{FF2B5EF4-FFF2-40B4-BE49-F238E27FC236}">
                <a16:creationId xmlns:a16="http://schemas.microsoft.com/office/drawing/2014/main" id="{00000000-0008-0000-0000-000029040000}"/>
              </a:ext>
            </a:extLst>
          </xdr:cNvPr>
          <xdr:cNvGrpSpPr>
            <a:grpSpLocks noChangeAspect="1"/>
          </xdr:cNvGrpSpPr>
        </xdr:nvGrpSpPr>
        <xdr:grpSpPr bwMode="auto">
          <a:xfrm>
            <a:off x="2781" y="8104"/>
            <a:ext cx="4881" cy="2411"/>
            <a:chOff x="2601" y="3064"/>
            <a:chExt cx="5746" cy="2838"/>
          </a:xfrm>
        </xdr:grpSpPr>
        <xdr:pic>
          <xdr:nvPicPr>
            <xdr:cNvPr id="1066" name="Picture 42" descr="J:\DESIGN\MSE Wall\Scans\FigA11_10_6_4-2a.jpg">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601" y="3604"/>
              <a:ext cx="5746" cy="2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7" name="Text Box 43">
              <a:extLst>
                <a:ext uri="{FF2B5EF4-FFF2-40B4-BE49-F238E27FC236}">
                  <a16:creationId xmlns:a16="http://schemas.microsoft.com/office/drawing/2014/main" id="{00000000-0008-0000-0000-00002B040000}"/>
                </a:ext>
              </a:extLst>
            </xdr:cNvPr>
            <xdr:cNvSpPr txBox="1">
              <a:spLocks noChangeAspect="1" noChangeArrowheads="1"/>
            </xdr:cNvSpPr>
          </xdr:nvSpPr>
          <xdr:spPr bwMode="auto">
            <a:xfrm>
              <a:off x="2601" y="3064"/>
              <a:ext cx="324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Discontinuous Geosynthetic Sheets:</a:t>
              </a:r>
            </a:p>
            <a:p>
              <a:pPr algn="l" rtl="0">
                <a:defRPr sz="1000"/>
              </a:pPr>
              <a:endParaRPr lang="en-US" sz="800" b="0" i="0" u="none" strike="noStrike" baseline="0">
                <a:solidFill>
                  <a:srgbClr val="000000"/>
                </a:solidFill>
                <a:latin typeface="Times New Roman"/>
                <a:cs typeface="Times New Roman"/>
              </a:endParaRPr>
            </a:p>
          </xdr:txBody>
        </xdr:sp>
      </xdr:grpSp>
      <xdr:sp macro="" textlink="">
        <xdr:nvSpPr>
          <xdr:cNvPr id="1068" name="Text Box 44">
            <a:extLst>
              <a:ext uri="{FF2B5EF4-FFF2-40B4-BE49-F238E27FC236}">
                <a16:creationId xmlns:a16="http://schemas.microsoft.com/office/drawing/2014/main" id="{00000000-0008-0000-0000-00002C040000}"/>
              </a:ext>
            </a:extLst>
          </xdr:cNvPr>
          <xdr:cNvSpPr txBox="1">
            <a:spLocks noChangeArrowheads="1"/>
          </xdr:cNvSpPr>
        </xdr:nvSpPr>
        <xdr:spPr bwMode="auto">
          <a:xfrm>
            <a:off x="2601" y="12604"/>
            <a:ext cx="594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Rc =  Reinforcement coverage ratio = b / Sh</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Use Rc = 1 for continuous geosynthetic sheets (i.e., Sh = b = 1 unit width)</a:t>
            </a:r>
          </a:p>
          <a:p>
            <a:pPr algn="l" rtl="0">
              <a:defRPr sz="1000"/>
            </a:pPr>
            <a:endParaRPr lang="en-US" sz="800" b="0" i="0" u="none" strike="noStrike" baseline="0">
              <a:solidFill>
                <a:srgbClr val="000000"/>
              </a:solidFill>
              <a:latin typeface="Times New Roman"/>
              <a:cs typeface="Times New Roman"/>
            </a:endParaRPr>
          </a:p>
        </xdr:txBody>
      </xdr:sp>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2421" y="13504"/>
            <a:ext cx="6480" cy="72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19. AASHTO Figure 11.10.6.4-2 – Reinforcement Coverage Ratio for Geosynthetic Reinforcement</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107"/>
  <sheetViews>
    <sheetView view="pageBreakPreview" zoomScaleNormal="100" zoomScaleSheetLayoutView="100" workbookViewId="0">
      <selection activeCell="B1" sqref="B1"/>
    </sheetView>
  </sheetViews>
  <sheetFormatPr defaultRowHeight="12.75"/>
  <cols>
    <col min="1" max="1" width="2.140625" customWidth="1"/>
  </cols>
  <sheetData>
    <row r="1" spans="2:15">
      <c r="B1" s="70" t="s">
        <v>121</v>
      </c>
      <c r="C1" s="565" t="str">
        <f>IF(INPUT!$C$1="","",INPUT!$C$1)</f>
        <v>Test Run</v>
      </c>
      <c r="D1" s="565"/>
      <c r="E1" s="565"/>
      <c r="F1" s="565"/>
      <c r="G1" s="565"/>
      <c r="H1" s="565"/>
      <c r="I1" s="565"/>
      <c r="J1" s="71" t="s">
        <v>122</v>
      </c>
      <c r="K1" s="88" t="str">
        <f>IF(INPUT!$K$1="","",INPUT!$K$1)</f>
        <v/>
      </c>
      <c r="L1" s="70" t="s">
        <v>124</v>
      </c>
      <c r="M1" s="90" t="str">
        <f>IF(INPUT!$M$1="","",INPUT!$M$1)</f>
        <v/>
      </c>
    </row>
    <row r="2" spans="2:15">
      <c r="C2" s="566" t="str">
        <f>IF(INPUT!$C$2="","",INPUT!$C$2)</f>
        <v/>
      </c>
      <c r="D2" s="566"/>
      <c r="E2" s="566"/>
      <c r="F2" s="566"/>
      <c r="G2" s="566"/>
      <c r="H2" s="566"/>
      <c r="I2" s="566"/>
      <c r="J2" s="71" t="s">
        <v>123</v>
      </c>
      <c r="K2" s="89" t="str">
        <f>IF(INPUT!$K$2="","",INPUT!$K$2)</f>
        <v/>
      </c>
      <c r="L2" s="70" t="s">
        <v>124</v>
      </c>
      <c r="M2" s="91" t="str">
        <f>IF(INPUT!$M$2="","",INPUT!$M$2)</f>
        <v/>
      </c>
    </row>
    <row r="3" spans="2:15">
      <c r="C3" s="565" t="str">
        <f>IF(INPUT!$C$3="","",INPUT!$C$3)</f>
        <v/>
      </c>
      <c r="D3" s="565"/>
      <c r="E3" s="565"/>
      <c r="F3" s="565"/>
      <c r="G3" s="565"/>
      <c r="H3" s="565"/>
      <c r="I3" s="565"/>
      <c r="J3" s="72"/>
      <c r="K3" s="9"/>
    </row>
    <row r="5" spans="2:15" ht="18">
      <c r="B5" s="394" t="s">
        <v>145</v>
      </c>
      <c r="C5" s="395"/>
      <c r="D5" s="395"/>
      <c r="E5" s="395"/>
      <c r="F5" s="395"/>
      <c r="G5" s="395"/>
      <c r="H5" s="395"/>
      <c r="I5" s="395"/>
      <c r="J5" s="395"/>
      <c r="K5" s="567" t="s">
        <v>713</v>
      </c>
      <c r="L5" s="568"/>
      <c r="M5" s="569"/>
    </row>
    <row r="7" spans="2:15">
      <c r="B7" s="1" t="s">
        <v>136</v>
      </c>
    </row>
    <row r="8" spans="2:15" ht="126.75" customHeight="1">
      <c r="B8" s="564" t="s">
        <v>733</v>
      </c>
      <c r="C8" s="564"/>
      <c r="D8" s="564"/>
      <c r="E8" s="564"/>
      <c r="F8" s="564"/>
      <c r="G8" s="564"/>
      <c r="H8" s="564"/>
      <c r="I8" s="564"/>
      <c r="J8" s="564"/>
      <c r="K8" s="564"/>
      <c r="L8" s="564"/>
      <c r="M8" s="78"/>
    </row>
    <row r="10" spans="2:15">
      <c r="B10" s="1" t="s">
        <v>137</v>
      </c>
    </row>
    <row r="11" spans="2:15" ht="39.75" customHeight="1">
      <c r="B11" s="562" t="s">
        <v>719</v>
      </c>
      <c r="C11" s="563"/>
      <c r="D11" s="563"/>
      <c r="E11" s="563"/>
      <c r="F11" s="563"/>
      <c r="G11" s="563"/>
      <c r="H11" s="563"/>
      <c r="I11" s="563"/>
      <c r="J11" s="563"/>
      <c r="K11" s="563"/>
      <c r="L11" s="563"/>
      <c r="O11" s="102"/>
    </row>
    <row r="12" spans="2:15">
      <c r="O12" s="102"/>
    </row>
    <row r="13" spans="2:15">
      <c r="B13" s="1" t="s">
        <v>138</v>
      </c>
      <c r="O13" s="102"/>
    </row>
    <row r="14" spans="2:15">
      <c r="B14" s="67"/>
      <c r="C14" s="68" t="s">
        <v>120</v>
      </c>
    </row>
    <row r="15" spans="2:15">
      <c r="B15" s="69"/>
      <c r="C15" s="68" t="s">
        <v>126</v>
      </c>
    </row>
    <row r="16" spans="2:15">
      <c r="B16" s="431"/>
      <c r="C16" s="68" t="s">
        <v>127</v>
      </c>
    </row>
    <row r="17" spans="2:3">
      <c r="B17" s="430" t="s">
        <v>139</v>
      </c>
      <c r="C17" s="261" t="s">
        <v>712</v>
      </c>
    </row>
    <row r="19" spans="2:3">
      <c r="B19" s="1" t="s">
        <v>140</v>
      </c>
    </row>
    <row r="107" spans="3:13">
      <c r="C107" t="s">
        <v>141</v>
      </c>
      <c r="M107" t="s">
        <v>142</v>
      </c>
    </row>
  </sheetData>
  <mergeCells count="6">
    <mergeCell ref="B11:L11"/>
    <mergeCell ref="B8:L8"/>
    <mergeCell ref="C1:I1"/>
    <mergeCell ref="C2:I2"/>
    <mergeCell ref="C3:I3"/>
    <mergeCell ref="K5:M5"/>
  </mergeCells>
  <phoneticPr fontId="0" type="noConversion"/>
  <pageMargins left="0.75" right="0.75" top="1" bottom="1" header="0.5" footer="0.5"/>
  <pageSetup scale="64" orientation="portrait" r:id="rId1"/>
  <headerFooter alignWithMargins="0"/>
  <rowBreaks count="1" manualBreakCount="1">
    <brk id="65" max="16383" man="1"/>
  </rowBreaks>
  <drawing r:id="rId2"/>
  <legacyDrawing r:id="rId3"/>
  <oleObjects>
    <mc:AlternateContent xmlns:mc="http://schemas.openxmlformats.org/markup-compatibility/2006">
      <mc:Choice Requires="x14">
        <oleObject progId="Word.Picture.8" shapeId="1063" r:id="rId4">
          <objectPr defaultSize="0" autoPict="0" r:id="rId5">
            <anchor moveWithCells="1" sizeWithCells="1">
              <from>
                <xdr:col>8</xdr:col>
                <xdr:colOff>428625</xdr:colOff>
                <xdr:row>123</xdr:row>
                <xdr:rowOff>95250</xdr:rowOff>
              </from>
              <to>
                <xdr:col>14</xdr:col>
                <xdr:colOff>38100</xdr:colOff>
                <xdr:row>129</xdr:row>
                <xdr:rowOff>123825</xdr:rowOff>
              </to>
            </anchor>
          </objectPr>
        </oleObject>
      </mc:Choice>
      <mc:Fallback>
        <oleObject progId="Word.Picture.8" shapeId="1063" r:id="rId4"/>
      </mc:Fallback>
    </mc:AlternateContent>
    <mc:AlternateContent xmlns:mc="http://schemas.openxmlformats.org/markup-compatibility/2006">
      <mc:Choice Requires="x14">
        <oleObject progId="Word.Picture.8" shapeId="1026" r:id="rId6">
          <objectPr defaultSize="0" autoPict="0" r:id="rId7">
            <anchor moveWithCells="1" sizeWithCells="1">
              <from>
                <xdr:col>2</xdr:col>
                <xdr:colOff>371475</xdr:colOff>
                <xdr:row>19</xdr:row>
                <xdr:rowOff>76200</xdr:rowOff>
              </from>
              <to>
                <xdr:col>11</xdr:col>
                <xdr:colOff>152400</xdr:colOff>
                <xdr:row>45</xdr:row>
                <xdr:rowOff>161925</xdr:rowOff>
              </to>
            </anchor>
          </objectPr>
        </oleObject>
      </mc:Choice>
      <mc:Fallback>
        <oleObject progId="Word.Picture.8" shapeId="102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99"/>
  </sheetPr>
  <dimension ref="A1:AH191"/>
  <sheetViews>
    <sheetView tabSelected="1" topLeftCell="A46" zoomScaleNormal="100" zoomScaleSheetLayoutView="100" workbookViewId="0">
      <selection activeCell="L73" sqref="L73"/>
    </sheetView>
  </sheetViews>
  <sheetFormatPr defaultRowHeight="12.75"/>
  <cols>
    <col min="1" max="1" width="7.7109375" customWidth="1"/>
    <col min="10" max="10" width="10" customWidth="1"/>
    <col min="11" max="11" width="11.28515625" customWidth="1"/>
    <col min="13" max="13" width="11.5703125" customWidth="1"/>
    <col min="15" max="17" width="9.140625" customWidth="1"/>
  </cols>
  <sheetData>
    <row r="1" spans="1:22">
      <c r="B1" s="70" t="s">
        <v>121</v>
      </c>
      <c r="C1" s="580" t="s">
        <v>790</v>
      </c>
      <c r="D1" s="580"/>
      <c r="E1" s="580"/>
      <c r="F1" s="580"/>
      <c r="G1" s="580"/>
      <c r="H1" s="580"/>
      <c r="I1" s="580"/>
      <c r="J1" s="71" t="s">
        <v>122</v>
      </c>
      <c r="K1" s="92"/>
      <c r="L1" s="70" t="s">
        <v>124</v>
      </c>
      <c r="M1" s="94"/>
      <c r="P1" s="102"/>
    </row>
    <row r="2" spans="1:22">
      <c r="C2" s="581"/>
      <c r="D2" s="581"/>
      <c r="E2" s="581"/>
      <c r="F2" s="581"/>
      <c r="G2" s="581"/>
      <c r="H2" s="581"/>
      <c r="I2" s="581"/>
      <c r="J2" s="71" t="s">
        <v>123</v>
      </c>
      <c r="K2" s="93"/>
      <c r="L2" s="70" t="s">
        <v>124</v>
      </c>
      <c r="M2" s="95"/>
    </row>
    <row r="3" spans="1:22">
      <c r="C3" s="581"/>
      <c r="D3" s="581"/>
      <c r="E3" s="581"/>
      <c r="F3" s="581"/>
      <c r="G3" s="581"/>
      <c r="H3" s="581"/>
      <c r="I3" s="581"/>
      <c r="J3" s="72"/>
      <c r="K3" s="72"/>
      <c r="L3" s="1"/>
      <c r="M3" s="1"/>
    </row>
    <row r="4" spans="1:22">
      <c r="C4" s="85"/>
      <c r="D4" s="74"/>
      <c r="E4" s="74"/>
      <c r="F4" s="74"/>
      <c r="G4" s="74"/>
      <c r="H4" s="74"/>
      <c r="I4" s="72"/>
      <c r="J4" s="72"/>
      <c r="K4" s="9"/>
    </row>
    <row r="5" spans="1:22" ht="18">
      <c r="A5" s="392" t="s">
        <v>145</v>
      </c>
      <c r="B5" s="392"/>
      <c r="C5" s="392"/>
      <c r="D5" s="392"/>
      <c r="E5" s="392"/>
      <c r="F5" s="392"/>
      <c r="G5" s="392"/>
      <c r="H5" s="392"/>
      <c r="I5" s="392"/>
      <c r="J5" s="392"/>
      <c r="K5" s="392"/>
      <c r="L5" s="575" t="s">
        <v>714</v>
      </c>
      <c r="M5" s="576"/>
    </row>
    <row r="6" spans="1:22">
      <c r="J6" s="1"/>
      <c r="K6" s="1"/>
    </row>
    <row r="7" spans="1:22" ht="15">
      <c r="A7" s="120" t="s">
        <v>170</v>
      </c>
      <c r="B7" s="9"/>
      <c r="C7" s="79"/>
      <c r="D7" s="9"/>
      <c r="J7" s="1"/>
      <c r="K7" s="1"/>
    </row>
    <row r="8" spans="1:22">
      <c r="B8" s="9"/>
      <c r="C8" s="79"/>
      <c r="D8" s="9"/>
      <c r="I8" s="121" t="s">
        <v>177</v>
      </c>
      <c r="J8" s="121" t="s">
        <v>175</v>
      </c>
      <c r="K8" s="18" t="s">
        <v>2</v>
      </c>
      <c r="L8" s="18" t="s">
        <v>176</v>
      </c>
      <c r="M8" s="10" t="s">
        <v>544</v>
      </c>
    </row>
    <row r="9" spans="1:22">
      <c r="A9" s="8" t="s">
        <v>0</v>
      </c>
      <c r="B9" s="9"/>
      <c r="C9" s="79"/>
      <c r="D9" s="9"/>
      <c r="I9" s="121"/>
      <c r="J9" s="121"/>
      <c r="K9" s="18"/>
      <c r="L9" s="18"/>
      <c r="M9" s="10"/>
      <c r="P9" s="37"/>
    </row>
    <row r="10" spans="1:22">
      <c r="A10" s="8"/>
      <c r="B10" s="9"/>
      <c r="C10" s="79"/>
      <c r="D10" s="9"/>
      <c r="I10" s="6" t="s">
        <v>200</v>
      </c>
      <c r="J10" s="6" t="s">
        <v>158</v>
      </c>
      <c r="K10" s="2" t="s">
        <v>56</v>
      </c>
      <c r="L10" s="118">
        <v>15.97</v>
      </c>
      <c r="M10" s="142"/>
      <c r="P10" s="162"/>
    </row>
    <row r="11" spans="1:22" ht="15.75">
      <c r="B11" s="80"/>
      <c r="C11" s="79"/>
      <c r="D11" s="9"/>
      <c r="I11" s="6" t="s">
        <v>159</v>
      </c>
      <c r="J11" s="6" t="s">
        <v>162</v>
      </c>
      <c r="K11" s="2" t="s">
        <v>56</v>
      </c>
      <c r="L11" s="118">
        <v>43.16</v>
      </c>
      <c r="M11" s="142"/>
      <c r="P11" s="102"/>
      <c r="V11" s="37"/>
    </row>
    <row r="12" spans="1:22" ht="15.75">
      <c r="I12" s="6" t="s">
        <v>163</v>
      </c>
      <c r="J12" s="6" t="s">
        <v>164</v>
      </c>
      <c r="K12" s="2" t="s">
        <v>56</v>
      </c>
      <c r="L12" s="118">
        <v>0.46</v>
      </c>
      <c r="M12" s="142"/>
    </row>
    <row r="13" spans="1:22">
      <c r="A13" s="577" t="s">
        <v>293</v>
      </c>
      <c r="B13" s="577"/>
      <c r="C13" s="577"/>
      <c r="D13" s="577"/>
      <c r="E13" s="577"/>
      <c r="F13" s="577"/>
      <c r="G13" s="577"/>
      <c r="H13" s="577"/>
      <c r="I13" s="577"/>
      <c r="J13" s="577"/>
      <c r="K13" s="117" t="s">
        <v>218</v>
      </c>
      <c r="L13" s="119" t="s">
        <v>16</v>
      </c>
      <c r="M13" s="449" t="str">
        <f>IF(H="","",IF(Backfill&lt;&gt;0,"","ERROR - ENTER TYPE OF BACKFILL SLOPE."))</f>
        <v/>
      </c>
      <c r="R13" s="37"/>
    </row>
    <row r="14" spans="1:22">
      <c r="I14" s="6" t="s">
        <v>160</v>
      </c>
      <c r="J14" s="6" t="s">
        <v>165</v>
      </c>
      <c r="K14" s="20" t="s">
        <v>3</v>
      </c>
      <c r="L14" s="118"/>
      <c r="M14" s="449" t="str">
        <f>IF(H="","",IF(Beta&lt;&gt;0,IF(Backfill&lt;&gt;"h",IF(AND(PHI_fill&lt;&gt;0,Beta&gt;PHI_fill)=TRUE,"ERROR - ANGLE OF BACKFILL SLOPE MUST NOT EXCEED THE FRICTION ANGLE OF RETAINED FILL.",""),"ERROR - BETA ANGLE SHOULD NOT BE ENTERED FOR HORIZONTAL BACKFILL."),IF(Backfill="h","","ERROR - BETA ANGLE SHOULD BE ENTERED FOR SLOPING OR BROKEN BACKFILL.")))</f>
        <v/>
      </c>
    </row>
    <row r="15" spans="1:22" ht="15.75">
      <c r="I15" s="4" t="s">
        <v>169</v>
      </c>
      <c r="J15" s="4" t="s">
        <v>168</v>
      </c>
      <c r="K15" s="2" t="s">
        <v>56</v>
      </c>
      <c r="L15" s="118"/>
      <c r="M15" s="449" t="str">
        <f>IF(hB&lt;&gt;0,IF(Backfill&lt;&gt;"b","ERROR - hB SHOULD NOT BE ENTERED FOR HORIZONTAL OR SLOPING BACKFILL.",""),IF(Backfill="b","ERROR - hB SHOULD BE ENTERED FOR BROKEN BACKFILL.",""))</f>
        <v/>
      </c>
    </row>
    <row r="16" spans="1:22">
      <c r="A16" s="577" t="s">
        <v>219</v>
      </c>
      <c r="B16" s="577"/>
      <c r="C16" s="577"/>
      <c r="D16" s="577"/>
      <c r="E16" s="577"/>
      <c r="F16" s="577"/>
      <c r="G16" s="577"/>
      <c r="H16" s="577"/>
      <c r="I16" s="577"/>
      <c r="J16" s="577"/>
      <c r="K16" s="117" t="s">
        <v>218</v>
      </c>
      <c r="L16" s="119" t="s">
        <v>788</v>
      </c>
      <c r="M16" s="449" t="str">
        <f>IF(Abut_on_Piles&lt;&gt;"",IF(AND(Abut_on_Piles="y",Beta&lt;&gt;0)=TRUE,"ERROR - ABUTMENT SHOULD NOT BE USED FOR SLOPING BACKFILL CONDITION.",""),"ERROR - ENTER WHETHER AN ABUTMENT IS PRESENT (""y"" or ""n"").")</f>
        <v/>
      </c>
    </row>
    <row r="17" spans="1:24" ht="15.75">
      <c r="I17" s="6" t="s">
        <v>174</v>
      </c>
      <c r="J17" s="6" t="s">
        <v>171</v>
      </c>
      <c r="K17" s="2" t="s">
        <v>56</v>
      </c>
      <c r="L17" s="118">
        <v>7.64</v>
      </c>
      <c r="M17" s="449" t="str">
        <f>IF(Ah&lt;&gt;0,IF(Abut_on_Piles&lt;&gt;"y","ERROR - Ah SHOULD NOT BE ENTERED IF THERE IS NO ABUTMENT PRESENT.",""),IF(Abut_on_Piles="y","ERROR - Ah SHOULD BE ENTERED IF ABUTMENT IS PRESENT.",""))</f>
        <v/>
      </c>
    </row>
    <row r="18" spans="1:24" ht="15.75">
      <c r="I18" s="6" t="s">
        <v>390</v>
      </c>
      <c r="J18" s="6" t="s">
        <v>172</v>
      </c>
      <c r="K18" s="2" t="s">
        <v>56</v>
      </c>
      <c r="L18" s="118">
        <v>3</v>
      </c>
      <c r="M18" s="449" t="str">
        <f>IF(Af&lt;&gt;0,IF(Abut_on_Piles&lt;&gt;"y","ERROR - Af SHOULD NOT BE ENTERED IF THERE IS NO ABUTMENT PRESENT.",""),IF(Abut_on_Piles="y","ERROR - Af SHOULD BE ENTERED IF ABUTMENT IS PRESENT.",""))</f>
        <v/>
      </c>
    </row>
    <row r="19" spans="1:24" ht="15.75">
      <c r="I19" s="6" t="s">
        <v>565</v>
      </c>
      <c r="J19" s="6" t="s">
        <v>173</v>
      </c>
      <c r="K19" s="2" t="s">
        <v>56</v>
      </c>
      <c r="L19" s="118">
        <v>1</v>
      </c>
      <c r="M19" s="449" t="str">
        <f>CONCATENATE(IF(Ad&lt;&gt;"",IF(Abut_on_Piles&lt;&gt;"y","ERROR - Ad SHOULD NOT BE ENTERED IF THERE IS NO ABUTMENT PRESENT. ",""),IF(Abut_on_Piles="y","ERROR - Ad SHOULD BE ENTERED IF ABUTMENT IS PRESENT. ","")),IF(Ad&gt;Af,"WARNING - TOP OF ABUTMENT FOOTING IS BELOW TOP OF WALL.",""),IF(Ad&lt;0,"ERROR - Ad SHOULD NOT BE LESS THAN ZERO.",""))</f>
        <v/>
      </c>
    </row>
    <row r="20" spans="1:24">
      <c r="A20" s="577" t="s">
        <v>292</v>
      </c>
      <c r="B20" s="577"/>
      <c r="C20" s="577"/>
      <c r="D20" s="577"/>
      <c r="E20" s="577"/>
      <c r="F20" s="577"/>
      <c r="G20" s="577"/>
      <c r="H20" s="577"/>
      <c r="I20" s="577"/>
      <c r="J20" s="577"/>
      <c r="K20" s="117" t="s">
        <v>218</v>
      </c>
      <c r="L20" s="119" t="s">
        <v>156</v>
      </c>
      <c r="M20" s="449" t="str">
        <f>CONCATENATE(IF(Abut_on_Piles&lt;&gt;"y",IF(Backwall_Present="y","ERROR - ""y"" SHOULD NOT BE ENTERED IF THERE IS NO ABUTMENT PRESENT. ",""),""),IF(Backwall_Present&lt;&gt;0,IF(Abut_on_Piles&lt;&gt;"y","ERROR - LEAVE BLANK IF THERE IS NO ABUTMENT PRESENT. ",""),IF(Abut_on_Piles="y","ERROR - ENTER WHETHER THERE IS A BACKWALL PRESENT (""y"" or ""n"").","")))</f>
        <v/>
      </c>
    </row>
    <row r="21" spans="1:24" ht="15.75">
      <c r="I21" s="6" t="s">
        <v>181</v>
      </c>
      <c r="J21" s="6" t="s">
        <v>178</v>
      </c>
      <c r="K21" s="2" t="s">
        <v>56</v>
      </c>
      <c r="L21" s="118">
        <v>0.53</v>
      </c>
      <c r="M21" s="449" t="str">
        <f>CONCATENATE(IF(AND(Backfill="s",cf&gt;0)=TRUE,"ERROR - BARRIER LOCATED ON A SLOPE. ",""),IF(cf="",IF(OR(Abut_on_Piles="y",pw&lt;&gt;0)=TRUE,"ERROR - cf MUST BE ENTERED.",""),""))</f>
        <v/>
      </c>
    </row>
    <row r="22" spans="1:24" ht="15.75">
      <c r="I22" s="6" t="s">
        <v>179</v>
      </c>
      <c r="J22" s="6" t="s">
        <v>180</v>
      </c>
      <c r="K22" s="2" t="s">
        <v>56</v>
      </c>
      <c r="L22" s="118">
        <v>5.25</v>
      </c>
      <c r="M22" s="449" t="str">
        <f>CONCATENATE(IF(cf="","",IF(bf="","ERROR - bf MUST BE ENTERED IF cf IS ENTERED. ","")),IF(bf="","",IF(cf="","ERROR - cf MUST BE ENTERED IF bf IS ENTERED.","")))</f>
        <v/>
      </c>
    </row>
    <row r="23" spans="1:24" ht="15.75">
      <c r="I23" s="6" t="s">
        <v>316</v>
      </c>
      <c r="J23" s="6" t="s">
        <v>182</v>
      </c>
      <c r="K23" s="2" t="s">
        <v>56</v>
      </c>
      <c r="L23" s="118"/>
      <c r="M23" s="449" t="str">
        <f>IF(pw="",IF(AND(Abut_on_Piles="n",cf&lt;&gt;0),"ERROR - pw SHOULD BE ENTERED.",""),IF(Abut_on_Piles="y","ERROR - pw SHOULD NOT BE ENTERED FOR ABUTMENTS.",""))</f>
        <v/>
      </c>
    </row>
    <row r="24" spans="1:24" ht="15.75">
      <c r="I24" s="6" t="s">
        <v>758</v>
      </c>
      <c r="J24" s="6" t="s">
        <v>183</v>
      </c>
      <c r="K24" s="2" t="s">
        <v>56</v>
      </c>
      <c r="L24" s="118">
        <v>3.1549999999999998</v>
      </c>
      <c r="M24" s="449" t="str">
        <f>IF(Abut_on_Piles&lt;&gt;"y",IF(d&lt;&gt;0,"ERROR - d SHOULD NOT BE ENTERED IF NO ABUTMENT IS PRESENT.",""),IF(d&lt;&gt;0,"","ERROR - d MUST BE ENTERED (EVEN IF Pv LOAD IS ZERO)."))</f>
        <v/>
      </c>
      <c r="P24" s="102"/>
    </row>
    <row r="25" spans="1:24">
      <c r="J25" s="3"/>
      <c r="K25" s="2"/>
      <c r="L25" s="7"/>
      <c r="M25" s="449" t="str">
        <f>IF(Beta=0,"",IF(AND(Backfill="b",cf&lt;ROUNDDOWN(hB/TAN(RADIANS(Beta)),2),Abut_on_Piles="n",pw&lt;&gt;0)=TRUE,"ERROR - BARRIER IS LOCATED ON SLOPE.",IF(AND(Backfill="b",cf&lt;ROUNDDOWN(hB/TAN(RADIANS(Beta)),2),Abut_on_Piles="y")=TRUE,"ERROR - ABUTMENT FOOTING IS LOCATED ON SLOPE.","")))</f>
        <v/>
      </c>
      <c r="P25" s="102"/>
    </row>
    <row r="26" spans="1:24">
      <c r="A26" s="127" t="s">
        <v>190</v>
      </c>
      <c r="J26" s="3"/>
      <c r="K26" s="87"/>
      <c r="L26" s="7"/>
      <c r="M26" s="451" t="str">
        <f>IF(Abut_on_Piles="y",IF(d-bf/2=cf,"","ERROR - FOR ABUTMENT ON PILES, d SHOULD BE EQUAL TO cf + bf/2."),"")</f>
        <v/>
      </c>
      <c r="P26" s="102"/>
    </row>
    <row r="27" spans="1:24" ht="18.75">
      <c r="A27" s="127"/>
      <c r="I27" s="6" t="s">
        <v>166</v>
      </c>
      <c r="J27" s="6" t="s">
        <v>576</v>
      </c>
      <c r="K27" s="87" t="s">
        <v>792</v>
      </c>
      <c r="L27" s="118">
        <v>120</v>
      </c>
      <c r="M27" s="102" t="s">
        <v>818</v>
      </c>
      <c r="N27" s="187"/>
    </row>
    <row r="28" spans="1:24" ht="15.75">
      <c r="I28" s="6" t="s">
        <v>167</v>
      </c>
      <c r="J28" s="6" t="s">
        <v>184</v>
      </c>
      <c r="K28" s="87" t="s">
        <v>3</v>
      </c>
      <c r="L28" s="118">
        <v>34</v>
      </c>
      <c r="M28" s="449" t="str">
        <f>IF(PHI_reinf&gt;34,"WARNING - MAX FRICTION ANGLE IS 34 deg, UNLESS TESTED THEN MAX SHALL NOT EXCEED 40 deg [A11.10.6.2].","")</f>
        <v/>
      </c>
      <c r="N28" s="302"/>
      <c r="O28" s="10"/>
      <c r="P28" s="277"/>
      <c r="Q28" s="277"/>
      <c r="R28" s="277"/>
    </row>
    <row r="29" spans="1:24" ht="18.75" customHeight="1">
      <c r="I29" s="6" t="s">
        <v>391</v>
      </c>
      <c r="J29" s="6" t="s">
        <v>577</v>
      </c>
      <c r="K29" s="87" t="s">
        <v>792</v>
      </c>
      <c r="L29" s="118">
        <v>120</v>
      </c>
      <c r="M29" s="299" t="s">
        <v>218</v>
      </c>
      <c r="N29" s="146" t="s">
        <v>575</v>
      </c>
      <c r="O29" s="300">
        <f>ka*(2*gamma_fill)/1</f>
        <v>4.0000000000000008E-2</v>
      </c>
      <c r="P29" s="303" t="str">
        <f>IF(O29&gt;=Q29,"&gt;","&lt;")</f>
        <v>&gt;</v>
      </c>
      <c r="Q29" s="300">
        <f>0.035</f>
        <v>3.5000000000000003E-2</v>
      </c>
      <c r="R29" s="301" t="s">
        <v>731</v>
      </c>
      <c r="S29" s="474" t="s">
        <v>789</v>
      </c>
      <c r="T29" s="473"/>
      <c r="W29" s="298"/>
      <c r="X29" s="298"/>
    </row>
    <row r="30" spans="1:24" ht="15.75" customHeight="1">
      <c r="I30" s="6" t="s">
        <v>392</v>
      </c>
      <c r="J30" s="6" t="s">
        <v>185</v>
      </c>
      <c r="K30" s="87" t="s">
        <v>3</v>
      </c>
      <c r="L30" s="118">
        <v>30</v>
      </c>
      <c r="M30" s="80"/>
      <c r="N30" s="440" t="s">
        <v>732</v>
      </c>
      <c r="O30" s="574" t="str">
        <f>IF(O29&gt;=Q29,"","WARNING - PROPERTIES OF FILL RESULT IN A DESIGN EARTH PRESSURE LOWER THAN THE MINIMUM REQUIRED. A MINIMUM PRESSURE OF "&amp;(Q29)&amp;" ksf/ft WILL BE USED TO CALCULATE LATERAL EARTH PRESSURE FORCES.")</f>
        <v/>
      </c>
      <c r="P30" s="574"/>
      <c r="Q30" s="574"/>
      <c r="R30" s="574"/>
      <c r="S30" s="472"/>
      <c r="T30" s="473"/>
      <c r="W30" s="298"/>
      <c r="X30" s="298"/>
    </row>
    <row r="31" spans="1:24">
      <c r="A31" s="577" t="s">
        <v>291</v>
      </c>
      <c r="B31" s="577"/>
      <c r="C31" s="577"/>
      <c r="D31" s="577"/>
      <c r="E31" s="577"/>
      <c r="F31" s="577"/>
      <c r="G31" s="577"/>
      <c r="H31" s="577"/>
      <c r="I31" s="577"/>
      <c r="J31" s="577"/>
      <c r="K31" s="530" t="s">
        <v>218</v>
      </c>
      <c r="L31" s="119" t="s">
        <v>157</v>
      </c>
      <c r="M31" s="80"/>
      <c r="N31" s="297"/>
      <c r="O31" s="574"/>
      <c r="P31" s="574"/>
      <c r="Q31" s="574"/>
      <c r="R31" s="574"/>
      <c r="S31" s="472"/>
      <c r="T31" s="473"/>
      <c r="W31" s="298"/>
      <c r="X31" s="298"/>
    </row>
    <row r="32" spans="1:24" ht="15.75">
      <c r="I32" s="6" t="s">
        <v>161</v>
      </c>
      <c r="J32" s="6" t="s">
        <v>308</v>
      </c>
      <c r="K32" s="87" t="s">
        <v>3</v>
      </c>
      <c r="L32" s="118">
        <v>31</v>
      </c>
      <c r="M32" s="80"/>
      <c r="N32" s="297"/>
      <c r="O32" s="574"/>
      <c r="P32" s="574"/>
      <c r="Q32" s="574"/>
      <c r="R32" s="574"/>
      <c r="S32" s="472"/>
      <c r="T32" s="473"/>
      <c r="W32" s="298"/>
      <c r="X32" s="298"/>
    </row>
    <row r="33" spans="1:20" ht="16.5">
      <c r="I33" s="6" t="s">
        <v>187</v>
      </c>
      <c r="J33" s="6" t="s">
        <v>578</v>
      </c>
      <c r="K33" s="87" t="s">
        <v>792</v>
      </c>
      <c r="L33" s="118">
        <v>120</v>
      </c>
      <c r="M33" s="80"/>
      <c r="N33" s="297"/>
      <c r="O33" s="574"/>
      <c r="P33" s="574"/>
      <c r="Q33" s="574"/>
      <c r="R33" s="574"/>
      <c r="S33" s="472"/>
      <c r="T33" s="473"/>
    </row>
    <row r="34" spans="1:20" ht="18.75">
      <c r="I34" s="6" t="s">
        <v>188</v>
      </c>
      <c r="J34" s="6" t="s">
        <v>579</v>
      </c>
      <c r="K34" s="87" t="s">
        <v>792</v>
      </c>
      <c r="L34" s="118">
        <v>115</v>
      </c>
      <c r="M34" s="80"/>
      <c r="O34" s="574"/>
      <c r="P34" s="574"/>
      <c r="Q34" s="574"/>
      <c r="R34" s="574"/>
      <c r="S34" s="472"/>
      <c r="T34" s="473"/>
    </row>
    <row r="35" spans="1:20">
      <c r="I35" s="6" t="s">
        <v>202</v>
      </c>
      <c r="J35" s="6" t="s">
        <v>186</v>
      </c>
      <c r="K35" s="2" t="s">
        <v>153</v>
      </c>
      <c r="L35" s="118">
        <v>0</v>
      </c>
      <c r="M35" s="80"/>
      <c r="O35" s="574"/>
      <c r="P35" s="574"/>
      <c r="Q35" s="574"/>
      <c r="R35" s="574"/>
      <c r="S35" s="472"/>
      <c r="T35" s="473"/>
    </row>
    <row r="36" spans="1:20" ht="15.75">
      <c r="I36" s="6" t="s">
        <v>201</v>
      </c>
      <c r="J36" s="6" t="s">
        <v>289</v>
      </c>
      <c r="K36" s="2" t="s">
        <v>153</v>
      </c>
      <c r="L36" s="118"/>
      <c r="M36" s="80"/>
    </row>
    <row r="37" spans="1:20" ht="15.75">
      <c r="I37" s="6" t="s">
        <v>189</v>
      </c>
      <c r="J37" s="6" t="s">
        <v>290</v>
      </c>
      <c r="K37" s="2" t="s">
        <v>56</v>
      </c>
      <c r="L37" s="118">
        <v>3</v>
      </c>
      <c r="M37" s="453" t="str">
        <f>IF(H="","",IF(Df&lt;MAX(3,IF(wall_on_slope="y",IF(HC&gt;3,H/10,IF(HC&gt;2,(0.1-(0.1-1/7)*(3-HC)/(3-2))*H,(1/7-(1/7-0.2)*(2-HC)/(2-1.5))*H)),H/20)),"ERROR - EMBEDMENT DEPTH MUST BE INCREASED TO MEET MINIMUM REQUIREMENT OF "&amp;(ROUNDUP(MAX(3,IF(wall_on_slope="y",IF(HC&gt;3,H/10,IF(HC&gt;2,(0.1-(0.1-1/7)*(3-HC)/(3-2))*H,(1/7-(1/7-0.2)*(2-HC)/(2-1.5))*H)),H/20)),2))&amp;" ft.","REMINDER - ENSURE DEPTH MEETS MINIMUM REQUIREMENTS FOR FROST PROTECTION."))</f>
        <v>REMINDER - ENSURE DEPTH MEETS MINIMUM REQUIREMENTS FOR FROST PROTECTION.</v>
      </c>
    </row>
    <row r="38" spans="1:20">
      <c r="A38" s="577" t="s">
        <v>743</v>
      </c>
      <c r="B38" s="577"/>
      <c r="C38" s="577"/>
      <c r="D38" s="577"/>
      <c r="E38" s="577"/>
      <c r="F38" s="577"/>
      <c r="G38" s="577"/>
      <c r="H38" s="577"/>
      <c r="I38" s="577"/>
      <c r="J38" s="577"/>
      <c r="K38" s="117" t="s">
        <v>218</v>
      </c>
      <c r="L38" s="119" t="s">
        <v>156</v>
      </c>
      <c r="M38" s="449" t="str">
        <f>IF(H="","",IF(wall_on_slope="","ERROR - ENTER WHETHER GROUND IN FRONT OF STRUCTURE IS SLOPING (""y"" or ""n""). ENTER ""n"" FOR HORIZONTAL (NO SLOPE).",""))</f>
        <v/>
      </c>
    </row>
    <row r="39" spans="1:20">
      <c r="I39" s="6" t="s">
        <v>744</v>
      </c>
      <c r="J39" s="6" t="s">
        <v>191</v>
      </c>
      <c r="K39" s="2" t="s">
        <v>4</v>
      </c>
      <c r="L39" s="118"/>
      <c r="M39" s="449" t="str">
        <f>IF(H="","",IF(wall_on_slope="n",IF(HC="","","ERROR - THE HORIZONTAL COMPONENT SHOULD NOT BE ENTERED IF SLOPE IS HORIZONTAL."),IF(HC="","ERROR - ENTER HORIZONTAL COMPONENT OF SLOPE IN FRONT OF STRUCTURE.",IF(HC&lt;1.5,"ERROR - HORIZONTAL COMPONENT MUST BE GREATER THAN OR EQUAL TO 1.5.",""))))</f>
        <v/>
      </c>
      <c r="P39" s="102"/>
    </row>
    <row r="40" spans="1:20" ht="15.75">
      <c r="I40" s="6" t="s">
        <v>741</v>
      </c>
      <c r="J40" s="6" t="s">
        <v>740</v>
      </c>
      <c r="K40" s="439" t="s">
        <v>4</v>
      </c>
      <c r="L40" s="118"/>
      <c r="M40" s="449" t="str">
        <f>IF(wall_on_slope="n",IF(Ncq&lt;&gt;0,"ERROR - LEAVE BLANK IF NO SLOPE EXISTS IN FRONT OF STRUCTURE.",""),IF(cohesion=0,"",IF(Ncq&lt;&gt;0,IF(Ncq&gt;Nc,"WARNING - INPUT BEARING FACTOR IS GREATER THAN THAT FOR LEVEL GROUND CONDITION (Nc = "&amp;(ROUNDDOWN(Nc,1))&amp;"). REVISE INPUT.",""),"ERROR - WALL IS ADJACENT TO SLOPE. ENTER MODIFIED BRG CAPACITY FACTOR FOR COHESIVE SOIL BASED ON FIG. A10.6.3.1.2c-1.")))</f>
        <v/>
      </c>
      <c r="P40" s="102"/>
    </row>
    <row r="41" spans="1:20" ht="17.25">
      <c r="I41" s="6" t="s">
        <v>745</v>
      </c>
      <c r="J41" s="6" t="s">
        <v>753</v>
      </c>
      <c r="K41" s="450" t="s">
        <v>4</v>
      </c>
      <c r="L41" s="118"/>
      <c r="M41" s="449" t="str">
        <f>IF(wall_on_slope="n",IF(Ngq&lt;&gt;0,"ERROR - LEAVE BLANK IF NO SLOPE EXISTS IN FRONT OF STRUCTURE.",""),IF(Ngq&lt;&gt;0,IF(PHI_base=0,"",IF(Ngq&gt;Ng,"WARNING - INPUT BEARING FACTOR IS GREATER THAN THAT FOR LEVEL GROUND CONDITION (Ng = "&amp;(ROUNDDOWN(Ng,1))&amp;"). REVISE INPUT.","")),IF(PHI_base=0,"","ERROR - WALL IS ADJACENT TO SLOPE. ENTER MODIFIED BRG CAPACITY FACTOR FOR COHESIONLESS SOIL BASED ON FIG. A10.6.3.1.2c-2.")))</f>
        <v/>
      </c>
      <c r="P41" s="102"/>
    </row>
    <row r="42" spans="1:20" ht="15.75">
      <c r="I42" s="6" t="s">
        <v>566</v>
      </c>
      <c r="J42" s="6" t="s">
        <v>294</v>
      </c>
      <c r="K42" s="2" t="s">
        <v>153</v>
      </c>
      <c r="L42" s="118"/>
      <c r="M42" s="449" t="str">
        <f>IF(Co&lt;&gt;"",IF(base_matl&lt;&gt;"r","ERROR - Co SHOULD NOT BE ENTERED IF MATERIAL IS NOT ROCK.",""),IF(base_matl="r","ERROR - Co MUST BE ENTERED FOR ROCK MATERIAL.",""))</f>
        <v/>
      </c>
    </row>
    <row r="43" spans="1:20" ht="15.75">
      <c r="I43" s="6" t="s">
        <v>742</v>
      </c>
      <c r="J43" s="6" t="s">
        <v>192</v>
      </c>
      <c r="K43" s="2" t="s">
        <v>56</v>
      </c>
      <c r="L43" s="118">
        <v>30</v>
      </c>
      <c r="M43" s="449" t="str">
        <f>IF(H="","",IF(z_water="","ERROR - DEPTH TO WATER TABLE SHOULD BE ENTERED, OTHERWISE DEPTH WILL BE TAKEN AS ZERO.",IF(z_water&lt;0,"WARNING - WATER TABLE IS LOCATED ABOVE BASE OF WALL. SATURATED UNIT WEIGHT WILL BE USED FOR BEARING CAPACITY.","")))</f>
        <v/>
      </c>
    </row>
    <row r="44" spans="1:20" ht="15.75">
      <c r="I44" s="6" t="s">
        <v>194</v>
      </c>
      <c r="J44" s="6" t="s">
        <v>193</v>
      </c>
      <c r="K44" s="20" t="s">
        <v>4</v>
      </c>
      <c r="L44" s="122"/>
      <c r="M44" s="449" t="str">
        <f>IF(Nms&lt;&gt;"",IF(base_matl&lt;&gt;"r","ERROR - Nms SHOULD NOT BE ENTERED IF MATERIAL IS NOT ROCK.",""),IF(base_matl="r","ERROR - Nms MUST BE ENTERED FOR ROCK MATERIAL.",""))</f>
        <v/>
      </c>
    </row>
    <row r="45" spans="1:20" ht="14.25">
      <c r="I45" s="6" t="s">
        <v>197</v>
      </c>
      <c r="J45" s="6" t="s">
        <v>195</v>
      </c>
      <c r="K45" s="20" t="s">
        <v>4</v>
      </c>
      <c r="L45" s="128">
        <v>1</v>
      </c>
      <c r="M45" s="80"/>
    </row>
    <row r="46" spans="1:20" ht="15.75">
      <c r="I46" s="6" t="s">
        <v>196</v>
      </c>
      <c r="J46" s="6" t="s">
        <v>393</v>
      </c>
      <c r="K46" s="20" t="s">
        <v>4</v>
      </c>
      <c r="L46" s="128">
        <v>0.45</v>
      </c>
      <c r="M46" s="80"/>
      <c r="P46" s="102"/>
    </row>
    <row r="47" spans="1:20" ht="15.75">
      <c r="I47" s="6" t="s">
        <v>198</v>
      </c>
      <c r="J47" s="6" t="s">
        <v>199</v>
      </c>
      <c r="K47" s="20" t="s">
        <v>4</v>
      </c>
      <c r="L47" s="128">
        <v>1</v>
      </c>
      <c r="M47" s="80"/>
    </row>
    <row r="48" spans="1:20">
      <c r="J48" s="3"/>
      <c r="K48" s="2"/>
      <c r="L48" s="7"/>
      <c r="M48" s="80"/>
    </row>
    <row r="49" spans="1:17">
      <c r="A49" s="127" t="s">
        <v>286</v>
      </c>
      <c r="J49" s="5"/>
      <c r="K49" s="32"/>
      <c r="L49" s="2"/>
      <c r="M49" s="80"/>
    </row>
    <row r="50" spans="1:17">
      <c r="I50" s="6" t="s">
        <v>387</v>
      </c>
      <c r="J50" s="3" t="s">
        <v>211</v>
      </c>
      <c r="K50" s="20" t="s">
        <v>204</v>
      </c>
      <c r="L50" s="112">
        <v>0.15</v>
      </c>
      <c r="M50" s="80"/>
      <c r="N50" s="37"/>
    </row>
    <row r="51" spans="1:17">
      <c r="I51" s="157" t="s">
        <v>388</v>
      </c>
      <c r="J51" s="11" t="s">
        <v>212</v>
      </c>
      <c r="K51" s="20" t="s">
        <v>203</v>
      </c>
      <c r="L51" s="149">
        <v>0.09</v>
      </c>
      <c r="M51" s="451" t="str">
        <f>IF(AND(Backfill&lt;&gt;"h",DW&lt;&gt;0)=TRUE,"WARNING - DW LOAD MAY NOT BE APPLICABLE FOR SLOPING OR BROKEN BACKFILL CASE.","")</f>
        <v/>
      </c>
      <c r="N51" s="102"/>
      <c r="P51" s="102"/>
    </row>
    <row r="52" spans="1:17" ht="15.75">
      <c r="I52" s="6" t="s">
        <v>725</v>
      </c>
      <c r="J52" s="6" t="s">
        <v>217</v>
      </c>
      <c r="K52" s="2" t="s">
        <v>56</v>
      </c>
      <c r="L52" s="118">
        <v>3</v>
      </c>
      <c r="M52" s="449" t="str">
        <f>IF(AND(heq&lt;&gt;0,heq&lt;3)=TRUE,"WARNING - 3 ft MINIMUM LIVE LOAD SURCHARGE IS REQUIRED IF LL IS PRESENT [D11.6.1.2 and D3.11.6.4].","")</f>
        <v/>
      </c>
    </row>
    <row r="53" spans="1:17" ht="15.75">
      <c r="A53" s="127"/>
      <c r="I53" s="6" t="s">
        <v>726</v>
      </c>
      <c r="J53" s="6" t="s">
        <v>567</v>
      </c>
      <c r="K53" s="2" t="s">
        <v>56</v>
      </c>
      <c r="L53" s="118">
        <v>3</v>
      </c>
      <c r="M53" s="449" t="str">
        <f>IF(H="","",IF(heq_t="","WARNING - heq_t MUST BE ENTERED FOR CHECKING TEMPORARY CONSTRUCTION LIVE LOAD.",IF(heq_t&lt;3,"WARNING - 3 ft MINIMUM LIVE LOAD SURCHARGE IS REQUIRED IF LL IS PRESENT [D11.6.1.2 and D3.11.6.4].","")))</f>
        <v/>
      </c>
      <c r="P53" s="102"/>
    </row>
    <row r="54" spans="1:17" s="9" customFormat="1" ht="15.75">
      <c r="I54" s="159" t="s">
        <v>727</v>
      </c>
      <c r="J54" s="159" t="s">
        <v>730</v>
      </c>
      <c r="K54" s="7" t="s">
        <v>213</v>
      </c>
      <c r="L54" s="123"/>
      <c r="M54" s="449" t="str">
        <f>IF(H="","",IF(Abut_on_Piles="y",IF(L54&lt;&gt;"","ERROR - COLLISION LOADS ARE NOT APPLICABLE TO WALLS WITH ABUTMENTS.",""),""))</f>
        <v/>
      </c>
      <c r="P54" s="102"/>
    </row>
    <row r="55" spans="1:17" s="9" customFormat="1" ht="15.75">
      <c r="I55" s="275" t="s">
        <v>728</v>
      </c>
      <c r="J55" s="289" t="s">
        <v>724</v>
      </c>
      <c r="K55" s="7" t="s">
        <v>213</v>
      </c>
      <c r="L55" s="123"/>
      <c r="M55" s="449" t="str">
        <f>IF(H="","",IF(Abut_on_Piles="y",IF(L55&lt;&gt;"","ERROR - COLLISION LOADS ARE NOT APPLICABLE TO WALLS WITH ABUTMENTS.",""),""))</f>
        <v/>
      </c>
      <c r="P55" s="102"/>
    </row>
    <row r="56" spans="1:17" ht="15.75">
      <c r="I56" s="6" t="s">
        <v>409</v>
      </c>
      <c r="J56" s="6" t="s">
        <v>397</v>
      </c>
      <c r="K56" s="2" t="s">
        <v>213</v>
      </c>
      <c r="L56" s="118">
        <v>2.363</v>
      </c>
      <c r="M56" s="449" t="str">
        <f>IF(L56&lt;&gt;"",IF(Abut_on_Piles&lt;&gt;"y","ERROR - Pv SHOULD NOT BE ENTERED IF ABUTMENT IS NOT PRESENT.",""),IF(Abut_on_Piles="y","WARNING - Pv LOAD SHOULD BE ENTERED IF ABUTMENT IS PRESENT.",""))</f>
        <v/>
      </c>
      <c r="P56" s="102"/>
    </row>
    <row r="57" spans="1:17" ht="15.75">
      <c r="I57" s="6" t="s">
        <v>729</v>
      </c>
      <c r="J57" s="3" t="s">
        <v>216</v>
      </c>
      <c r="K57" s="114" t="s">
        <v>213</v>
      </c>
      <c r="L57" s="118">
        <v>1.4</v>
      </c>
      <c r="M57" s="449" t="str">
        <f>IF(L57&lt;&gt;"",IF(Abut_on_Piles&lt;&gt;"y","ERROR - PH1a SHOULD NOT BE ENTERED IF ABUTMENT IS NOT PRESENT.",""),IF(Abut_on_Piles="y","WARNING - PH1a LOAD SHOULD BE ENTERED IF ABUTMENT IS PRESENT.",""))</f>
        <v/>
      </c>
      <c r="P57" s="102"/>
    </row>
    <row r="58" spans="1:17">
      <c r="J58" s="3"/>
      <c r="K58" s="2"/>
      <c r="L58" s="109"/>
      <c r="M58" s="80"/>
    </row>
    <row r="59" spans="1:17">
      <c r="A59" s="127" t="s">
        <v>245</v>
      </c>
      <c r="J59" s="5"/>
      <c r="K59" s="32"/>
      <c r="L59" s="109"/>
      <c r="M59" s="80"/>
      <c r="O59" s="9"/>
    </row>
    <row r="60" spans="1:17">
      <c r="A60" s="577" t="s">
        <v>738</v>
      </c>
      <c r="B60" s="577"/>
      <c r="C60" s="577"/>
      <c r="D60" s="577"/>
      <c r="E60" s="577"/>
      <c r="F60" s="577"/>
      <c r="G60" s="577"/>
      <c r="H60" s="577"/>
      <c r="I60" s="577"/>
      <c r="J60" s="577"/>
      <c r="K60" s="117" t="s">
        <v>218</v>
      </c>
      <c r="L60" s="119" t="s">
        <v>157</v>
      </c>
      <c r="M60" s="449" t="str">
        <f>IF(H="","",IF(Type_Reinf="","ERROR - TYPE OF REINFORCEMENT MUST BE ENTERED.",IF(Type_Reinf="s","",IF(Type_Reinf="g","",IF(Type_Reinf="m","",IF(Type_Reinf="w","","ERROR - THE TYPE OF REINFORCEMENT ENTERED IS NOT DEFINED. "))))))</f>
        <v/>
      </c>
    </row>
    <row r="61" spans="1:17">
      <c r="A61" s="577" t="s">
        <v>735</v>
      </c>
      <c r="B61" s="577"/>
      <c r="C61" s="577"/>
      <c r="D61" s="577"/>
      <c r="E61" s="577"/>
      <c r="F61" s="577"/>
      <c r="G61" s="577"/>
      <c r="H61" s="577"/>
      <c r="I61" s="577"/>
      <c r="J61" s="577"/>
      <c r="K61" s="117" t="s">
        <v>218</v>
      </c>
      <c r="L61" s="122" t="s">
        <v>791</v>
      </c>
      <c r="M61" s="449" t="str">
        <f>IF(Type_Steel_Strip&lt;&gt;"",IF(Type_Reinf="s",IF(Type_Steel_Strip="s","",IF(Type_Steel_Strip="r","","ERROR - THE TYPE OF STEEL STRIPS ENTERED IS NOT DEFINED.")),"ERROR - REINFORCEMENT DATA IS INCONSISTENT."),IF(AND(Type_Reinf="s",Type_Steel_Strip="")=TRUE,"ERROR - TYPE OF STEEL STRIPS MUST BE ENTERED.",""))</f>
        <v/>
      </c>
      <c r="N61" s="102"/>
    </row>
    <row r="62" spans="1:17">
      <c r="A62" s="577" t="s">
        <v>734</v>
      </c>
      <c r="B62" s="577"/>
      <c r="C62" s="577"/>
      <c r="D62" s="577"/>
      <c r="E62" s="577"/>
      <c r="F62" s="577"/>
      <c r="G62" s="577"/>
      <c r="H62" s="577"/>
      <c r="I62" s="577"/>
      <c r="J62" s="577"/>
      <c r="K62" s="117" t="s">
        <v>218</v>
      </c>
      <c r="L62" s="122"/>
      <c r="M62" s="449" t="str">
        <f>IF(Type_of_Geo&lt;&gt;"",IF(Type_Reinf&lt;&gt;"g","ERROR - REINFORCEMENT DATA IS INCONSISTENT.",IF(OR(Type_of_Geo="d",Type_of_Geo="t")=FALSE,"ERROR - THE TYPE OF GEOSYNTHETIC ENTERED IS NOT DEFINED.","")),IF(Type_Reinf="g","ERROR - TYPE OF GEOSYNTHETIC REINFORCEMENT MUST BE ENTERED.",""))</f>
        <v/>
      </c>
    </row>
    <row r="63" spans="1:17">
      <c r="A63" s="577" t="s">
        <v>220</v>
      </c>
      <c r="B63" s="577"/>
      <c r="C63" s="577"/>
      <c r="D63" s="577"/>
      <c r="E63" s="577"/>
      <c r="F63" s="577"/>
      <c r="G63" s="577"/>
      <c r="H63" s="577"/>
      <c r="I63" s="577"/>
      <c r="J63" s="577"/>
      <c r="K63" s="117" t="s">
        <v>218</v>
      </c>
      <c r="L63" s="119"/>
      <c r="M63" s="449" t="str">
        <f>IF(Geo_Conn&lt;&gt;"",IF(Type_Reinf&lt;&gt;"g","ERROR - REINFORCEMENT DATA IS INCONSISTENT.",""),IF(Type_Reinf="g","ERROR - TYPE OF CONNECTION MUST BE ENTERED.",""))</f>
        <v/>
      </c>
    </row>
    <row r="64" spans="1:17">
      <c r="A64" s="578" t="s">
        <v>515</v>
      </c>
      <c r="B64" s="578"/>
      <c r="C64" s="578"/>
      <c r="D64" s="578"/>
      <c r="E64" s="578"/>
      <c r="F64" s="578"/>
      <c r="G64" s="578"/>
      <c r="H64" s="578"/>
      <c r="I64" s="578"/>
      <c r="J64" s="578"/>
      <c r="K64" s="117" t="s">
        <v>218</v>
      </c>
      <c r="L64" s="119" t="s">
        <v>156</v>
      </c>
      <c r="M64" s="449" t="str">
        <f>IF(H="","",IF(Geo_Face="","ERROR - ENTER WHETHER WALL FACE IS GEOSYNTHETIC (""y"" or ""n"").",IF(AND(Geo_Face="y",Type_Reinf&lt;&gt;"g")=TRUE,"ERROR - REINFORCEMENT DATA IS INCONSISTENT.","")))</f>
        <v/>
      </c>
      <c r="Q64" s="162"/>
    </row>
    <row r="65" spans="1:34" ht="15.75">
      <c r="I65" s="38" t="s">
        <v>809</v>
      </c>
      <c r="J65" s="38" t="s">
        <v>144</v>
      </c>
      <c r="K65" s="2" t="s">
        <v>56</v>
      </c>
      <c r="L65" s="37" t="s">
        <v>221</v>
      </c>
      <c r="M65" s="80"/>
    </row>
    <row r="66" spans="1:34">
      <c r="A66" s="573" t="s">
        <v>516</v>
      </c>
      <c r="B66" s="573"/>
      <c r="C66" s="573"/>
      <c r="D66" s="573"/>
      <c r="E66" s="573"/>
      <c r="F66" s="573"/>
      <c r="G66" s="573"/>
      <c r="H66" s="573"/>
      <c r="I66" s="573"/>
      <c r="J66" s="573"/>
      <c r="K66" s="117" t="s">
        <v>218</v>
      </c>
      <c r="L66" s="119" t="s">
        <v>156</v>
      </c>
      <c r="M66" s="449" t="str">
        <f>IF(H="","",IF(Reinf_cont="","ERROR - ENTER WHETHER REINFORCING IS CONTINUOUS ALONG WALL (""y"" or ""n"").",""))</f>
        <v/>
      </c>
    </row>
    <row r="67" spans="1:34">
      <c r="A67" s="573" t="s">
        <v>282</v>
      </c>
      <c r="B67" s="573"/>
      <c r="C67" s="573"/>
      <c r="D67" s="573"/>
      <c r="E67" s="573"/>
      <c r="F67" s="573"/>
      <c r="G67" s="573"/>
      <c r="H67" s="573"/>
      <c r="I67" s="573"/>
      <c r="J67" s="573"/>
      <c r="K67" s="117" t="s">
        <v>218</v>
      </c>
      <c r="L67" s="122" t="s">
        <v>156</v>
      </c>
      <c r="M67" s="449" t="str">
        <f>IF(Segmental_Block="y",IF(Sv&gt;MIN(2.7,2*Tw),"WARNING - MAXIMUM VALUE OF Sv IS LIMITED TO THE MINIMUM OF 2.7 ft or 2*Tw [A11.10.2.3.1].",""),"")</f>
        <v/>
      </c>
      <c r="W67" s="582" t="s">
        <v>287</v>
      </c>
      <c r="X67" s="582"/>
      <c r="Y67" s="582"/>
      <c r="Z67" s="582"/>
      <c r="AA67" s="582"/>
      <c r="AB67" s="582"/>
    </row>
    <row r="68" spans="1:34" ht="15.75">
      <c r="I68" s="246" t="s">
        <v>613</v>
      </c>
      <c r="J68" s="38" t="s">
        <v>283</v>
      </c>
      <c r="K68" s="20" t="s">
        <v>3</v>
      </c>
      <c r="L68" s="122"/>
      <c r="M68" s="80"/>
      <c r="P68" s="102"/>
      <c r="W68" s="37"/>
      <c r="X68" s="37"/>
      <c r="Y68" s="448" t="str">
        <f>IF(Sv="v","Maximum Height = ","")</f>
        <v/>
      </c>
      <c r="Z68" s="441" t="str">
        <f>IF(Sv="v",H,"")</f>
        <v/>
      </c>
      <c r="AA68" s="441" t="str">
        <f>IF(Z68="","","ft")</f>
        <v/>
      </c>
      <c r="AB68" s="37"/>
    </row>
    <row r="69" spans="1:34" ht="15.75">
      <c r="A69" s="583" t="s">
        <v>614</v>
      </c>
      <c r="B69" s="583"/>
      <c r="C69" s="583"/>
      <c r="D69" s="583"/>
      <c r="E69" s="583"/>
      <c r="F69" s="583"/>
      <c r="G69" s="583"/>
      <c r="H69" s="583"/>
      <c r="I69" s="583"/>
      <c r="J69" s="583"/>
      <c r="K69" s="117" t="s">
        <v>218</v>
      </c>
      <c r="L69" s="122" t="s">
        <v>156</v>
      </c>
      <c r="M69" s="449" t="str">
        <f>IF(AND(rho&lt;&gt;"",rho_experimental="")=TRUE,"ERROR - THIS QUESTION SHOULD BE ANSWERED IF rho FRICTION ANGLE IS INPUT.","")</f>
        <v/>
      </c>
      <c r="P69" s="102"/>
      <c r="W69" s="100" t="s">
        <v>34</v>
      </c>
      <c r="X69" s="100" t="s">
        <v>274</v>
      </c>
      <c r="Y69" s="100" t="s">
        <v>35</v>
      </c>
      <c r="Z69" s="100" t="s">
        <v>34</v>
      </c>
      <c r="AA69" s="100" t="s">
        <v>274</v>
      </c>
      <c r="AB69" s="100" t="s">
        <v>35</v>
      </c>
    </row>
    <row r="70" spans="1:34" ht="15.75">
      <c r="I70" s="6" t="s">
        <v>284</v>
      </c>
      <c r="J70" s="6" t="s">
        <v>285</v>
      </c>
      <c r="K70" s="20" t="s">
        <v>215</v>
      </c>
      <c r="L70" s="118">
        <v>60</v>
      </c>
      <c r="M70" s="80"/>
      <c r="W70" s="131" t="s">
        <v>146</v>
      </c>
      <c r="X70" s="131" t="s">
        <v>56</v>
      </c>
      <c r="Y70" s="131" t="s">
        <v>56</v>
      </c>
      <c r="Z70" s="131" t="s">
        <v>146</v>
      </c>
      <c r="AA70" s="131" t="s">
        <v>56</v>
      </c>
      <c r="AB70" s="131" t="s">
        <v>56</v>
      </c>
      <c r="AD70" s="9"/>
      <c r="AE70" s="9"/>
      <c r="AF70" s="9"/>
      <c r="AG70" s="579" t="s">
        <v>754</v>
      </c>
      <c r="AH70" s="579"/>
    </row>
    <row r="71" spans="1:34" ht="15.75">
      <c r="I71" s="6" t="s">
        <v>225</v>
      </c>
      <c r="J71" s="6" t="s">
        <v>226</v>
      </c>
      <c r="K71" s="2" t="s">
        <v>56</v>
      </c>
      <c r="L71" s="118">
        <v>21</v>
      </c>
      <c r="M71" s="449" t="str">
        <f>IF(H="","",IF(OR(L_reinf&lt;0.7*(H+Ah-Ad),L_reinf&lt;8)=TRUE, "WARNING - LENGTH OF REINFORCEMENT DOES NOT MEET MIN. REQUIREMENT OF "&amp;(ROUNDUP(MAX(0.7*(H+Ah-Ad),8),2))&amp;" ft [A11.10.2.1].",""))</f>
        <v/>
      </c>
      <c r="P71" s="102"/>
      <c r="V71" s="102"/>
      <c r="W71" s="131">
        <v>1</v>
      </c>
      <c r="X71" s="447">
        <f>Y71</f>
        <v>1.5</v>
      </c>
      <c r="Y71" s="445">
        <f>Z_1</f>
        <v>1.5</v>
      </c>
      <c r="Z71" s="131">
        <v>26</v>
      </c>
      <c r="AA71" s="561"/>
      <c r="AB71" s="446" t="str">
        <f>IF(Y95="---","---",IF(AA71&gt;0,Y95+AA71,"---"))</f>
        <v>---</v>
      </c>
      <c r="AC71" s="461" t="str">
        <f>IF(AND(X95&lt;=0,AA71&gt;0,Sv="v"),"ERROR - PREVIOUS LAYER(S) MISSING.","")</f>
        <v/>
      </c>
      <c r="AD71" s="462"/>
      <c r="AE71" s="462"/>
      <c r="AF71" s="462"/>
      <c r="AG71" s="441">
        <f>0</f>
        <v>0</v>
      </c>
      <c r="AH71" s="441">
        <f t="shared" ref="AH71:AH95" si="0">IF(Sv="v",IF(Type_Reinf="g",IF(AA71&gt;2,1,0),IF(AA71&gt;2.7,1,0)),0)</f>
        <v>0</v>
      </c>
    </row>
    <row r="72" spans="1:34" ht="15.75">
      <c r="I72" s="6" t="s">
        <v>615</v>
      </c>
      <c r="J72" s="6" t="s">
        <v>227</v>
      </c>
      <c r="K72" s="2" t="s">
        <v>56</v>
      </c>
      <c r="L72" s="118">
        <v>1.5</v>
      </c>
      <c r="M72" s="449" t="str">
        <f>IF(Z_1&lt;=0,"ERROR - ENTER DEPTH TO TOP REINFORCEMENT LAYER (MUST BE GREATER THAN ZERO).","")</f>
        <v/>
      </c>
      <c r="V72" s="460" t="str">
        <f>IF(AND(X72="",Sv="v"),"ERROR - ENTER SPACING BETWEEN LAYER 1 &amp; 2 ---&gt;","")</f>
        <v/>
      </c>
      <c r="W72" s="134">
        <f t="shared" ref="W72:W95" si="1">W71+1</f>
        <v>2</v>
      </c>
      <c r="X72" s="560"/>
      <c r="Y72" s="446" t="str">
        <f>IF(Y71="---","---",IF(X72&gt;0,Y71+X72,"---"))</f>
        <v>---</v>
      </c>
      <c r="Z72" s="134">
        <f t="shared" ref="Z72:Z95" si="2">Z71+1</f>
        <v>27</v>
      </c>
      <c r="AA72" s="560"/>
      <c r="AB72" s="446" t="str">
        <f t="shared" ref="AB72:AB95" si="3">IF(AB71="---","---",IF(AA72&gt;0,AB71+AA72,"---"))</f>
        <v>---</v>
      </c>
      <c r="AC72" s="461" t="str">
        <f t="shared" ref="AC72:AC95" si="4">IF(AND(AA71&lt;=0,AA72&gt;0,Sv="v"),"ERROR - PREVIOUS LAYER(S) MISSING.","")</f>
        <v/>
      </c>
      <c r="AD72" s="462"/>
      <c r="AE72" s="462"/>
      <c r="AF72" s="462"/>
      <c r="AG72" s="441">
        <f t="shared" ref="AG72:AG95" si="5">IF(Sv="v",IF(Type_Reinf="g",IF(X72&gt;2,1,0),IF(X72&gt;2.7,1,0)),0)</f>
        <v>0</v>
      </c>
      <c r="AH72" s="441">
        <f t="shared" si="0"/>
        <v>0</v>
      </c>
    </row>
    <row r="73" spans="1:34" ht="15.75">
      <c r="I73" s="487" t="s">
        <v>394</v>
      </c>
      <c r="J73" s="6" t="s">
        <v>224</v>
      </c>
      <c r="K73" s="2" t="s">
        <v>56</v>
      </c>
      <c r="L73" s="119">
        <v>2.5</v>
      </c>
      <c r="M73" s="449" t="str">
        <f>IF(Sv="","ERROR - SPACING MUST BE ENTERED (OR ENTER ""v"" FOR VARIABLE SPACING).",IF(Sv="v","Enter variable spacing in table to the right ---&gt; ",IF(Sv&lt;0,"ERROR - SPACING MUST BE GREATER THAN ZERO.",IF(Type_Reinf="g",IF(Sv&gt;2,"ERROR - SPACING SHALL NOT EXCEED 2.0 ft FOR GEOSYNTHETIC REINFORCEMENT.",""),IF(Sv&gt;2.7,"ERROR - SPACING SHALL NOT EXCEED 2.7 ft [A11.10.6.2.1].","")))))</f>
        <v/>
      </c>
      <c r="P73" s="102"/>
      <c r="V73" s="460" t="str">
        <f t="shared" ref="V73:V95" si="6">IF(AND(X72&lt;=0,X73&gt;0,Sv="v"),"ERROR - PREVIOUS LAYER(S) MISSING.","")</f>
        <v/>
      </c>
      <c r="W73" s="134">
        <f t="shared" si="1"/>
        <v>3</v>
      </c>
      <c r="X73" s="560"/>
      <c r="Y73" s="446" t="str">
        <f t="shared" ref="Y73:Y95" si="7">IF(Y72="---","---",IF(X73&gt;0,Y72+X73,"---"))</f>
        <v>---</v>
      </c>
      <c r="Z73" s="134">
        <f t="shared" si="2"/>
        <v>28</v>
      </c>
      <c r="AA73" s="560"/>
      <c r="AB73" s="446" t="str">
        <f t="shared" si="3"/>
        <v>---</v>
      </c>
      <c r="AC73" s="461" t="str">
        <f t="shared" si="4"/>
        <v/>
      </c>
      <c r="AD73" s="462"/>
      <c r="AE73" s="462"/>
      <c r="AF73" s="462"/>
      <c r="AG73" s="441">
        <f t="shared" si="5"/>
        <v>0</v>
      </c>
      <c r="AH73" s="441">
        <f t="shared" si="0"/>
        <v>0</v>
      </c>
    </row>
    <row r="74" spans="1:34" ht="15.75" customHeight="1">
      <c r="I74" s="6" t="s">
        <v>230</v>
      </c>
      <c r="J74" s="6" t="s">
        <v>235</v>
      </c>
      <c r="K74" s="2" t="s">
        <v>56</v>
      </c>
      <c r="L74" s="37" t="s">
        <v>221</v>
      </c>
      <c r="M74" s="80"/>
      <c r="N74" s="574" t="str">
        <f>IF(Sv="v",IF(SUM(AG71:AH95)&gt;=1,IF(Type_Reinf="g","ERROR - VERTICAL SPACING SHALL NOT EXCEED 2.0 ft FOR GEOSYNTHETIC REINFORCEMENT.","ERROR - VERTICAL SPACING SHALL NOT EXCEED 2.7 ft [A11.10.6.2.1]."),""),"")</f>
        <v/>
      </c>
      <c r="O74" s="574"/>
      <c r="P74" s="574"/>
      <c r="Q74" s="574"/>
      <c r="R74" s="574"/>
      <c r="V74" s="460" t="str">
        <f t="shared" si="6"/>
        <v/>
      </c>
      <c r="W74" s="134">
        <f t="shared" si="1"/>
        <v>4</v>
      </c>
      <c r="X74" s="560"/>
      <c r="Y74" s="446" t="str">
        <f t="shared" si="7"/>
        <v>---</v>
      </c>
      <c r="Z74" s="134">
        <f t="shared" si="2"/>
        <v>29</v>
      </c>
      <c r="AA74" s="560"/>
      <c r="AB74" s="446" t="str">
        <f t="shared" si="3"/>
        <v>---</v>
      </c>
      <c r="AC74" s="461" t="str">
        <f t="shared" si="4"/>
        <v/>
      </c>
      <c r="AD74" s="462"/>
      <c r="AE74" s="462"/>
      <c r="AF74" s="462"/>
      <c r="AG74" s="441">
        <f t="shared" si="5"/>
        <v>0</v>
      </c>
      <c r="AH74" s="441">
        <f t="shared" si="0"/>
        <v>0</v>
      </c>
    </row>
    <row r="75" spans="1:34">
      <c r="I75" s="6" t="s">
        <v>231</v>
      </c>
      <c r="J75" s="6" t="s">
        <v>228</v>
      </c>
      <c r="K75" s="20" t="s">
        <v>209</v>
      </c>
      <c r="L75" t="s">
        <v>221</v>
      </c>
      <c r="M75" s="80"/>
      <c r="N75" s="574"/>
      <c r="O75" s="574"/>
      <c r="P75" s="574"/>
      <c r="Q75" s="574"/>
      <c r="R75" s="574"/>
      <c r="V75" s="460" t="str">
        <f t="shared" si="6"/>
        <v/>
      </c>
      <c r="W75" s="134">
        <f t="shared" si="1"/>
        <v>5</v>
      </c>
      <c r="X75" s="560"/>
      <c r="Y75" s="446" t="str">
        <f t="shared" si="7"/>
        <v>---</v>
      </c>
      <c r="Z75" s="134">
        <f t="shared" si="2"/>
        <v>30</v>
      </c>
      <c r="AA75" s="560"/>
      <c r="AB75" s="446" t="str">
        <f t="shared" si="3"/>
        <v>---</v>
      </c>
      <c r="AC75" s="461" t="str">
        <f t="shared" si="4"/>
        <v/>
      </c>
      <c r="AD75" s="462"/>
      <c r="AE75" s="462"/>
      <c r="AF75" s="462"/>
      <c r="AG75" s="441">
        <f t="shared" si="5"/>
        <v>0</v>
      </c>
      <c r="AH75" s="441">
        <f t="shared" si="0"/>
        <v>0</v>
      </c>
    </row>
    <row r="76" spans="1:34" ht="15.75">
      <c r="I76" s="6" t="s">
        <v>232</v>
      </c>
      <c r="J76" s="6" t="s">
        <v>236</v>
      </c>
      <c r="K76" s="2" t="s">
        <v>67</v>
      </c>
      <c r="L76" t="s">
        <v>221</v>
      </c>
      <c r="M76" s="80"/>
      <c r="V76" s="460" t="str">
        <f t="shared" si="6"/>
        <v/>
      </c>
      <c r="W76" s="134">
        <f t="shared" si="1"/>
        <v>6</v>
      </c>
      <c r="X76" s="560"/>
      <c r="Y76" s="446" t="str">
        <f t="shared" si="7"/>
        <v>---</v>
      </c>
      <c r="Z76" s="134">
        <f t="shared" si="2"/>
        <v>31</v>
      </c>
      <c r="AA76" s="560"/>
      <c r="AB76" s="446" t="str">
        <f t="shared" si="3"/>
        <v>---</v>
      </c>
      <c r="AC76" s="461" t="str">
        <f t="shared" si="4"/>
        <v/>
      </c>
      <c r="AD76" s="462"/>
      <c r="AE76" s="462"/>
      <c r="AF76" s="462"/>
      <c r="AG76" s="441">
        <f t="shared" si="5"/>
        <v>0</v>
      </c>
      <c r="AH76" s="441">
        <f t="shared" si="0"/>
        <v>0</v>
      </c>
    </row>
    <row r="77" spans="1:34" ht="15.75">
      <c r="I77" s="6" t="s">
        <v>233</v>
      </c>
      <c r="J77" s="6" t="s">
        <v>237</v>
      </c>
      <c r="K77" s="20" t="s">
        <v>209</v>
      </c>
      <c r="L77" t="s">
        <v>221</v>
      </c>
      <c r="M77" s="80"/>
      <c r="V77" s="460" t="str">
        <f t="shared" si="6"/>
        <v/>
      </c>
      <c r="W77" s="134">
        <f t="shared" si="1"/>
        <v>7</v>
      </c>
      <c r="X77" s="560"/>
      <c r="Y77" s="446" t="str">
        <f t="shared" si="7"/>
        <v>---</v>
      </c>
      <c r="Z77" s="134">
        <f t="shared" si="2"/>
        <v>32</v>
      </c>
      <c r="AA77" s="560"/>
      <c r="AB77" s="446" t="str">
        <f t="shared" si="3"/>
        <v>---</v>
      </c>
      <c r="AC77" s="461" t="str">
        <f t="shared" si="4"/>
        <v/>
      </c>
      <c r="AD77" s="462"/>
      <c r="AE77" s="462"/>
      <c r="AF77" s="462"/>
      <c r="AG77" s="441">
        <f t="shared" si="5"/>
        <v>0</v>
      </c>
      <c r="AH77" s="441">
        <f t="shared" si="0"/>
        <v>0</v>
      </c>
    </row>
    <row r="78" spans="1:34">
      <c r="I78" s="38" t="s">
        <v>234</v>
      </c>
      <c r="J78" s="38" t="s">
        <v>33</v>
      </c>
      <c r="K78" s="20" t="s">
        <v>209</v>
      </c>
      <c r="L78" t="s">
        <v>221</v>
      </c>
      <c r="M78" s="80"/>
      <c r="V78" s="460" t="str">
        <f t="shared" si="6"/>
        <v/>
      </c>
      <c r="W78" s="134">
        <f t="shared" si="1"/>
        <v>8</v>
      </c>
      <c r="X78" s="560"/>
      <c r="Y78" s="446" t="str">
        <f t="shared" si="7"/>
        <v>---</v>
      </c>
      <c r="Z78" s="134">
        <f t="shared" si="2"/>
        <v>33</v>
      </c>
      <c r="AA78" s="560"/>
      <c r="AB78" s="446" t="str">
        <f t="shared" si="3"/>
        <v>---</v>
      </c>
      <c r="AC78" s="461" t="str">
        <f t="shared" si="4"/>
        <v/>
      </c>
      <c r="AD78" s="462"/>
      <c r="AE78" s="462"/>
      <c r="AF78" s="462"/>
      <c r="AG78" s="441">
        <f t="shared" si="5"/>
        <v>0</v>
      </c>
      <c r="AH78" s="441">
        <f t="shared" si="0"/>
        <v>0</v>
      </c>
    </row>
    <row r="79" spans="1:34" ht="15.75">
      <c r="I79" s="6" t="s">
        <v>736</v>
      </c>
      <c r="J79" s="6" t="s">
        <v>238</v>
      </c>
      <c r="K79" s="20" t="s">
        <v>209</v>
      </c>
      <c r="L79" t="s">
        <v>221</v>
      </c>
      <c r="M79" s="80"/>
      <c r="V79" s="460" t="str">
        <f t="shared" si="6"/>
        <v/>
      </c>
      <c r="W79" s="134">
        <f t="shared" si="1"/>
        <v>9</v>
      </c>
      <c r="X79" s="560"/>
      <c r="Y79" s="446" t="str">
        <f t="shared" si="7"/>
        <v>---</v>
      </c>
      <c r="Z79" s="134">
        <f t="shared" si="2"/>
        <v>34</v>
      </c>
      <c r="AA79" s="560"/>
      <c r="AB79" s="446" t="str">
        <f t="shared" si="3"/>
        <v>---</v>
      </c>
      <c r="AC79" s="461" t="str">
        <f t="shared" si="4"/>
        <v/>
      </c>
      <c r="AD79" s="462"/>
      <c r="AE79" s="462"/>
      <c r="AF79" s="462"/>
      <c r="AG79" s="441">
        <f t="shared" si="5"/>
        <v>0</v>
      </c>
      <c r="AH79" s="441">
        <f t="shared" si="0"/>
        <v>0</v>
      </c>
    </row>
    <row r="80" spans="1:34">
      <c r="I80" s="6" t="s">
        <v>737</v>
      </c>
      <c r="J80" s="6" t="s">
        <v>229</v>
      </c>
      <c r="K80" s="20" t="s">
        <v>209</v>
      </c>
      <c r="L80" t="s">
        <v>221</v>
      </c>
      <c r="M80" s="80"/>
      <c r="V80" s="460" t="str">
        <f t="shared" si="6"/>
        <v/>
      </c>
      <c r="W80" s="134">
        <f t="shared" si="1"/>
        <v>10</v>
      </c>
      <c r="X80" s="560"/>
      <c r="Y80" s="446" t="str">
        <f t="shared" si="7"/>
        <v>---</v>
      </c>
      <c r="Z80" s="134">
        <f t="shared" si="2"/>
        <v>35</v>
      </c>
      <c r="AA80" s="560"/>
      <c r="AB80" s="446" t="str">
        <f t="shared" si="3"/>
        <v>---</v>
      </c>
      <c r="AC80" s="461" t="str">
        <f t="shared" si="4"/>
        <v/>
      </c>
      <c r="AD80" s="462"/>
      <c r="AE80" s="462"/>
      <c r="AF80" s="462"/>
      <c r="AG80" s="441">
        <f t="shared" si="5"/>
        <v>0</v>
      </c>
      <c r="AH80" s="441">
        <f t="shared" si="0"/>
        <v>0</v>
      </c>
    </row>
    <row r="81" spans="1:34" ht="15.75">
      <c r="I81" s="6" t="s">
        <v>255</v>
      </c>
      <c r="J81" s="6" t="s">
        <v>288</v>
      </c>
      <c r="K81" s="146" t="s">
        <v>210</v>
      </c>
      <c r="L81" t="s">
        <v>221</v>
      </c>
      <c r="M81" s="80"/>
      <c r="V81" s="460" t="str">
        <f t="shared" si="6"/>
        <v/>
      </c>
      <c r="W81" s="134">
        <f t="shared" si="1"/>
        <v>11</v>
      </c>
      <c r="X81" s="560"/>
      <c r="Y81" s="446" t="str">
        <f t="shared" si="7"/>
        <v>---</v>
      </c>
      <c r="Z81" s="134">
        <f t="shared" si="2"/>
        <v>36</v>
      </c>
      <c r="AA81" s="560"/>
      <c r="AB81" s="446" t="str">
        <f t="shared" si="3"/>
        <v>---</v>
      </c>
      <c r="AC81" s="461" t="str">
        <f t="shared" si="4"/>
        <v/>
      </c>
      <c r="AD81" s="462"/>
      <c r="AE81" s="462"/>
      <c r="AF81" s="462"/>
      <c r="AG81" s="441">
        <f t="shared" si="5"/>
        <v>0</v>
      </c>
      <c r="AH81" s="441">
        <f t="shared" si="0"/>
        <v>0</v>
      </c>
    </row>
    <row r="82" spans="1:34" ht="15.75">
      <c r="I82" s="6" t="s">
        <v>257</v>
      </c>
      <c r="J82" s="6" t="s">
        <v>239</v>
      </c>
      <c r="K82" s="20" t="s">
        <v>4</v>
      </c>
      <c r="L82" s="149"/>
      <c r="M82" s="449" t="str">
        <f>IF(RF_ID&lt;&gt;0,IF(Type_Reinf&lt;&gt;"g","ERROR - ENTER ONLY WHEN GEOSYNTHETIC REINFORCEMENT IS USED.",IF(RF_ID&lt;1.1,"ERROR - RF_ID MUST BE A MINIMUM OF 1.10 [A11.10.6.4.3b].","")),IF(Type_Reinf="g","ERROR - REDUCTION FACTOR MUST BE ENTERED.",""))</f>
        <v/>
      </c>
      <c r="V82" s="460" t="str">
        <f t="shared" si="6"/>
        <v/>
      </c>
      <c r="W82" s="134">
        <f t="shared" si="1"/>
        <v>12</v>
      </c>
      <c r="X82" s="560"/>
      <c r="Y82" s="446" t="str">
        <f t="shared" si="7"/>
        <v>---</v>
      </c>
      <c r="Z82" s="134">
        <f t="shared" si="2"/>
        <v>37</v>
      </c>
      <c r="AA82" s="560"/>
      <c r="AB82" s="446" t="str">
        <f t="shared" si="3"/>
        <v>---</v>
      </c>
      <c r="AC82" s="461" t="str">
        <f t="shared" si="4"/>
        <v/>
      </c>
      <c r="AD82" s="462"/>
      <c r="AE82" s="462"/>
      <c r="AF82" s="462"/>
      <c r="AG82" s="441">
        <f t="shared" si="5"/>
        <v>0</v>
      </c>
      <c r="AH82" s="441">
        <f t="shared" si="0"/>
        <v>0</v>
      </c>
    </row>
    <row r="83" spans="1:34" ht="15.75">
      <c r="I83" s="6" t="s">
        <v>258</v>
      </c>
      <c r="J83" s="6" t="s">
        <v>240</v>
      </c>
      <c r="K83" s="20" t="s">
        <v>4</v>
      </c>
      <c r="L83" s="149"/>
      <c r="M83" s="449" t="str">
        <f>IF(RF_CR&lt;&gt;0,IF(Type_Reinf&lt;&gt;"g","ERROR - ENTER ONLY WHEN GEOSYNTHETIC REINFORCEMENT IS USED.",""),IF(Type_Reinf="g","ERROR - REDUCTION FACTOR MUST BE ENTERED.",""))</f>
        <v/>
      </c>
      <c r="V83" s="460" t="str">
        <f t="shared" si="6"/>
        <v/>
      </c>
      <c r="W83" s="134">
        <f t="shared" si="1"/>
        <v>13</v>
      </c>
      <c r="X83" s="560"/>
      <c r="Y83" s="446" t="str">
        <f t="shared" si="7"/>
        <v>---</v>
      </c>
      <c r="Z83" s="134">
        <f t="shared" si="2"/>
        <v>38</v>
      </c>
      <c r="AA83" s="560"/>
      <c r="AB83" s="446" t="str">
        <f t="shared" si="3"/>
        <v>---</v>
      </c>
      <c r="AC83" s="461" t="str">
        <f t="shared" si="4"/>
        <v/>
      </c>
      <c r="AD83" s="462"/>
      <c r="AE83" s="462"/>
      <c r="AF83" s="462"/>
      <c r="AG83" s="441">
        <f t="shared" si="5"/>
        <v>0</v>
      </c>
      <c r="AH83" s="441">
        <f t="shared" si="0"/>
        <v>0</v>
      </c>
    </row>
    <row r="84" spans="1:34" ht="15.75">
      <c r="I84" s="6" t="s">
        <v>256</v>
      </c>
      <c r="J84" s="6" t="s">
        <v>241</v>
      </c>
      <c r="K84" s="20" t="s">
        <v>4</v>
      </c>
      <c r="L84" s="149"/>
      <c r="M84" s="449" t="str">
        <f>IF(RF_D&lt;&gt;0,IF(Type_Reinf&lt;&gt;"g","ERROR - ENTER ONLY WHEN GEOSYNTHETIC REINFORCEMENT IS USED.",IF(RF_D&lt;1.1,"ERROR - RF_D MUST BE A MINIMUM OF 1.10 [A11.10.6.4.3b].","")),IF(Type_Reinf="g","ERROR - REDUCTION FACTOR MUST BE ENTERED.",""))</f>
        <v/>
      </c>
      <c r="V84" s="460" t="str">
        <f t="shared" si="6"/>
        <v/>
      </c>
      <c r="W84" s="134">
        <f t="shared" si="1"/>
        <v>14</v>
      </c>
      <c r="X84" s="560"/>
      <c r="Y84" s="446" t="str">
        <f t="shared" si="7"/>
        <v>---</v>
      </c>
      <c r="Z84" s="134">
        <f t="shared" si="2"/>
        <v>39</v>
      </c>
      <c r="AA84" s="560"/>
      <c r="AB84" s="446" t="str">
        <f t="shared" si="3"/>
        <v>---</v>
      </c>
      <c r="AC84" s="461" t="str">
        <f t="shared" si="4"/>
        <v/>
      </c>
      <c r="AD84" s="462"/>
      <c r="AE84" s="462"/>
      <c r="AF84" s="462"/>
      <c r="AG84" s="441">
        <f t="shared" si="5"/>
        <v>0</v>
      </c>
      <c r="AH84" s="441">
        <f t="shared" si="0"/>
        <v>0</v>
      </c>
    </row>
    <row r="85" spans="1:34">
      <c r="I85" s="38" t="s">
        <v>378</v>
      </c>
      <c r="J85" s="38" t="s">
        <v>242</v>
      </c>
      <c r="K85" s="87" t="s">
        <v>4</v>
      </c>
      <c r="L85" s="118">
        <v>2</v>
      </c>
      <c r="M85" s="80"/>
      <c r="V85" s="460" t="str">
        <f t="shared" si="6"/>
        <v/>
      </c>
      <c r="W85" s="134">
        <f t="shared" si="1"/>
        <v>15</v>
      </c>
      <c r="X85" s="560"/>
      <c r="Y85" s="446" t="str">
        <f t="shared" si="7"/>
        <v>---</v>
      </c>
      <c r="Z85" s="134">
        <f t="shared" si="2"/>
        <v>40</v>
      </c>
      <c r="AA85" s="560"/>
      <c r="AB85" s="446" t="str">
        <f t="shared" si="3"/>
        <v>---</v>
      </c>
      <c r="AC85" s="461" t="str">
        <f t="shared" si="4"/>
        <v/>
      </c>
      <c r="AD85" s="462"/>
      <c r="AE85" s="462"/>
      <c r="AF85" s="462"/>
      <c r="AG85" s="441">
        <f t="shared" si="5"/>
        <v>0</v>
      </c>
      <c r="AH85" s="441">
        <f t="shared" si="0"/>
        <v>0</v>
      </c>
    </row>
    <row r="86" spans="1:34" ht="15.75">
      <c r="I86" s="486" t="s">
        <v>568</v>
      </c>
      <c r="J86" s="38" t="s">
        <v>246</v>
      </c>
      <c r="K86" s="87" t="s">
        <v>4</v>
      </c>
      <c r="L86" s="118">
        <v>4</v>
      </c>
      <c r="M86" s="449" t="str">
        <f>CONCATENATE(IF(Cu&lt;&gt;0,IF(Type_Steel_Strip="s","ERROR - Cu SHOULD ONLY BE ENTERED FOR RIBBED STRIPS. ",""),IF(Type_Steel_Strip="r","ERROR - Cu SHOULD BE ENTERED FOR RIBBED STRIPS. ","")),IF(Cu&gt;4,"WARNING - Cu IS GREATER THAN 4.",""))</f>
        <v/>
      </c>
      <c r="O86" s="37"/>
      <c r="V86" s="460" t="str">
        <f t="shared" si="6"/>
        <v/>
      </c>
      <c r="W86" s="134">
        <f t="shared" si="1"/>
        <v>16</v>
      </c>
      <c r="X86" s="560"/>
      <c r="Y86" s="446" t="str">
        <f t="shared" si="7"/>
        <v>---</v>
      </c>
      <c r="Z86" s="134">
        <f t="shared" si="2"/>
        <v>41</v>
      </c>
      <c r="AA86" s="560"/>
      <c r="AB86" s="446" t="str">
        <f t="shared" si="3"/>
        <v>---</v>
      </c>
      <c r="AC86" s="461" t="str">
        <f t="shared" si="4"/>
        <v/>
      </c>
      <c r="AD86" s="462"/>
      <c r="AE86" s="462"/>
      <c r="AF86" s="462"/>
      <c r="AG86" s="441">
        <f t="shared" si="5"/>
        <v>0</v>
      </c>
      <c r="AH86" s="441">
        <f t="shared" si="0"/>
        <v>0</v>
      </c>
    </row>
    <row r="87" spans="1:34" ht="15.75">
      <c r="I87" s="6" t="s">
        <v>259</v>
      </c>
      <c r="J87" s="6" t="s">
        <v>243</v>
      </c>
      <c r="K87" s="20" t="s">
        <v>4</v>
      </c>
      <c r="L87" t="s">
        <v>221</v>
      </c>
      <c r="M87" s="80"/>
      <c r="O87" s="37"/>
      <c r="V87" s="460" t="str">
        <f t="shared" si="6"/>
        <v/>
      </c>
      <c r="W87" s="134">
        <f t="shared" si="1"/>
        <v>17</v>
      </c>
      <c r="X87" s="560"/>
      <c r="Y87" s="446" t="str">
        <f t="shared" si="7"/>
        <v>---</v>
      </c>
      <c r="Z87" s="134">
        <f t="shared" si="2"/>
        <v>42</v>
      </c>
      <c r="AA87" s="560"/>
      <c r="AB87" s="446" t="str">
        <f t="shared" si="3"/>
        <v>---</v>
      </c>
      <c r="AC87" s="461" t="str">
        <f t="shared" si="4"/>
        <v/>
      </c>
      <c r="AD87" s="462"/>
      <c r="AE87" s="462"/>
      <c r="AF87" s="462"/>
      <c r="AG87" s="441">
        <f t="shared" si="5"/>
        <v>0</v>
      </c>
      <c r="AH87" s="441">
        <f t="shared" si="0"/>
        <v>0</v>
      </c>
    </row>
    <row r="88" spans="1:34">
      <c r="I88" s="6" t="s">
        <v>249</v>
      </c>
      <c r="J88" s="6" t="s">
        <v>244</v>
      </c>
      <c r="K88" s="20" t="s">
        <v>4</v>
      </c>
      <c r="L88" s="128">
        <v>0.75</v>
      </c>
      <c r="M88" s="80"/>
      <c r="O88" s="37"/>
      <c r="V88" s="460" t="str">
        <f t="shared" si="6"/>
        <v/>
      </c>
      <c r="W88" s="134">
        <f t="shared" si="1"/>
        <v>18</v>
      </c>
      <c r="X88" s="560"/>
      <c r="Y88" s="446" t="str">
        <f t="shared" si="7"/>
        <v>---</v>
      </c>
      <c r="Z88" s="134">
        <f t="shared" si="2"/>
        <v>43</v>
      </c>
      <c r="AA88" s="560"/>
      <c r="AB88" s="446" t="str">
        <f t="shared" si="3"/>
        <v>---</v>
      </c>
      <c r="AC88" s="461" t="str">
        <f t="shared" si="4"/>
        <v/>
      </c>
      <c r="AD88" s="462"/>
      <c r="AE88" s="462"/>
      <c r="AF88" s="462"/>
      <c r="AG88" s="441">
        <f t="shared" si="5"/>
        <v>0</v>
      </c>
      <c r="AH88" s="441">
        <f t="shared" si="0"/>
        <v>0</v>
      </c>
    </row>
    <row r="89" spans="1:34">
      <c r="I89" s="6" t="s">
        <v>250</v>
      </c>
      <c r="J89" s="6" t="s">
        <v>244</v>
      </c>
      <c r="K89" s="20" t="s">
        <v>4</v>
      </c>
      <c r="L89" s="128">
        <v>1</v>
      </c>
      <c r="M89" s="80"/>
      <c r="V89" s="460" t="str">
        <f t="shared" si="6"/>
        <v/>
      </c>
      <c r="W89" s="134">
        <f t="shared" si="1"/>
        <v>19</v>
      </c>
      <c r="X89" s="560"/>
      <c r="Y89" s="446" t="str">
        <f t="shared" si="7"/>
        <v>---</v>
      </c>
      <c r="Z89" s="134">
        <f t="shared" si="2"/>
        <v>44</v>
      </c>
      <c r="AA89" s="560"/>
      <c r="AB89" s="446" t="str">
        <f t="shared" si="3"/>
        <v>---</v>
      </c>
      <c r="AC89" s="461" t="str">
        <f t="shared" si="4"/>
        <v/>
      </c>
      <c r="AD89" s="462"/>
      <c r="AE89" s="462"/>
      <c r="AF89" s="462"/>
      <c r="AG89" s="441">
        <f t="shared" si="5"/>
        <v>0</v>
      </c>
      <c r="AH89" s="441">
        <f t="shared" si="0"/>
        <v>0</v>
      </c>
    </row>
    <row r="90" spans="1:34">
      <c r="I90" s="6" t="s">
        <v>251</v>
      </c>
      <c r="J90" s="6" t="s">
        <v>244</v>
      </c>
      <c r="K90" s="20" t="s">
        <v>4</v>
      </c>
      <c r="L90" s="128">
        <v>0.9</v>
      </c>
      <c r="M90" s="80"/>
      <c r="V90" s="460" t="str">
        <f t="shared" si="6"/>
        <v/>
      </c>
      <c r="W90" s="134">
        <f t="shared" si="1"/>
        <v>20</v>
      </c>
      <c r="X90" s="560"/>
      <c r="Y90" s="446" t="str">
        <f t="shared" si="7"/>
        <v>---</v>
      </c>
      <c r="Z90" s="134">
        <f t="shared" si="2"/>
        <v>45</v>
      </c>
      <c r="AA90" s="560"/>
      <c r="AB90" s="446" t="str">
        <f t="shared" si="3"/>
        <v>---</v>
      </c>
      <c r="AC90" s="461" t="str">
        <f t="shared" si="4"/>
        <v/>
      </c>
      <c r="AD90" s="462"/>
      <c r="AE90" s="462"/>
      <c r="AF90" s="462"/>
      <c r="AG90" s="441">
        <f t="shared" si="5"/>
        <v>0</v>
      </c>
      <c r="AH90" s="441">
        <f t="shared" si="0"/>
        <v>0</v>
      </c>
    </row>
    <row r="91" spans="1:34">
      <c r="I91" s="6" t="s">
        <v>252</v>
      </c>
      <c r="J91" s="6" t="s">
        <v>244</v>
      </c>
      <c r="K91" s="20" t="s">
        <v>4</v>
      </c>
      <c r="L91" s="128">
        <v>1.2</v>
      </c>
      <c r="M91" s="80"/>
      <c r="V91" s="460" t="str">
        <f t="shared" si="6"/>
        <v/>
      </c>
      <c r="W91" s="134">
        <f t="shared" si="1"/>
        <v>21</v>
      </c>
      <c r="X91" s="560"/>
      <c r="Y91" s="446" t="str">
        <f t="shared" si="7"/>
        <v>---</v>
      </c>
      <c r="Z91" s="134">
        <f t="shared" si="2"/>
        <v>46</v>
      </c>
      <c r="AA91" s="560"/>
      <c r="AB91" s="446" t="str">
        <f t="shared" si="3"/>
        <v>---</v>
      </c>
      <c r="AC91" s="461" t="str">
        <f t="shared" si="4"/>
        <v/>
      </c>
      <c r="AD91" s="462"/>
      <c r="AE91" s="462"/>
      <c r="AF91" s="462"/>
      <c r="AG91" s="441">
        <f t="shared" si="5"/>
        <v>0</v>
      </c>
      <c r="AH91" s="441">
        <f t="shared" si="0"/>
        <v>0</v>
      </c>
    </row>
    <row r="92" spans="1:34" ht="15.75">
      <c r="I92" s="6" t="s">
        <v>253</v>
      </c>
      <c r="J92" s="6" t="s">
        <v>247</v>
      </c>
      <c r="K92" s="2" t="s">
        <v>52</v>
      </c>
      <c r="L92" t="s">
        <v>221</v>
      </c>
      <c r="M92" s="80"/>
      <c r="V92" s="460" t="str">
        <f t="shared" si="6"/>
        <v/>
      </c>
      <c r="W92" s="134">
        <f t="shared" si="1"/>
        <v>22</v>
      </c>
      <c r="X92" s="560"/>
      <c r="Y92" s="446" t="str">
        <f t="shared" si="7"/>
        <v>---</v>
      </c>
      <c r="Z92" s="134">
        <f t="shared" si="2"/>
        <v>47</v>
      </c>
      <c r="AA92" s="560"/>
      <c r="AB92" s="446" t="str">
        <f t="shared" si="3"/>
        <v>---</v>
      </c>
      <c r="AC92" s="461" t="str">
        <f t="shared" si="4"/>
        <v/>
      </c>
      <c r="AD92" s="462"/>
      <c r="AE92" s="462"/>
      <c r="AF92" s="462"/>
      <c r="AG92" s="441">
        <f t="shared" si="5"/>
        <v>0</v>
      </c>
      <c r="AH92" s="441">
        <f t="shared" si="0"/>
        <v>0</v>
      </c>
    </row>
    <row r="93" spans="1:34" ht="15.75">
      <c r="I93" s="6" t="s">
        <v>254</v>
      </c>
      <c r="J93" s="6" t="s">
        <v>248</v>
      </c>
      <c r="K93" s="2" t="s">
        <v>52</v>
      </c>
      <c r="L93" t="s">
        <v>221</v>
      </c>
      <c r="M93" s="80"/>
      <c r="V93" s="460" t="str">
        <f t="shared" si="6"/>
        <v/>
      </c>
      <c r="W93" s="134">
        <f t="shared" si="1"/>
        <v>23</v>
      </c>
      <c r="X93" s="560"/>
      <c r="Y93" s="446" t="str">
        <f>IF(Y92="---","---",IF(X93&gt;0,Y92+X93,"---"))</f>
        <v>---</v>
      </c>
      <c r="Z93" s="134">
        <f t="shared" si="2"/>
        <v>48</v>
      </c>
      <c r="AA93" s="560"/>
      <c r="AB93" s="446" t="str">
        <f t="shared" si="3"/>
        <v>---</v>
      </c>
      <c r="AC93" s="461" t="str">
        <f t="shared" si="4"/>
        <v/>
      </c>
      <c r="AD93" s="462"/>
      <c r="AE93" s="462"/>
      <c r="AF93" s="462"/>
      <c r="AG93" s="441">
        <f t="shared" si="5"/>
        <v>0</v>
      </c>
      <c r="AH93" s="441">
        <f t="shared" si="0"/>
        <v>0</v>
      </c>
    </row>
    <row r="94" spans="1:34">
      <c r="J94" s="3"/>
      <c r="K94" s="2"/>
      <c r="M94" s="80"/>
      <c r="V94" s="460" t="str">
        <f t="shared" si="6"/>
        <v/>
      </c>
      <c r="W94" s="134">
        <f t="shared" si="1"/>
        <v>24</v>
      </c>
      <c r="X94" s="560"/>
      <c r="Y94" s="446" t="str">
        <f t="shared" si="7"/>
        <v>---</v>
      </c>
      <c r="Z94" s="134">
        <f t="shared" si="2"/>
        <v>49</v>
      </c>
      <c r="AA94" s="560"/>
      <c r="AB94" s="446" t="str">
        <f t="shared" si="3"/>
        <v>---</v>
      </c>
      <c r="AC94" s="461" t="str">
        <f t="shared" si="4"/>
        <v/>
      </c>
      <c r="AD94" s="462"/>
      <c r="AE94" s="462"/>
      <c r="AF94" s="462"/>
      <c r="AG94" s="441">
        <f t="shared" si="5"/>
        <v>0</v>
      </c>
      <c r="AH94" s="441">
        <f t="shared" si="0"/>
        <v>0</v>
      </c>
    </row>
    <row r="95" spans="1:34">
      <c r="A95" s="127" t="s">
        <v>205</v>
      </c>
      <c r="J95" s="5"/>
      <c r="K95" s="2"/>
      <c r="M95" s="80"/>
      <c r="V95" s="460" t="str">
        <f t="shared" si="6"/>
        <v/>
      </c>
      <c r="W95" s="134">
        <f t="shared" si="1"/>
        <v>25</v>
      </c>
      <c r="X95" s="560"/>
      <c r="Y95" s="446" t="str">
        <f t="shared" si="7"/>
        <v>---</v>
      </c>
      <c r="Z95" s="134">
        <f t="shared" si="2"/>
        <v>50</v>
      </c>
      <c r="AA95" s="560"/>
      <c r="AB95" s="446" t="str">
        <f t="shared" si="3"/>
        <v>---</v>
      </c>
      <c r="AC95" s="461" t="str">
        <f t="shared" si="4"/>
        <v/>
      </c>
      <c r="AD95" s="462"/>
      <c r="AE95" s="462"/>
      <c r="AF95" s="462"/>
      <c r="AG95" s="441">
        <f t="shared" si="5"/>
        <v>0</v>
      </c>
      <c r="AH95" s="441">
        <f t="shared" si="0"/>
        <v>0</v>
      </c>
    </row>
    <row r="96" spans="1:34">
      <c r="A96" s="129" t="s">
        <v>206</v>
      </c>
      <c r="J96" s="6"/>
      <c r="K96" s="2"/>
      <c r="M96" s="449" t="str">
        <f>IF(AND(Abut_on_Piles="y",Backwall_Present&lt;&gt;"y")=TRUE,IF(OR(Z_1a&lt;(Ah-Af+3/12),Z_1a&gt;(Ah-3/12)),"ERROR - WHEN NO BACKWALL IS PRESENT, LAYER 1 MUST BE LOCATED WITHIN LIMITS OF THE FOOTING.",""),"")</f>
        <v/>
      </c>
      <c r="W96" s="453" t="str">
        <f>IF(Sv="v",IF(SUM(X71:X95,AA71:AA95)&gt;Z68,"ERROR - TOTAL OF ALL LAYERS ENTERED EXCEEDS WALL HEIGHT.",""),"")</f>
        <v/>
      </c>
      <c r="X96" s="37"/>
      <c r="Y96" s="37"/>
      <c r="Z96" s="37"/>
      <c r="AA96" s="37"/>
      <c r="AB96" s="37"/>
      <c r="AD96" s="9"/>
      <c r="AE96" s="9"/>
      <c r="AF96" s="9"/>
    </row>
    <row r="97" spans="1:34" ht="15.75">
      <c r="I97" s="6" t="s">
        <v>569</v>
      </c>
      <c r="J97" s="6" t="s">
        <v>207</v>
      </c>
      <c r="K97" s="2" t="s">
        <v>56</v>
      </c>
      <c r="L97" s="119">
        <v>5.39</v>
      </c>
      <c r="M97" s="449" t="str">
        <f>IF(Abut_on_Piles="y",IF(Z_1a&lt;=0,"ERROR - DEPTH MUST BE ENTERED WHEN ABUTMENT IS PRESENT.",IF(AND(Z_1a&lt;1.5,Z_1a&gt;0)=TRUE,"WARNING - TOP LAYER MUST BE AT LEAST 1'-6"" BELOW BOTTOM OF PAVEMENT [BC-799M].","")),IF(AND(Abut_on_Piles="n",Z_1a&lt;&gt;"")=TRUE,"ERROR - DEPTH SHOULD NOT BE ENTERED IF THERE IS NO ABUTMENT PRESENT.",""))</f>
        <v/>
      </c>
      <c r="W97" s="37"/>
      <c r="X97" s="37"/>
      <c r="Y97" s="37"/>
      <c r="Z97" s="37"/>
      <c r="AA97" s="37"/>
      <c r="AB97" s="37"/>
      <c r="AD97" s="9"/>
      <c r="AE97" s="9"/>
      <c r="AF97" s="9"/>
    </row>
    <row r="98" spans="1:34" ht="15.75">
      <c r="I98" s="38" t="s">
        <v>395</v>
      </c>
      <c r="J98" s="38" t="s">
        <v>208</v>
      </c>
      <c r="K98" s="2" t="s">
        <v>56</v>
      </c>
      <c r="L98" s="119">
        <v>0.75</v>
      </c>
      <c r="M98" s="449" t="str">
        <f>IF(Abut_on_Piles="y",IF(Sva="v","Enter variable spacing in table to the right ---&gt;",IF(Sva&lt;=0,"ERROR - SPACING MUST BE GREATER THAN ZERO.",IF(Type_Reinf="g",IF(Sva&gt;2,"WARNING - SPACING SHALL NOT EXCEED 2.0 ft FOR GEOSYNTHETIC REINFORCEMENT.",""),IF(Sva&gt;2.7,"ERROR - SPACING SHALL NOT EXCEED 2.7 ft [A11.10.6.2.1].","")))),IF(AND(Abut_on_Piles="n",Sva&lt;&gt;"")=TRUE,"ERROR - SPACING SHOULD NOT BE ENTERED IF THERE IS NO ABUTMENT PRESENT.",""))</f>
        <v/>
      </c>
      <c r="P98" s="102"/>
      <c r="W98" s="582" t="s">
        <v>739</v>
      </c>
      <c r="X98" s="582"/>
      <c r="Y98" s="582"/>
      <c r="Z98" s="582"/>
      <c r="AA98" s="582"/>
      <c r="AB98" s="582"/>
      <c r="AD98" s="9"/>
      <c r="AE98" s="9"/>
      <c r="AF98" s="9"/>
    </row>
    <row r="99" spans="1:34">
      <c r="J99" s="3"/>
      <c r="K99" s="2"/>
      <c r="L99" s="7"/>
      <c r="M99" s="454" t="str">
        <f>IF(Sva="v",IF(SUM(AG102:AH106)&gt;=1,IF(Type_Reinf="g","ERROR - VERTICAL SPACING SHALL NOT EXCEED 2.0 ft FOR GEOSYNTHETIC REINFORCEMENT.","ERROR - VERTICAL SPACING SHALL NOT EXCEED 2.7 ft [A11.10.6.2.1]."),""),"")</f>
        <v/>
      </c>
      <c r="N99" s="163"/>
      <c r="O99" s="155"/>
      <c r="P99" s="155"/>
      <c r="Q99" s="155"/>
      <c r="R99" s="155"/>
      <c r="S99" s="102"/>
      <c r="W99" s="37"/>
      <c r="X99" s="37"/>
      <c r="Y99" s="448" t="str">
        <f>IF(Sva="v","Maximum Height = ","")</f>
        <v/>
      </c>
      <c r="Z99" s="441" t="str">
        <f>IF(Sva="v",Ah,"")</f>
        <v/>
      </c>
      <c r="AA99" s="441" t="str">
        <f>IF(Z99="","","ft")</f>
        <v/>
      </c>
      <c r="AB99" s="37"/>
      <c r="AD99" s="9"/>
      <c r="AE99" s="9"/>
      <c r="AF99" s="9"/>
    </row>
    <row r="100" spans="1:34" ht="15.75">
      <c r="A100" s="127" t="s">
        <v>1</v>
      </c>
      <c r="J100" s="5"/>
      <c r="K100" s="32"/>
      <c r="L100" s="7"/>
      <c r="M100" s="80"/>
      <c r="W100" s="100" t="s">
        <v>34</v>
      </c>
      <c r="X100" s="100" t="s">
        <v>570</v>
      </c>
      <c r="Y100" s="100" t="s">
        <v>540</v>
      </c>
      <c r="Z100" s="100" t="s">
        <v>34</v>
      </c>
      <c r="AA100" s="100" t="s">
        <v>570</v>
      </c>
      <c r="AB100" s="100" t="s">
        <v>540</v>
      </c>
      <c r="AD100" s="9"/>
      <c r="AE100" s="9"/>
      <c r="AF100" s="9"/>
    </row>
    <row r="101" spans="1:34">
      <c r="I101" s="6" t="s">
        <v>222</v>
      </c>
      <c r="J101" s="6" t="s">
        <v>518</v>
      </c>
      <c r="K101" s="2" t="s">
        <v>52</v>
      </c>
      <c r="L101" s="37" t="s">
        <v>221</v>
      </c>
      <c r="M101" s="80"/>
      <c r="W101" s="131" t="s">
        <v>146</v>
      </c>
      <c r="X101" s="131" t="s">
        <v>56</v>
      </c>
      <c r="Y101" s="131" t="s">
        <v>56</v>
      </c>
      <c r="Z101" s="131" t="s">
        <v>146</v>
      </c>
      <c r="AA101" s="209" t="s">
        <v>56</v>
      </c>
      <c r="AB101" s="209" t="s">
        <v>56</v>
      </c>
      <c r="AD101" s="9"/>
      <c r="AE101" s="9"/>
      <c r="AF101" s="9"/>
      <c r="AG101" s="579" t="s">
        <v>754</v>
      </c>
      <c r="AH101" s="579"/>
    </row>
    <row r="102" spans="1:34">
      <c r="I102" s="6" t="s">
        <v>223</v>
      </c>
      <c r="J102" s="6" t="s">
        <v>519</v>
      </c>
      <c r="K102" s="2" t="s">
        <v>52</v>
      </c>
      <c r="L102" t="s">
        <v>221</v>
      </c>
      <c r="M102" s="80"/>
      <c r="W102" s="131">
        <v>1</v>
      </c>
      <c r="X102" s="447">
        <f>Y102</f>
        <v>5.39</v>
      </c>
      <c r="Y102" s="445">
        <f>Z_1a</f>
        <v>5.39</v>
      </c>
      <c r="Z102" s="131">
        <v>6</v>
      </c>
      <c r="AA102" s="132"/>
      <c r="AB102" s="446" t="str">
        <f>IF(Y127="---","---",IF(AA102&gt;0,Y127+AA102,"---"))</f>
        <v>---</v>
      </c>
      <c r="AC102" s="461" t="str">
        <f>IF(AND(X106&lt;=0,AA102&gt;0,Sva="v"),"ERROR - PREVIOUS LAYER(S) MISSING.","")</f>
        <v/>
      </c>
      <c r="AD102" s="462"/>
      <c r="AE102" s="462"/>
      <c r="AF102" s="462"/>
      <c r="AG102" s="438">
        <f>0</f>
        <v>0</v>
      </c>
      <c r="AH102" s="438">
        <f>IF(Sva="v",IF(Type_Reinf="g",IF(AA102&gt;2,1,0),IF(AA102&gt;2.7,1,0)),0)</f>
        <v>0</v>
      </c>
    </row>
    <row r="103" spans="1:34" ht="15.75">
      <c r="I103" s="6" t="s">
        <v>336</v>
      </c>
      <c r="J103" s="6" t="s">
        <v>396</v>
      </c>
      <c r="K103" s="20" t="s">
        <v>4</v>
      </c>
      <c r="L103" s="149">
        <v>0.05</v>
      </c>
      <c r="M103" s="37"/>
      <c r="P103" s="102"/>
      <c r="V103" s="460" t="str">
        <f>IF(AND(X103="",Sva="v"),"ERROR - ENTER SPACING BETWEEN LAYER 1 &amp; 2 ---&gt;","")</f>
        <v/>
      </c>
      <c r="W103" s="134">
        <f t="shared" ref="W103:W106" si="8">W102+1</f>
        <v>2</v>
      </c>
      <c r="X103" s="133"/>
      <c r="Y103" s="446" t="str">
        <f>IF(Y102="---","---",IF(X103&gt;0,Y102+X103,"---"))</f>
        <v>---</v>
      </c>
      <c r="Z103" s="134">
        <f t="shared" ref="Z103:Z106" si="9">Z102+1</f>
        <v>7</v>
      </c>
      <c r="AA103" s="133"/>
      <c r="AB103" s="446" t="str">
        <f t="shared" ref="AB103:AB106" si="10">IF(AB102="---","---",IF(AA103&gt;0,AB102+AA103,"---"))</f>
        <v>---</v>
      </c>
      <c r="AC103" s="461" t="str">
        <f>IF(AND(AA102&lt;=0,AA103&gt;0,Sva="v"),"ERROR - PREVIOUS LAYER(S) MISSING.","")</f>
        <v/>
      </c>
      <c r="AD103" s="462"/>
      <c r="AE103" s="462"/>
      <c r="AF103" s="462"/>
      <c r="AG103" s="438">
        <f>IF(Sva="v",IF(Type_Reinf="g",IF(X103&gt;2,1,0),IF(X103&gt;2.7,1,0)),0)</f>
        <v>0</v>
      </c>
      <c r="AH103" s="438">
        <f>IF(Sva="v",IF(Type_Reinf="g",IF(AA103&gt;2,1,0),IF(AA103&gt;2.7,1,0)),0)</f>
        <v>0</v>
      </c>
    </row>
    <row r="104" spans="1:34">
      <c r="V104" s="460" t="str">
        <f>IF(AND(X103&lt;=0,X104&gt;0,Sva="v"),"ERROR - PREVIOUS LAYER(S) MISSING.","")</f>
        <v/>
      </c>
      <c r="W104" s="134">
        <f t="shared" si="8"/>
        <v>3</v>
      </c>
      <c r="X104" s="133"/>
      <c r="Y104" s="446" t="str">
        <f t="shared" ref="Y104:Y106" si="11">IF(Y103="---","---",IF(X104&gt;0,Y103+X104,"---"))</f>
        <v>---</v>
      </c>
      <c r="Z104" s="134">
        <f t="shared" si="9"/>
        <v>8</v>
      </c>
      <c r="AA104" s="133"/>
      <c r="AB104" s="446" t="str">
        <f t="shared" si="10"/>
        <v>---</v>
      </c>
      <c r="AC104" s="461" t="str">
        <f>IF(AND(AA103&lt;=0,AA104&gt;0,Sva="v"),"ERROR - PREVIOUS LAYER(S) MISSING.","")</f>
        <v/>
      </c>
      <c r="AD104" s="462"/>
      <c r="AE104" s="462"/>
      <c r="AF104" s="462"/>
      <c r="AG104" s="438">
        <f>IF(Sva="v",IF(Type_Reinf="g",IF(X104&gt;2,1,0),IF(X104&gt;2.7,1,0)),0)</f>
        <v>0</v>
      </c>
      <c r="AH104" s="438">
        <f>IF(Sva="v",IF(Type_Reinf="g",IF(AA104&gt;2,1,0),IF(AA104&gt;2.7,1,0)),0)</f>
        <v>0</v>
      </c>
    </row>
    <row r="105" spans="1:34" ht="20.25" customHeight="1">
      <c r="A105" s="570" t="s">
        <v>71</v>
      </c>
      <c r="B105" s="571"/>
      <c r="C105" s="571"/>
      <c r="D105" s="571"/>
      <c r="E105" s="571"/>
      <c r="F105" s="571"/>
      <c r="G105" s="571"/>
      <c r="H105" s="571"/>
      <c r="I105" s="571"/>
      <c r="J105" s="571"/>
      <c r="K105" s="571"/>
      <c r="L105" s="571"/>
      <c r="M105" s="571"/>
      <c r="N105" s="571"/>
      <c r="O105" s="571"/>
      <c r="P105" s="571"/>
      <c r="Q105" s="572"/>
      <c r="V105" s="460" t="str">
        <f>IF(AND(X104&lt;=0,X105&gt;0,Sva="v"),"ERROR - PREVIOUS LAYER(S) MISSING.","")</f>
        <v/>
      </c>
      <c r="W105" s="134">
        <f t="shared" si="8"/>
        <v>4</v>
      </c>
      <c r="X105" s="133"/>
      <c r="Y105" s="446" t="str">
        <f t="shared" si="11"/>
        <v>---</v>
      </c>
      <c r="Z105" s="134">
        <f t="shared" si="9"/>
        <v>9</v>
      </c>
      <c r="AA105" s="133"/>
      <c r="AB105" s="446" t="str">
        <f t="shared" si="10"/>
        <v>---</v>
      </c>
      <c r="AC105" s="461" t="str">
        <f>IF(AND(AA104&lt;=0,AA105&gt;0,Sva="v"),"ERROR - PREVIOUS LAYER(S) MISSING.","")</f>
        <v/>
      </c>
      <c r="AD105" s="462"/>
      <c r="AE105" s="462"/>
      <c r="AF105" s="462"/>
      <c r="AG105" s="438">
        <f>IF(Sva="v",IF(Type_Reinf="g",IF(X105&gt;2,1,0),IF(X105&gt;2.7,1,0)),0)</f>
        <v>0</v>
      </c>
      <c r="AH105" s="438">
        <f>IF(Sva="v",IF(Type_Reinf="g",IF(AA105&gt;2,1,0),IF(AA105&gt;2.7,1,0)),0)</f>
        <v>0</v>
      </c>
    </row>
    <row r="106" spans="1:34" ht="12.75" customHeight="1">
      <c r="A106" s="42"/>
      <c r="B106" s="43"/>
      <c r="C106" s="43"/>
      <c r="D106" s="43"/>
      <c r="E106" s="43"/>
      <c r="F106" s="43"/>
      <c r="G106" s="43"/>
      <c r="H106" s="43"/>
      <c r="I106" s="43"/>
      <c r="J106" s="43"/>
      <c r="K106" s="43"/>
      <c r="L106" s="43"/>
      <c r="M106" s="43"/>
      <c r="N106" s="43"/>
      <c r="O106" s="43"/>
      <c r="P106" s="43"/>
      <c r="Q106" s="44"/>
      <c r="V106" s="460" t="str">
        <f>IF(AND(X105&lt;=0,X106&gt;0,Sva="v"),"ERROR - PREVIOUS LAYER(S) MISSING.","")</f>
        <v/>
      </c>
      <c r="W106" s="134">
        <f t="shared" si="8"/>
        <v>5</v>
      </c>
      <c r="X106" s="133"/>
      <c r="Y106" s="446" t="str">
        <f t="shared" si="11"/>
        <v>---</v>
      </c>
      <c r="Z106" s="134">
        <f t="shared" si="9"/>
        <v>10</v>
      </c>
      <c r="AA106" s="133"/>
      <c r="AB106" s="446" t="str">
        <f t="shared" si="10"/>
        <v>---</v>
      </c>
      <c r="AC106" s="461" t="str">
        <f>IF(AND(AA105&lt;=0,AA106&gt;0,Sva="v"),"ERROR - PREVIOUS LAYER(S) MISSING.","")</f>
        <v/>
      </c>
      <c r="AD106" s="462"/>
      <c r="AE106" s="462"/>
      <c r="AF106" s="462"/>
      <c r="AG106" s="438">
        <f>IF(Sva="v",IF(Type_Reinf="g",IF(X106&gt;2,1,0),IF(X106&gt;2.7,1,0)),0)</f>
        <v>0</v>
      </c>
      <c r="AH106" s="438">
        <f>IF(Sva="v",IF(Type_Reinf="g",IF(AA106&gt;2,1,0),IF(AA106&gt;2.7,1,0)),0)</f>
        <v>0</v>
      </c>
    </row>
    <row r="107" spans="1:34" ht="12.75" customHeight="1">
      <c r="A107" s="42"/>
      <c r="B107" s="43"/>
      <c r="C107" s="43"/>
      <c r="D107" s="43"/>
      <c r="E107" s="43"/>
      <c r="F107" s="43"/>
      <c r="G107" s="43"/>
      <c r="H107" s="43"/>
      <c r="I107" s="45" t="s">
        <v>70</v>
      </c>
      <c r="J107" s="101">
        <f>IF(H="","",IF(Sv="v","N/A",IF(INT((H-Z_1)/Sv)=(H-Z_1)/Sv,INT((H-Z_1)/Sv),INT((H-Z_1)/Sv)+1)))</f>
        <v>6</v>
      </c>
      <c r="K107" s="43" t="s">
        <v>69</v>
      </c>
      <c r="L107" s="43"/>
      <c r="M107" s="43"/>
      <c r="N107" s="43"/>
      <c r="O107" s="43"/>
      <c r="P107" s="43"/>
      <c r="Q107" s="44"/>
      <c r="V107" s="103"/>
      <c r="W107" s="453" t="str">
        <f>IF(Sva="v",IF(SUM(X102:X106,AA102:AA106)&gt;Z99,"ERROR - TOTAL OF ALL LAYERS ENTERED EXCEEDS ABUTMENT HEIGHT.",""),"")</f>
        <v/>
      </c>
      <c r="AC107" s="106"/>
    </row>
    <row r="108" spans="1:34" ht="12.75" customHeight="1">
      <c r="A108" s="47"/>
      <c r="B108" s="48"/>
      <c r="C108" s="156"/>
      <c r="D108" s="48"/>
      <c r="E108" s="48"/>
      <c r="F108" s="48"/>
      <c r="G108" s="48"/>
      <c r="H108" s="48"/>
      <c r="I108" s="48"/>
      <c r="J108" s="48"/>
      <c r="K108" s="48"/>
      <c r="L108" s="48"/>
      <c r="M108" s="48"/>
      <c r="N108" s="48"/>
      <c r="O108" s="48"/>
      <c r="P108" s="48"/>
      <c r="Q108" s="49"/>
    </row>
    <row r="109" spans="1:34" ht="15.75">
      <c r="A109" s="58" t="s">
        <v>34</v>
      </c>
      <c r="B109" s="99" t="s">
        <v>35</v>
      </c>
      <c r="C109" s="217" t="s">
        <v>274</v>
      </c>
      <c r="D109" s="99" t="s">
        <v>275</v>
      </c>
      <c r="E109" s="63" t="s">
        <v>45</v>
      </c>
      <c r="F109" s="136" t="s">
        <v>276</v>
      </c>
      <c r="G109" s="53" t="s">
        <v>265</v>
      </c>
      <c r="H109" s="58" t="s">
        <v>68</v>
      </c>
      <c r="I109" s="53" t="s">
        <v>277</v>
      </c>
      <c r="J109" s="58" t="s">
        <v>55</v>
      </c>
      <c r="K109" s="53" t="s">
        <v>278</v>
      </c>
      <c r="L109" s="136" t="s">
        <v>279</v>
      </c>
      <c r="M109" s="53" t="s">
        <v>280</v>
      </c>
      <c r="N109" s="136" t="s">
        <v>281</v>
      </c>
      <c r="O109" s="53" t="s">
        <v>520</v>
      </c>
      <c r="P109" s="136" t="s">
        <v>514</v>
      </c>
      <c r="Q109" s="76" t="s">
        <v>133</v>
      </c>
      <c r="R109" s="383" t="s">
        <v>544</v>
      </c>
    </row>
    <row r="110" spans="1:34" ht="14.25">
      <c r="A110" s="28" t="s">
        <v>146</v>
      </c>
      <c r="B110" s="73" t="s">
        <v>56</v>
      </c>
      <c r="C110" s="108" t="s">
        <v>56</v>
      </c>
      <c r="D110" s="73" t="s">
        <v>56</v>
      </c>
      <c r="E110" s="130" t="s">
        <v>209</v>
      </c>
      <c r="F110" s="28" t="s">
        <v>67</v>
      </c>
      <c r="G110" s="41" t="s">
        <v>209</v>
      </c>
      <c r="H110" s="28" t="s">
        <v>209</v>
      </c>
      <c r="I110" s="41" t="s">
        <v>209</v>
      </c>
      <c r="J110" s="28" t="s">
        <v>209</v>
      </c>
      <c r="K110" s="130" t="s">
        <v>210</v>
      </c>
      <c r="L110" s="28" t="s">
        <v>4</v>
      </c>
      <c r="M110" s="41" t="s">
        <v>52</v>
      </c>
      <c r="N110" s="28" t="s">
        <v>52</v>
      </c>
      <c r="O110" s="41" t="s">
        <v>52</v>
      </c>
      <c r="P110" s="28" t="s">
        <v>52</v>
      </c>
      <c r="Q110" s="73" t="s">
        <v>56</v>
      </c>
      <c r="R110" s="382" t="s">
        <v>708</v>
      </c>
      <c r="AB110" s="2"/>
    </row>
    <row r="111" spans="1:34">
      <c r="A111" s="125">
        <v>1</v>
      </c>
      <c r="B111" s="137">
        <f>IF(Sv="v",Y71,IF($J$107&lt;A111,"",Z_1))</f>
        <v>1.5</v>
      </c>
      <c r="C111" s="137">
        <f>IF(B111="---","---",B111+0.5*(B112-B111))</f>
        <v>2.75</v>
      </c>
      <c r="D111" s="124">
        <v>2.48</v>
      </c>
      <c r="E111" s="124">
        <v>2</v>
      </c>
      <c r="F111" s="124"/>
      <c r="G111" s="124">
        <v>0.16300000000000001</v>
      </c>
      <c r="H111" s="124"/>
      <c r="I111" s="124"/>
      <c r="J111" s="124"/>
      <c r="K111" s="124"/>
      <c r="L111" s="124"/>
      <c r="M111" s="124"/>
      <c r="N111" s="124"/>
      <c r="O111" s="124">
        <v>5</v>
      </c>
      <c r="P111" s="124">
        <v>6</v>
      </c>
      <c r="Q111" s="118"/>
      <c r="R111" s="449" t="str">
        <f>IF(Reinf_cont="y",IF(E111/(D111*12)=1,"","ERROR - FOR CONTINUOUS REINFORCEMENT, Sh MUST EQUAL b."),"")</f>
        <v/>
      </c>
      <c r="AB111" s="2"/>
      <c r="AC111" s="104"/>
      <c r="AD111" s="2"/>
    </row>
    <row r="112" spans="1:34">
      <c r="A112" s="126">
        <f t="shared" ref="A112:A143" si="12">A111+1</f>
        <v>2</v>
      </c>
      <c r="B112" s="137">
        <f t="shared" ref="B112:B135" si="13">IF(Sv="v",IF(X72&gt;0,IF(Y72&lt;=H,Y72,"---"),"---"),IF($J$107&lt;A112,"---",Z_1+(A111*Sv)))</f>
        <v>4</v>
      </c>
      <c r="C112" s="137">
        <f t="shared" ref="C112:C160" si="14">IF(B112="---","---",IF(B113="---",(H-B112)+0.5*(B112-B111),0.5*(B113-B112)+0.5*(B112-B111)))</f>
        <v>2.5</v>
      </c>
      <c r="D112" s="124">
        <v>2.48</v>
      </c>
      <c r="E112" s="124">
        <v>2</v>
      </c>
      <c r="F112" s="124"/>
      <c r="G112" s="124">
        <v>0.16300000000000001</v>
      </c>
      <c r="H112" s="124"/>
      <c r="I112" s="124"/>
      <c r="J112" s="124"/>
      <c r="K112" s="124"/>
      <c r="L112" s="124"/>
      <c r="M112" s="124"/>
      <c r="N112" s="124"/>
      <c r="O112" s="124">
        <v>5</v>
      </c>
      <c r="P112" s="124">
        <v>6</v>
      </c>
      <c r="Q112" s="118"/>
      <c r="R112" s="449" t="str">
        <f>IF(H="","",IF(D111="","ERROR - Sh MUST BE ENTERED FOR ALL TYPES OF REINFORCEMENT.",""))</f>
        <v/>
      </c>
      <c r="U112" s="102"/>
      <c r="AB112" s="2"/>
      <c r="AC112" s="104"/>
      <c r="AD112" s="2"/>
      <c r="AE112" s="2"/>
      <c r="AF112" s="2"/>
      <c r="AG112" s="2"/>
    </row>
    <row r="113" spans="1:33">
      <c r="A113" s="126">
        <f t="shared" si="12"/>
        <v>3</v>
      </c>
      <c r="B113" s="137">
        <f t="shared" si="13"/>
        <v>6.5</v>
      </c>
      <c r="C113" s="137">
        <f t="shared" si="14"/>
        <v>2.5</v>
      </c>
      <c r="D113" s="124">
        <v>2.48</v>
      </c>
      <c r="E113" s="124">
        <v>2</v>
      </c>
      <c r="F113" s="124"/>
      <c r="G113" s="124">
        <v>0.16300000000000001</v>
      </c>
      <c r="H113" s="124"/>
      <c r="I113" s="124"/>
      <c r="J113" s="124"/>
      <c r="K113" s="124"/>
      <c r="L113" s="124"/>
      <c r="M113" s="124"/>
      <c r="N113" s="124"/>
      <c r="O113" s="124">
        <v>5</v>
      </c>
      <c r="P113" s="124">
        <v>6</v>
      </c>
      <c r="Q113" s="118"/>
      <c r="R113" s="449" t="str">
        <f>IF(H="","",IF(E111="","ERROR - b MUST BE ENTERED FOR ALL TYPES OF REINFORCEMENT.",""))</f>
        <v/>
      </c>
      <c r="AB113" s="2"/>
      <c r="AC113" s="104"/>
      <c r="AD113" s="2"/>
      <c r="AE113" s="2"/>
      <c r="AF113" s="2"/>
      <c r="AG113" s="2"/>
    </row>
    <row r="114" spans="1:33">
      <c r="A114" s="126">
        <f t="shared" si="12"/>
        <v>4</v>
      </c>
      <c r="B114" s="137">
        <f t="shared" si="13"/>
        <v>9</v>
      </c>
      <c r="C114" s="137">
        <f t="shared" si="14"/>
        <v>2.5</v>
      </c>
      <c r="D114" s="124">
        <v>2.48</v>
      </c>
      <c r="E114" s="124">
        <v>2</v>
      </c>
      <c r="F114" s="124"/>
      <c r="G114" s="124">
        <v>0.16300000000000001</v>
      </c>
      <c r="H114" s="124"/>
      <c r="I114" s="124"/>
      <c r="J114" s="124"/>
      <c r="K114" s="124"/>
      <c r="L114" s="124"/>
      <c r="M114" s="124"/>
      <c r="N114" s="124"/>
      <c r="O114" s="124">
        <v>5</v>
      </c>
      <c r="P114" s="124">
        <v>6</v>
      </c>
      <c r="Q114" s="118"/>
      <c r="R114" s="449" t="str">
        <f>IF(F111&lt;&gt;0,IF(OR(Type_Reinf="s",Type_Reinf="g"),"ERROR - Nb SHOULD NOT BE ENTERED FOR GEOSYNTHETIC OR STEEL STRIP TYPES OF REINFORCEMENT.",""),IF(OR(Type_Reinf="m",Type_Reinf="w"),"ERROR - Nb SHOULD BE ENTERED FOR STEEL BAR MATS OR WELDED WIRE GRID REINFORCEMENT.",""))</f>
        <v/>
      </c>
      <c r="AB114" s="2"/>
      <c r="AC114" s="104"/>
      <c r="AD114" s="2"/>
      <c r="AE114" s="2"/>
      <c r="AF114" s="2"/>
      <c r="AG114" s="2"/>
    </row>
    <row r="115" spans="1:33">
      <c r="A115" s="126">
        <f t="shared" si="12"/>
        <v>5</v>
      </c>
      <c r="B115" s="137">
        <f t="shared" si="13"/>
        <v>11.5</v>
      </c>
      <c r="C115" s="137">
        <f t="shared" si="14"/>
        <v>2.5</v>
      </c>
      <c r="D115" s="124">
        <v>2.48</v>
      </c>
      <c r="E115" s="124">
        <v>2</v>
      </c>
      <c r="F115" s="124"/>
      <c r="G115" s="124">
        <v>0.16300000000000001</v>
      </c>
      <c r="H115" s="124"/>
      <c r="I115" s="124"/>
      <c r="J115" s="124"/>
      <c r="K115" s="124"/>
      <c r="L115" s="124"/>
      <c r="M115" s="124"/>
      <c r="N115" s="124"/>
      <c r="O115" s="124">
        <v>5</v>
      </c>
      <c r="P115" s="124">
        <v>6</v>
      </c>
      <c r="Q115" s="118"/>
      <c r="R115" s="449" t="str">
        <f>IF(G111&lt;&gt;0,IF(OR(Type_Reinf="g",Type_Reinf="m",Type_Reinf="w"),"ERROR - Tr SHOULD ONLY BE ENTERED FOR STRIP REINFORCEMENT.",""),IF(Type_Reinf="s","ERROR - Tr SHOULD BE ENTERED FOR STRIP REINFORCEMENT.",""))</f>
        <v/>
      </c>
      <c r="AB115" s="2"/>
      <c r="AC115" s="104"/>
      <c r="AD115" s="2"/>
      <c r="AE115" s="2"/>
      <c r="AF115" s="2"/>
      <c r="AG115" s="2"/>
    </row>
    <row r="116" spans="1:33">
      <c r="A116" s="126">
        <f t="shared" si="12"/>
        <v>6</v>
      </c>
      <c r="B116" s="137">
        <f t="shared" si="13"/>
        <v>14</v>
      </c>
      <c r="C116" s="137">
        <f t="shared" si="14"/>
        <v>3.2200000000000006</v>
      </c>
      <c r="D116" s="124">
        <v>2.48</v>
      </c>
      <c r="E116" s="124">
        <v>2</v>
      </c>
      <c r="F116" s="124"/>
      <c r="G116" s="124">
        <v>0.16300000000000001</v>
      </c>
      <c r="H116" s="124"/>
      <c r="I116" s="124"/>
      <c r="J116" s="124"/>
      <c r="K116" s="124"/>
      <c r="L116" s="124"/>
      <c r="M116" s="124"/>
      <c r="N116" s="124"/>
      <c r="O116" s="124">
        <v>5</v>
      </c>
      <c r="P116" s="124">
        <v>6</v>
      </c>
      <c r="Q116" s="118"/>
      <c r="R116" s="449" t="str">
        <f>IF(H111&lt;&gt;0,IF(OR(Type_Reinf="s",Type_Reinf="g"),"ERROR - D SHOULD NOT BE ENTERED FOR GEOSYNTHETIC OR STEEL STRIP TYPES OF REINFORCEMENT.",""),IF(OR(Type_Reinf="m",Type_Reinf="w"),"ERROR - D SHOULD BE ENTERED FOR STEEL BAR MATS OR WELDED WIRE GRID REINFORCEMENT.",""))</f>
        <v/>
      </c>
      <c r="AB116" s="2"/>
      <c r="AC116" s="104"/>
      <c r="AD116" s="2"/>
      <c r="AE116" s="2"/>
      <c r="AF116" s="2"/>
      <c r="AG116" s="2"/>
    </row>
    <row r="117" spans="1:33">
      <c r="A117" s="126">
        <f t="shared" si="12"/>
        <v>7</v>
      </c>
      <c r="B117" s="137" t="str">
        <f t="shared" si="13"/>
        <v>---</v>
      </c>
      <c r="C117" s="137" t="str">
        <f t="shared" si="14"/>
        <v>---</v>
      </c>
      <c r="D117" s="124"/>
      <c r="E117" s="124"/>
      <c r="F117" s="124"/>
      <c r="G117" s="124"/>
      <c r="H117" s="124"/>
      <c r="I117" s="124"/>
      <c r="J117" s="124"/>
      <c r="K117" s="124"/>
      <c r="L117" s="124"/>
      <c r="M117" s="124"/>
      <c r="N117" s="124"/>
      <c r="O117" s="124"/>
      <c r="P117" s="124"/>
      <c r="Q117" s="118"/>
      <c r="R117" s="449" t="str">
        <f>IF(I111&lt;&gt;0,IF(OR(Type_Reinf="s",Type_Reinf="g"),"ERROR - St SHOULD ONLY BE ENTERED FOR STEEL BAR MATS OR WELDED WIRE GRID REINFORCEMENT.",""),IF(OR(Type_Reinf="m",Type_Reinf="w"),"ERROR - St SHOULD BE ENTERED FOR STEEL BAR MATS OR WELDED WIRE GRID REINFORCEMENT.",""))</f>
        <v/>
      </c>
      <c r="AB117" s="2"/>
      <c r="AC117" s="104"/>
      <c r="AD117" s="2"/>
      <c r="AE117" s="2"/>
      <c r="AF117" s="2"/>
      <c r="AG117" s="2"/>
    </row>
    <row r="118" spans="1:33">
      <c r="A118" s="126">
        <f t="shared" si="12"/>
        <v>8</v>
      </c>
      <c r="B118" s="137" t="str">
        <f t="shared" si="13"/>
        <v>---</v>
      </c>
      <c r="C118" s="137" t="str">
        <f t="shared" si="14"/>
        <v>---</v>
      </c>
      <c r="D118" s="124"/>
      <c r="E118" s="124"/>
      <c r="F118" s="124"/>
      <c r="G118" s="124"/>
      <c r="H118" s="124"/>
      <c r="I118" s="124"/>
      <c r="J118" s="124"/>
      <c r="K118" s="124"/>
      <c r="L118" s="124"/>
      <c r="M118" s="124"/>
      <c r="N118" s="124"/>
      <c r="O118" s="124"/>
      <c r="P118" s="124"/>
      <c r="Q118" s="118"/>
      <c r="R118" s="449" t="str">
        <f>IF(J111&lt;&gt;0,IF(OR(Type_Reinf="s",Type_Reinf="g"),"ERROR - t SHOULD ONLY BE ENTERED FOR STEEL BAR MATS OR WELDED WIRE GRID REINFORCEMENT.",""),IF(OR(Type_Reinf="m",Type_Reinf="w"),"ERROR - t SHOULD BE ENTERED FOR STEEL BAR MATS OR WELDED WIRE GRID REINFORCEMENT.",""))</f>
        <v/>
      </c>
      <c r="AB118" s="2"/>
      <c r="AC118" s="104"/>
      <c r="AD118" s="2"/>
      <c r="AE118" s="2"/>
      <c r="AF118" s="2"/>
      <c r="AG118" s="2"/>
    </row>
    <row r="119" spans="1:33">
      <c r="A119" s="126">
        <f t="shared" si="12"/>
        <v>9</v>
      </c>
      <c r="B119" s="137" t="str">
        <f t="shared" si="13"/>
        <v>---</v>
      </c>
      <c r="C119" s="137" t="str">
        <f t="shared" si="14"/>
        <v>---</v>
      </c>
      <c r="D119" s="124"/>
      <c r="E119" s="124"/>
      <c r="F119" s="124"/>
      <c r="G119" s="124"/>
      <c r="H119" s="124"/>
      <c r="I119" s="124"/>
      <c r="J119" s="124"/>
      <c r="K119" s="124"/>
      <c r="L119" s="124"/>
      <c r="M119" s="124"/>
      <c r="N119" s="124"/>
      <c r="O119" s="124"/>
      <c r="P119" s="124"/>
      <c r="Q119" s="118"/>
      <c r="R119" s="449" t="str">
        <f>IF(H="","",IF(K111&lt;&gt;0,IF(OR(F111&lt;&gt;0,G111&lt;&gt;0,H111&lt;&gt;0,M111&lt;&gt;0,N111&lt;&gt;0),"WARNING - Ac* WILL OVERRIDE ANY OTHER REINFORCEMENT INPUT USED TO DETERMINE Ac.",""),IF(AND(F111=0,G111=0,H111=0,M111=0,N111=0),"ERROR - MORE REINFORCEMENT DATA MUST BE ENTERED TO DETERMINE Ac.","")))</f>
        <v/>
      </c>
      <c r="AB119" s="2"/>
      <c r="AC119" s="104"/>
      <c r="AD119" s="2"/>
      <c r="AE119" s="2"/>
      <c r="AF119" s="2"/>
      <c r="AG119" s="2"/>
    </row>
    <row r="120" spans="1:33">
      <c r="A120" s="126">
        <f t="shared" si="12"/>
        <v>10</v>
      </c>
      <c r="B120" s="137" t="str">
        <f t="shared" si="13"/>
        <v>---</v>
      </c>
      <c r="C120" s="137" t="str">
        <f t="shared" si="14"/>
        <v>---</v>
      </c>
      <c r="D120" s="124"/>
      <c r="E120" s="124"/>
      <c r="F120" s="124"/>
      <c r="G120" s="124"/>
      <c r="H120" s="124"/>
      <c r="I120" s="124"/>
      <c r="J120" s="124"/>
      <c r="K120" s="124"/>
      <c r="L120" s="124"/>
      <c r="M120" s="124"/>
      <c r="N120" s="124"/>
      <c r="O120" s="124"/>
      <c r="P120" s="124"/>
      <c r="Q120" s="118"/>
      <c r="R120" s="449" t="str">
        <f>IF(L111&lt;&gt;0,IF(Type_Reinf&lt;&gt;"g","ERROR - REINFORCEMENT DATA IS INCONSISTENT.",""),IF(AND(Geo_Conn="f",Geo_Face="y")=TRUE,"",IF(Type_Reinf="g","ERROR - CRcr MUST BE ENTERED FOR GEOSYNTHETIC REINFORCEMENT.","")))</f>
        <v/>
      </c>
      <c r="AB120" s="2"/>
      <c r="AC120" s="104"/>
      <c r="AD120" s="2"/>
      <c r="AE120" s="2"/>
      <c r="AF120" s="2"/>
      <c r="AG120" s="2"/>
    </row>
    <row r="121" spans="1:33">
      <c r="A121" s="126">
        <f t="shared" si="12"/>
        <v>11</v>
      </c>
      <c r="B121" s="137" t="str">
        <f t="shared" si="13"/>
        <v>---</v>
      </c>
      <c r="C121" s="137" t="str">
        <f t="shared" si="14"/>
        <v>---</v>
      </c>
      <c r="D121" s="124"/>
      <c r="E121" s="124"/>
      <c r="F121" s="124"/>
      <c r="G121" s="124"/>
      <c r="H121" s="124"/>
      <c r="I121" s="124"/>
      <c r="J121" s="124"/>
      <c r="K121" s="124"/>
      <c r="L121" s="124"/>
      <c r="M121" s="124"/>
      <c r="N121" s="124"/>
      <c r="O121" s="124"/>
      <c r="P121" s="124"/>
      <c r="Q121" s="118"/>
      <c r="R121" s="449" t="str">
        <f>IF(M111&lt;&gt;0,IF(Type_Reinf&lt;&gt;"g","ERROR - REINFORCEMENT DATA IS INCONSISTENT.",""),IF(Type_Reinf="g","ERROR - Srs MUST BE ENTERED FOR GEOSYNTHETIC REINFORCEMENT.",""))</f>
        <v/>
      </c>
      <c r="AB121" s="2"/>
      <c r="AC121" s="104"/>
      <c r="AD121" s="2"/>
      <c r="AE121" s="2"/>
      <c r="AF121" s="2"/>
      <c r="AG121" s="2"/>
    </row>
    <row r="122" spans="1:33">
      <c r="A122" s="126">
        <f t="shared" si="12"/>
        <v>12</v>
      </c>
      <c r="B122" s="137" t="str">
        <f t="shared" si="13"/>
        <v>---</v>
      </c>
      <c r="C122" s="137" t="str">
        <f t="shared" si="14"/>
        <v>---</v>
      </c>
      <c r="D122" s="124"/>
      <c r="E122" s="124"/>
      <c r="F122" s="124"/>
      <c r="G122" s="124"/>
      <c r="H122" s="124"/>
      <c r="I122" s="124"/>
      <c r="J122" s="124"/>
      <c r="K122" s="124"/>
      <c r="L122" s="124"/>
      <c r="M122" s="124"/>
      <c r="N122" s="124"/>
      <c r="O122" s="124"/>
      <c r="P122" s="124"/>
      <c r="Q122" s="118"/>
      <c r="R122" s="449" t="str">
        <f>IF(N111&lt;&gt;0,IF(Type_Reinf&lt;&gt;"g","ERROR - REINFORCEMENT DATA IS INCONSISTENT.",""),IF(Type_Reinf="g","ERROR - Srt MUST BE ENTERED FOR GEOSYNTHETIC REINFORCEMENT.",""))</f>
        <v/>
      </c>
      <c r="AB122" s="2"/>
      <c r="AC122" s="104"/>
      <c r="AD122" s="2"/>
      <c r="AE122" s="2"/>
      <c r="AF122" s="2"/>
      <c r="AG122" s="2"/>
    </row>
    <row r="123" spans="1:33">
      <c r="A123" s="126">
        <f t="shared" si="12"/>
        <v>13</v>
      </c>
      <c r="B123" s="137" t="str">
        <f t="shared" si="13"/>
        <v>---</v>
      </c>
      <c r="C123" s="137" t="str">
        <f t="shared" si="14"/>
        <v>---</v>
      </c>
      <c r="D123" s="124"/>
      <c r="E123" s="124"/>
      <c r="F123" s="124"/>
      <c r="G123" s="124"/>
      <c r="H123" s="124"/>
      <c r="I123" s="124"/>
      <c r="J123" s="124"/>
      <c r="K123" s="124"/>
      <c r="L123" s="124"/>
      <c r="M123" s="124"/>
      <c r="N123" s="124"/>
      <c r="O123" s="124"/>
      <c r="P123" s="124"/>
      <c r="Q123" s="118"/>
      <c r="R123" s="449" t="str">
        <f>IF(H="","",IF(Type_Reinf="g","",IF(O111="","ERROR - CC (STR) MUST BE ENTERED FOR THIS TYPE OF REINFORCEMENT.","")))</f>
        <v/>
      </c>
      <c r="AB123" s="2"/>
      <c r="AC123" s="104"/>
      <c r="AD123" s="2"/>
      <c r="AE123" s="2"/>
      <c r="AF123" s="2"/>
      <c r="AG123" s="2"/>
    </row>
    <row r="124" spans="1:33">
      <c r="A124" s="126">
        <f t="shared" si="12"/>
        <v>14</v>
      </c>
      <c r="B124" s="137" t="str">
        <f t="shared" si="13"/>
        <v>---</v>
      </c>
      <c r="C124" s="137" t="str">
        <f t="shared" si="14"/>
        <v>---</v>
      </c>
      <c r="D124" s="124"/>
      <c r="E124" s="124"/>
      <c r="F124" s="124"/>
      <c r="G124" s="124"/>
      <c r="H124" s="124"/>
      <c r="I124" s="124"/>
      <c r="J124" s="124"/>
      <c r="K124" s="124"/>
      <c r="L124" s="124"/>
      <c r="M124" s="124"/>
      <c r="N124" s="124"/>
      <c r="O124" s="124"/>
      <c r="P124" s="124"/>
      <c r="Q124" s="118"/>
      <c r="R124" s="449" t="str">
        <f>IF(H="","",IF(Type_Reinf="g","",IF(P111="","ERROR - CC (EXT) MUST BE ENTERED FOR THIS TYPE OF REINFORCEMENT.","")))</f>
        <v/>
      </c>
      <c r="AB124" s="2"/>
      <c r="AC124" s="104"/>
      <c r="AD124" s="2"/>
      <c r="AE124" s="2"/>
      <c r="AF124" s="2"/>
      <c r="AG124" s="2"/>
    </row>
    <row r="125" spans="1:33">
      <c r="A125" s="126">
        <f t="shared" si="12"/>
        <v>15</v>
      </c>
      <c r="B125" s="137" t="str">
        <f t="shared" si="13"/>
        <v>---</v>
      </c>
      <c r="C125" s="137" t="str">
        <f t="shared" si="14"/>
        <v>---</v>
      </c>
      <c r="D125" s="124"/>
      <c r="E125" s="124"/>
      <c r="F125" s="124"/>
      <c r="G125" s="124"/>
      <c r="H125" s="124"/>
      <c r="I125" s="124"/>
      <c r="J125" s="124"/>
      <c r="K125" s="124"/>
      <c r="L125" s="124"/>
      <c r="M125" s="124"/>
      <c r="N125" s="124"/>
      <c r="O125" s="124"/>
      <c r="P125" s="124"/>
      <c r="Q125" s="118"/>
      <c r="R125" s="449" t="str">
        <f>IF(AND(Geo_Conn="f",Geo_Face="y",Q111="")=TRUE,"ERROR - OVERLAP LENGTH OF REINFORCEMENT MUST BE ENTERED.","")</f>
        <v/>
      </c>
      <c r="AB125" s="2"/>
      <c r="AC125" s="104"/>
      <c r="AD125" s="2"/>
      <c r="AE125" s="2"/>
      <c r="AF125" s="2"/>
      <c r="AG125" s="2"/>
    </row>
    <row r="126" spans="1:33">
      <c r="A126" s="126">
        <f t="shared" si="12"/>
        <v>16</v>
      </c>
      <c r="B126" s="137" t="str">
        <f t="shared" si="13"/>
        <v>---</v>
      </c>
      <c r="C126" s="137" t="str">
        <f t="shared" si="14"/>
        <v>---</v>
      </c>
      <c r="D126" s="124"/>
      <c r="E126" s="124"/>
      <c r="F126" s="124"/>
      <c r="G126" s="124"/>
      <c r="H126" s="124"/>
      <c r="I126" s="124"/>
      <c r="J126" s="124"/>
      <c r="K126" s="124"/>
      <c r="L126" s="124"/>
      <c r="M126" s="124"/>
      <c r="N126" s="124"/>
      <c r="O126" s="124"/>
      <c r="P126" s="124"/>
      <c r="Q126" s="118"/>
      <c r="R126" s="452" t="str">
        <f>IF(H="","",IF(VLOOKUP($J$107,$A$111:$D$160,4)=0,"ERROR - REINFORCEMENT DATA HAS NOT BEEN ENTERED FOR ALL REQUIRED LAYERS.",""))</f>
        <v/>
      </c>
      <c r="AB126" s="2"/>
      <c r="AC126" s="104"/>
      <c r="AD126" s="2"/>
      <c r="AE126" s="2"/>
      <c r="AF126" s="2"/>
      <c r="AG126" s="2"/>
    </row>
    <row r="127" spans="1:33">
      <c r="A127" s="126">
        <f t="shared" si="12"/>
        <v>17</v>
      </c>
      <c r="B127" s="137" t="str">
        <f t="shared" si="13"/>
        <v>---</v>
      </c>
      <c r="C127" s="137" t="str">
        <f t="shared" si="14"/>
        <v>---</v>
      </c>
      <c r="D127" s="124"/>
      <c r="E127" s="124"/>
      <c r="F127" s="124"/>
      <c r="G127" s="124"/>
      <c r="H127" s="124"/>
      <c r="I127" s="124"/>
      <c r="J127" s="124"/>
      <c r="K127" s="124"/>
      <c r="L127" s="124"/>
      <c r="M127" s="124"/>
      <c r="N127" s="124"/>
      <c r="O127" s="124"/>
      <c r="P127" s="124"/>
      <c r="Q127" s="118"/>
      <c r="R127" s="452" t="str">
        <f>IF(H="","",IF(VLOOKUP($J$107+1,$A$111:$D$160,4)&gt;0,"ERROR - REINFORCEMENT DATA HAS BEEN ENTERED FOR TOO MANY LAYERS.",""))</f>
        <v/>
      </c>
      <c r="AB127" s="2"/>
      <c r="AC127" s="104"/>
      <c r="AD127" s="2"/>
      <c r="AE127" s="2"/>
      <c r="AF127" s="2"/>
      <c r="AG127" s="2"/>
    </row>
    <row r="128" spans="1:33">
      <c r="A128" s="126">
        <f t="shared" si="12"/>
        <v>18</v>
      </c>
      <c r="B128" s="137" t="str">
        <f t="shared" si="13"/>
        <v>---</v>
      </c>
      <c r="C128" s="137" t="str">
        <f t="shared" si="14"/>
        <v>---</v>
      </c>
      <c r="D128" s="124"/>
      <c r="E128" s="124"/>
      <c r="F128" s="124"/>
      <c r="G128" s="124"/>
      <c r="H128" s="124"/>
      <c r="I128" s="124"/>
      <c r="J128" s="124"/>
      <c r="K128" s="124"/>
      <c r="L128" s="124"/>
      <c r="M128" s="124"/>
      <c r="N128" s="124"/>
      <c r="O128" s="124"/>
      <c r="P128" s="124"/>
      <c r="Q128" s="118"/>
      <c r="AB128" s="2"/>
      <c r="AC128" s="104"/>
      <c r="AD128" s="2"/>
      <c r="AE128" s="2"/>
      <c r="AF128" s="2"/>
      <c r="AG128" s="2"/>
    </row>
    <row r="129" spans="1:33">
      <c r="A129" s="126">
        <f t="shared" si="12"/>
        <v>19</v>
      </c>
      <c r="B129" s="137" t="str">
        <f t="shared" si="13"/>
        <v>---</v>
      </c>
      <c r="C129" s="137" t="str">
        <f t="shared" si="14"/>
        <v>---</v>
      </c>
      <c r="D129" s="124"/>
      <c r="E129" s="124"/>
      <c r="F129" s="124"/>
      <c r="G129" s="124"/>
      <c r="H129" s="124"/>
      <c r="I129" s="124"/>
      <c r="J129" s="124"/>
      <c r="K129" s="124"/>
      <c r="L129" s="124"/>
      <c r="M129" s="124"/>
      <c r="N129" s="124"/>
      <c r="O129" s="124"/>
      <c r="P129" s="124"/>
      <c r="Q129" s="118"/>
      <c r="R129" s="80"/>
      <c r="AB129" s="2"/>
      <c r="AC129" s="104"/>
      <c r="AD129" s="2"/>
      <c r="AE129" s="2"/>
      <c r="AF129" s="2"/>
      <c r="AG129" s="2"/>
    </row>
    <row r="130" spans="1:33">
      <c r="A130" s="126">
        <f t="shared" si="12"/>
        <v>20</v>
      </c>
      <c r="B130" s="137" t="str">
        <f t="shared" si="13"/>
        <v>---</v>
      </c>
      <c r="C130" s="137" t="str">
        <f t="shared" si="14"/>
        <v>---</v>
      </c>
      <c r="D130" s="124"/>
      <c r="E130" s="124"/>
      <c r="F130" s="124"/>
      <c r="G130" s="124"/>
      <c r="H130" s="124"/>
      <c r="I130" s="124"/>
      <c r="J130" s="124"/>
      <c r="K130" s="124"/>
      <c r="L130" s="124"/>
      <c r="M130" s="124"/>
      <c r="N130" s="124"/>
      <c r="O130" s="124"/>
      <c r="P130" s="124"/>
      <c r="Q130" s="118"/>
      <c r="AB130" s="2"/>
      <c r="AC130" s="104"/>
      <c r="AD130" s="2"/>
      <c r="AE130" s="2"/>
      <c r="AF130" s="2"/>
      <c r="AG130" s="2"/>
    </row>
    <row r="131" spans="1:33">
      <c r="A131" s="126">
        <f t="shared" si="12"/>
        <v>21</v>
      </c>
      <c r="B131" s="137" t="str">
        <f t="shared" si="13"/>
        <v>---</v>
      </c>
      <c r="C131" s="137" t="str">
        <f t="shared" si="14"/>
        <v>---</v>
      </c>
      <c r="D131" s="124"/>
      <c r="E131" s="124"/>
      <c r="F131" s="124"/>
      <c r="G131" s="124"/>
      <c r="H131" s="124"/>
      <c r="I131" s="124"/>
      <c r="J131" s="124"/>
      <c r="K131" s="124"/>
      <c r="L131" s="124"/>
      <c r="M131" s="124"/>
      <c r="N131" s="124"/>
      <c r="O131" s="124"/>
      <c r="P131" s="124"/>
      <c r="Q131" s="118"/>
      <c r="AB131" s="2"/>
      <c r="AC131" s="104"/>
      <c r="AD131" s="2"/>
      <c r="AE131" s="2"/>
      <c r="AF131" s="2"/>
      <c r="AG131" s="2"/>
    </row>
    <row r="132" spans="1:33">
      <c r="A132" s="126">
        <f t="shared" si="12"/>
        <v>22</v>
      </c>
      <c r="B132" s="137" t="str">
        <f t="shared" si="13"/>
        <v>---</v>
      </c>
      <c r="C132" s="137" t="str">
        <f t="shared" si="14"/>
        <v>---</v>
      </c>
      <c r="D132" s="124"/>
      <c r="E132" s="124"/>
      <c r="F132" s="124"/>
      <c r="G132" s="124"/>
      <c r="H132" s="124"/>
      <c r="I132" s="124"/>
      <c r="J132" s="124"/>
      <c r="K132" s="124"/>
      <c r="L132" s="124"/>
      <c r="M132" s="124"/>
      <c r="N132" s="124"/>
      <c r="O132" s="124"/>
      <c r="P132" s="124"/>
      <c r="Q132" s="118"/>
      <c r="AB132" s="2"/>
      <c r="AC132" s="104"/>
      <c r="AD132" s="2"/>
      <c r="AE132" s="2"/>
      <c r="AF132" s="2"/>
      <c r="AG132" s="2"/>
    </row>
    <row r="133" spans="1:33">
      <c r="A133" s="126">
        <f t="shared" si="12"/>
        <v>23</v>
      </c>
      <c r="B133" s="137" t="str">
        <f t="shared" si="13"/>
        <v>---</v>
      </c>
      <c r="C133" s="137" t="str">
        <f t="shared" si="14"/>
        <v>---</v>
      </c>
      <c r="D133" s="124"/>
      <c r="E133" s="124"/>
      <c r="F133" s="124"/>
      <c r="G133" s="124"/>
      <c r="H133" s="124"/>
      <c r="I133" s="124"/>
      <c r="J133" s="124"/>
      <c r="K133" s="124"/>
      <c r="L133" s="124"/>
      <c r="M133" s="124"/>
      <c r="N133" s="124"/>
      <c r="O133" s="124"/>
      <c r="P133" s="124"/>
      <c r="Q133" s="118"/>
      <c r="AB133" s="2"/>
      <c r="AC133" s="104"/>
      <c r="AD133" s="2"/>
      <c r="AE133" s="2"/>
      <c r="AF133" s="2"/>
      <c r="AG133" s="2"/>
    </row>
    <row r="134" spans="1:33">
      <c r="A134" s="126">
        <f t="shared" si="12"/>
        <v>24</v>
      </c>
      <c r="B134" s="137" t="str">
        <f t="shared" si="13"/>
        <v>---</v>
      </c>
      <c r="C134" s="137" t="str">
        <f t="shared" si="14"/>
        <v>---</v>
      </c>
      <c r="D134" s="124"/>
      <c r="E134" s="124"/>
      <c r="F134" s="124"/>
      <c r="G134" s="124"/>
      <c r="H134" s="124"/>
      <c r="I134" s="124"/>
      <c r="J134" s="124"/>
      <c r="K134" s="124"/>
      <c r="L134" s="124"/>
      <c r="M134" s="124"/>
      <c r="N134" s="124"/>
      <c r="O134" s="124"/>
      <c r="P134" s="124"/>
      <c r="Q134" s="118"/>
      <c r="AB134" s="2"/>
      <c r="AC134" s="104"/>
      <c r="AD134" s="2"/>
      <c r="AE134" s="2"/>
      <c r="AF134" s="2"/>
      <c r="AG134" s="2"/>
    </row>
    <row r="135" spans="1:33">
      <c r="A135" s="126">
        <f t="shared" si="12"/>
        <v>25</v>
      </c>
      <c r="B135" s="137" t="str">
        <f t="shared" si="13"/>
        <v>---</v>
      </c>
      <c r="C135" s="137" t="str">
        <f t="shared" si="14"/>
        <v>---</v>
      </c>
      <c r="D135" s="124"/>
      <c r="E135" s="124"/>
      <c r="F135" s="124"/>
      <c r="G135" s="124"/>
      <c r="H135" s="124"/>
      <c r="I135" s="124"/>
      <c r="J135" s="124"/>
      <c r="K135" s="124"/>
      <c r="L135" s="124"/>
      <c r="M135" s="124"/>
      <c r="N135" s="124"/>
      <c r="O135" s="124"/>
      <c r="P135" s="124"/>
      <c r="Q135" s="118"/>
      <c r="AB135" s="2"/>
      <c r="AC135" s="104"/>
      <c r="AD135" s="2"/>
      <c r="AE135" s="2"/>
      <c r="AF135" s="2"/>
      <c r="AG135" s="2"/>
    </row>
    <row r="136" spans="1:33">
      <c r="A136" s="126">
        <f t="shared" si="12"/>
        <v>26</v>
      </c>
      <c r="B136" s="137" t="str">
        <f t="shared" ref="B136:B160" si="15">IF(Sv="v",IF(AA71&gt;0,IF(AB71&lt;=H,AB71,"---"),"---"),IF($J$107&lt;A136,"---",Z_1+(A135*Sv)))</f>
        <v>---</v>
      </c>
      <c r="C136" s="137" t="str">
        <f t="shared" si="14"/>
        <v>---</v>
      </c>
      <c r="D136" s="124"/>
      <c r="E136" s="124"/>
      <c r="F136" s="124"/>
      <c r="G136" s="124"/>
      <c r="H136" s="124"/>
      <c r="I136" s="124"/>
      <c r="J136" s="124"/>
      <c r="K136" s="124"/>
      <c r="L136" s="124"/>
      <c r="M136" s="124"/>
      <c r="N136" s="124"/>
      <c r="O136" s="124"/>
      <c r="P136" s="124"/>
      <c r="Q136" s="118"/>
      <c r="U136" s="102"/>
      <c r="AB136" s="2"/>
      <c r="AC136" s="104"/>
      <c r="AD136" s="2"/>
      <c r="AE136" s="2"/>
      <c r="AF136" s="2"/>
      <c r="AG136" s="2"/>
    </row>
    <row r="137" spans="1:33">
      <c r="A137" s="126">
        <f t="shared" si="12"/>
        <v>27</v>
      </c>
      <c r="B137" s="137" t="str">
        <f t="shared" si="15"/>
        <v>---</v>
      </c>
      <c r="C137" s="137" t="str">
        <f t="shared" si="14"/>
        <v>---</v>
      </c>
      <c r="D137" s="124"/>
      <c r="E137" s="124"/>
      <c r="F137" s="124"/>
      <c r="G137" s="124"/>
      <c r="H137" s="124"/>
      <c r="I137" s="124"/>
      <c r="J137" s="124"/>
      <c r="K137" s="124"/>
      <c r="L137" s="124"/>
      <c r="M137" s="124"/>
      <c r="N137" s="124"/>
      <c r="O137" s="124"/>
      <c r="P137" s="124"/>
      <c r="Q137" s="118"/>
      <c r="U137" s="115"/>
      <c r="AB137" s="2"/>
      <c r="AC137" s="104"/>
      <c r="AD137" s="2"/>
      <c r="AE137" s="2"/>
      <c r="AF137" s="2"/>
      <c r="AG137" s="2"/>
    </row>
    <row r="138" spans="1:33">
      <c r="A138" s="126">
        <f t="shared" si="12"/>
        <v>28</v>
      </c>
      <c r="B138" s="137" t="str">
        <f t="shared" si="15"/>
        <v>---</v>
      </c>
      <c r="C138" s="137" t="str">
        <f t="shared" si="14"/>
        <v>---</v>
      </c>
      <c r="D138" s="124"/>
      <c r="E138" s="124"/>
      <c r="F138" s="124"/>
      <c r="G138" s="124"/>
      <c r="H138" s="124"/>
      <c r="I138" s="124"/>
      <c r="J138" s="124"/>
      <c r="K138" s="124"/>
      <c r="L138" s="124"/>
      <c r="M138" s="124"/>
      <c r="N138" s="124"/>
      <c r="O138" s="124"/>
      <c r="P138" s="124"/>
      <c r="Q138" s="118"/>
      <c r="U138" s="116"/>
      <c r="AB138" s="2"/>
      <c r="AC138" s="104"/>
      <c r="AD138" s="2"/>
      <c r="AE138" s="2"/>
      <c r="AF138" s="2"/>
      <c r="AG138" s="2"/>
    </row>
    <row r="139" spans="1:33">
      <c r="A139" s="126">
        <f t="shared" si="12"/>
        <v>29</v>
      </c>
      <c r="B139" s="137" t="str">
        <f t="shared" si="15"/>
        <v>---</v>
      </c>
      <c r="C139" s="137" t="str">
        <f t="shared" si="14"/>
        <v>---</v>
      </c>
      <c r="D139" s="124"/>
      <c r="E139" s="124"/>
      <c r="F139" s="124"/>
      <c r="G139" s="124"/>
      <c r="H139" s="124"/>
      <c r="I139" s="124"/>
      <c r="J139" s="124"/>
      <c r="K139" s="124"/>
      <c r="L139" s="124"/>
      <c r="M139" s="124"/>
      <c r="N139" s="124"/>
      <c r="O139" s="124"/>
      <c r="P139" s="124"/>
      <c r="Q139" s="118"/>
      <c r="U139" s="116"/>
      <c r="AB139" s="2"/>
      <c r="AC139" s="104"/>
      <c r="AD139" s="2"/>
      <c r="AE139" s="2"/>
      <c r="AF139" s="2"/>
      <c r="AG139" s="2"/>
    </row>
    <row r="140" spans="1:33">
      <c r="A140" s="126">
        <f t="shared" si="12"/>
        <v>30</v>
      </c>
      <c r="B140" s="137" t="str">
        <f t="shared" si="15"/>
        <v>---</v>
      </c>
      <c r="C140" s="137" t="str">
        <f t="shared" si="14"/>
        <v>---</v>
      </c>
      <c r="D140" s="118"/>
      <c r="E140" s="118"/>
      <c r="F140" s="118"/>
      <c r="G140" s="118"/>
      <c r="H140" s="118"/>
      <c r="I140" s="118"/>
      <c r="J140" s="118"/>
      <c r="K140" s="118"/>
      <c r="L140" s="118"/>
      <c r="M140" s="118"/>
      <c r="N140" s="118"/>
      <c r="O140" s="118"/>
      <c r="P140" s="118"/>
      <c r="Q140" s="118"/>
      <c r="U140" s="116"/>
      <c r="AB140" s="2"/>
      <c r="AC140" s="104"/>
      <c r="AD140" s="2"/>
      <c r="AE140" s="2"/>
      <c r="AF140" s="2"/>
      <c r="AG140" s="2"/>
    </row>
    <row r="141" spans="1:33">
      <c r="A141" s="126">
        <f t="shared" si="12"/>
        <v>31</v>
      </c>
      <c r="B141" s="137" t="str">
        <f t="shared" si="15"/>
        <v>---</v>
      </c>
      <c r="C141" s="137" t="str">
        <f t="shared" si="14"/>
        <v>---</v>
      </c>
      <c r="D141" s="118"/>
      <c r="E141" s="118"/>
      <c r="F141" s="118"/>
      <c r="G141" s="118"/>
      <c r="H141" s="118"/>
      <c r="I141" s="118"/>
      <c r="J141" s="118"/>
      <c r="K141" s="118"/>
      <c r="L141" s="118"/>
      <c r="M141" s="118"/>
      <c r="N141" s="118"/>
      <c r="O141" s="118"/>
      <c r="P141" s="118"/>
      <c r="Q141" s="118"/>
      <c r="U141" s="116"/>
      <c r="AB141" s="2"/>
      <c r="AC141" s="104"/>
      <c r="AD141" s="2"/>
      <c r="AE141" s="2"/>
      <c r="AF141" s="2"/>
      <c r="AG141" s="2"/>
    </row>
    <row r="142" spans="1:33">
      <c r="A142" s="126">
        <f t="shared" si="12"/>
        <v>32</v>
      </c>
      <c r="B142" s="137" t="str">
        <f t="shared" si="15"/>
        <v>---</v>
      </c>
      <c r="C142" s="137" t="str">
        <f t="shared" si="14"/>
        <v>---</v>
      </c>
      <c r="D142" s="118"/>
      <c r="E142" s="118"/>
      <c r="F142" s="118"/>
      <c r="G142" s="118"/>
      <c r="H142" s="118"/>
      <c r="I142" s="118"/>
      <c r="J142" s="118"/>
      <c r="K142" s="118"/>
      <c r="L142" s="118"/>
      <c r="M142" s="118"/>
      <c r="N142" s="118"/>
      <c r="O142" s="118"/>
      <c r="P142" s="118"/>
      <c r="Q142" s="118"/>
      <c r="U142" s="116"/>
      <c r="AB142" s="2"/>
      <c r="AC142" s="104"/>
      <c r="AD142" s="2"/>
      <c r="AE142" s="2"/>
      <c r="AF142" s="2"/>
      <c r="AG142" s="2"/>
    </row>
    <row r="143" spans="1:33">
      <c r="A143" s="126">
        <f t="shared" si="12"/>
        <v>33</v>
      </c>
      <c r="B143" s="137" t="str">
        <f t="shared" si="15"/>
        <v>---</v>
      </c>
      <c r="C143" s="137" t="str">
        <f t="shared" si="14"/>
        <v>---</v>
      </c>
      <c r="D143" s="118"/>
      <c r="E143" s="118"/>
      <c r="F143" s="118"/>
      <c r="G143" s="118"/>
      <c r="H143" s="118"/>
      <c r="I143" s="118"/>
      <c r="J143" s="118"/>
      <c r="K143" s="118"/>
      <c r="L143" s="118"/>
      <c r="M143" s="118"/>
      <c r="N143" s="118"/>
      <c r="O143" s="118"/>
      <c r="P143" s="118"/>
      <c r="Q143" s="118"/>
      <c r="U143" s="116"/>
      <c r="AB143" s="2"/>
      <c r="AC143" s="104"/>
      <c r="AD143" s="2"/>
      <c r="AE143" s="2"/>
      <c r="AF143" s="2"/>
      <c r="AG143" s="2"/>
    </row>
    <row r="144" spans="1:33">
      <c r="A144" s="126">
        <f t="shared" ref="A144:A160" si="16">A143+1</f>
        <v>34</v>
      </c>
      <c r="B144" s="137" t="str">
        <f t="shared" si="15"/>
        <v>---</v>
      </c>
      <c r="C144" s="137" t="str">
        <f t="shared" si="14"/>
        <v>---</v>
      </c>
      <c r="D144" s="118"/>
      <c r="E144" s="118"/>
      <c r="F144" s="118"/>
      <c r="G144" s="118"/>
      <c r="H144" s="118"/>
      <c r="I144" s="118"/>
      <c r="J144" s="118"/>
      <c r="K144" s="118"/>
      <c r="L144" s="118"/>
      <c r="M144" s="118"/>
      <c r="N144" s="118"/>
      <c r="O144" s="118"/>
      <c r="P144" s="118"/>
      <c r="Q144" s="118"/>
      <c r="U144" s="116"/>
      <c r="AB144" s="2"/>
      <c r="AC144" s="104"/>
      <c r="AD144" s="2"/>
      <c r="AE144" s="2"/>
      <c r="AF144" s="2"/>
      <c r="AG144" s="2"/>
    </row>
    <row r="145" spans="1:33">
      <c r="A145" s="126">
        <f t="shared" si="16"/>
        <v>35</v>
      </c>
      <c r="B145" s="137" t="str">
        <f t="shared" si="15"/>
        <v>---</v>
      </c>
      <c r="C145" s="137" t="str">
        <f t="shared" si="14"/>
        <v>---</v>
      </c>
      <c r="D145" s="118"/>
      <c r="E145" s="118"/>
      <c r="F145" s="118"/>
      <c r="G145" s="118"/>
      <c r="H145" s="118"/>
      <c r="I145" s="118"/>
      <c r="J145" s="118"/>
      <c r="K145" s="118"/>
      <c r="L145" s="118"/>
      <c r="M145" s="118"/>
      <c r="N145" s="118"/>
      <c r="O145" s="118"/>
      <c r="P145" s="118"/>
      <c r="Q145" s="118"/>
      <c r="U145" s="116"/>
      <c r="AB145" s="2"/>
      <c r="AC145" s="104"/>
      <c r="AD145" s="2"/>
      <c r="AE145" s="2"/>
      <c r="AF145" s="2"/>
      <c r="AG145" s="2"/>
    </row>
    <row r="146" spans="1:33">
      <c r="A146" s="126">
        <f t="shared" si="16"/>
        <v>36</v>
      </c>
      <c r="B146" s="137" t="str">
        <f t="shared" si="15"/>
        <v>---</v>
      </c>
      <c r="C146" s="137" t="str">
        <f t="shared" si="14"/>
        <v>---</v>
      </c>
      <c r="D146" s="118"/>
      <c r="E146" s="118"/>
      <c r="F146" s="118"/>
      <c r="G146" s="118"/>
      <c r="H146" s="118"/>
      <c r="I146" s="118"/>
      <c r="J146" s="118"/>
      <c r="K146" s="118"/>
      <c r="L146" s="118"/>
      <c r="M146" s="118"/>
      <c r="N146" s="118"/>
      <c r="O146" s="118"/>
      <c r="P146" s="118"/>
      <c r="Q146" s="118"/>
      <c r="U146" s="116"/>
      <c r="AB146" s="2"/>
      <c r="AC146" s="104"/>
      <c r="AD146" s="2"/>
      <c r="AE146" s="2"/>
      <c r="AF146" s="2"/>
      <c r="AG146" s="2"/>
    </row>
    <row r="147" spans="1:33">
      <c r="A147" s="126">
        <f t="shared" si="16"/>
        <v>37</v>
      </c>
      <c r="B147" s="137" t="str">
        <f t="shared" si="15"/>
        <v>---</v>
      </c>
      <c r="C147" s="137" t="str">
        <f t="shared" si="14"/>
        <v>---</v>
      </c>
      <c r="D147" s="118"/>
      <c r="E147" s="118"/>
      <c r="F147" s="118"/>
      <c r="G147" s="118"/>
      <c r="H147" s="118"/>
      <c r="I147" s="118"/>
      <c r="J147" s="118"/>
      <c r="K147" s="118"/>
      <c r="L147" s="118"/>
      <c r="M147" s="118"/>
      <c r="N147" s="118"/>
      <c r="O147" s="118"/>
      <c r="P147" s="118"/>
      <c r="Q147" s="118"/>
      <c r="U147" s="116"/>
      <c r="AB147" s="2"/>
      <c r="AC147" s="104"/>
      <c r="AD147" s="2"/>
      <c r="AE147" s="2"/>
      <c r="AF147" s="2"/>
      <c r="AG147" s="2"/>
    </row>
    <row r="148" spans="1:33">
      <c r="A148" s="126">
        <f t="shared" si="16"/>
        <v>38</v>
      </c>
      <c r="B148" s="137" t="str">
        <f t="shared" si="15"/>
        <v>---</v>
      </c>
      <c r="C148" s="137" t="str">
        <f t="shared" si="14"/>
        <v>---</v>
      </c>
      <c r="D148" s="118"/>
      <c r="E148" s="118"/>
      <c r="F148" s="118"/>
      <c r="G148" s="118"/>
      <c r="H148" s="118"/>
      <c r="I148" s="118"/>
      <c r="J148" s="118"/>
      <c r="K148" s="118"/>
      <c r="L148" s="118"/>
      <c r="M148" s="118"/>
      <c r="N148" s="118"/>
      <c r="O148" s="118"/>
      <c r="P148" s="118"/>
      <c r="Q148" s="118"/>
      <c r="U148" s="116"/>
      <c r="AB148" s="2"/>
      <c r="AC148" s="104"/>
      <c r="AD148" s="2"/>
      <c r="AE148" s="2"/>
      <c r="AF148" s="2"/>
      <c r="AG148" s="2"/>
    </row>
    <row r="149" spans="1:33">
      <c r="A149" s="126">
        <f t="shared" si="16"/>
        <v>39</v>
      </c>
      <c r="B149" s="137" t="str">
        <f t="shared" si="15"/>
        <v>---</v>
      </c>
      <c r="C149" s="137" t="str">
        <f t="shared" si="14"/>
        <v>---</v>
      </c>
      <c r="D149" s="118"/>
      <c r="E149" s="118"/>
      <c r="F149" s="118"/>
      <c r="G149" s="118"/>
      <c r="H149" s="118"/>
      <c r="I149" s="118"/>
      <c r="J149" s="118"/>
      <c r="K149" s="118"/>
      <c r="L149" s="118"/>
      <c r="M149" s="118"/>
      <c r="N149" s="118"/>
      <c r="O149" s="118"/>
      <c r="P149" s="118"/>
      <c r="Q149" s="118"/>
      <c r="U149" s="116"/>
      <c r="AB149" s="2"/>
      <c r="AC149" s="104"/>
      <c r="AD149" s="2"/>
      <c r="AE149" s="2"/>
      <c r="AF149" s="2"/>
      <c r="AG149" s="2"/>
    </row>
    <row r="150" spans="1:33">
      <c r="A150" s="126">
        <f t="shared" si="16"/>
        <v>40</v>
      </c>
      <c r="B150" s="137" t="str">
        <f t="shared" si="15"/>
        <v>---</v>
      </c>
      <c r="C150" s="137" t="str">
        <f t="shared" si="14"/>
        <v>---</v>
      </c>
      <c r="D150" s="118"/>
      <c r="E150" s="118"/>
      <c r="F150" s="118"/>
      <c r="G150" s="118"/>
      <c r="H150" s="118"/>
      <c r="I150" s="118"/>
      <c r="J150" s="118"/>
      <c r="K150" s="118"/>
      <c r="L150" s="118"/>
      <c r="M150" s="118"/>
      <c r="N150" s="118"/>
      <c r="O150" s="118"/>
      <c r="P150" s="118"/>
      <c r="Q150" s="118"/>
      <c r="U150" s="116"/>
      <c r="AB150" s="2"/>
      <c r="AC150" s="104"/>
      <c r="AD150" s="2"/>
      <c r="AE150" s="2"/>
      <c r="AF150" s="2"/>
      <c r="AG150" s="2"/>
    </row>
    <row r="151" spans="1:33">
      <c r="A151" s="126">
        <f t="shared" si="16"/>
        <v>41</v>
      </c>
      <c r="B151" s="137" t="str">
        <f t="shared" si="15"/>
        <v>---</v>
      </c>
      <c r="C151" s="137" t="str">
        <f t="shared" si="14"/>
        <v>---</v>
      </c>
      <c r="D151" s="118"/>
      <c r="E151" s="118"/>
      <c r="F151" s="118"/>
      <c r="G151" s="118"/>
      <c r="H151" s="118"/>
      <c r="I151" s="118"/>
      <c r="J151" s="118"/>
      <c r="K151" s="118"/>
      <c r="L151" s="118"/>
      <c r="M151" s="118"/>
      <c r="N151" s="118"/>
      <c r="O151" s="118"/>
      <c r="P151" s="118"/>
      <c r="Q151" s="118"/>
      <c r="U151" s="116"/>
      <c r="AB151" s="2"/>
      <c r="AC151" s="104"/>
      <c r="AD151" s="2"/>
      <c r="AE151" s="2"/>
      <c r="AF151" s="2"/>
      <c r="AG151" s="2"/>
    </row>
    <row r="152" spans="1:33">
      <c r="A152" s="126">
        <f t="shared" si="16"/>
        <v>42</v>
      </c>
      <c r="B152" s="137" t="str">
        <f t="shared" si="15"/>
        <v>---</v>
      </c>
      <c r="C152" s="137" t="str">
        <f t="shared" si="14"/>
        <v>---</v>
      </c>
      <c r="D152" s="118"/>
      <c r="E152" s="118"/>
      <c r="F152" s="118"/>
      <c r="G152" s="118"/>
      <c r="H152" s="118"/>
      <c r="I152" s="118"/>
      <c r="J152" s="118"/>
      <c r="K152" s="118"/>
      <c r="L152" s="118"/>
      <c r="M152" s="118"/>
      <c r="N152" s="118"/>
      <c r="O152" s="118"/>
      <c r="P152" s="118"/>
      <c r="Q152" s="118"/>
      <c r="U152" s="116"/>
      <c r="AB152" s="2"/>
      <c r="AC152" s="104"/>
      <c r="AD152" s="2"/>
      <c r="AE152" s="2"/>
      <c r="AF152" s="2"/>
      <c r="AG152" s="2"/>
    </row>
    <row r="153" spans="1:33">
      <c r="A153" s="126">
        <f t="shared" si="16"/>
        <v>43</v>
      </c>
      <c r="B153" s="137" t="str">
        <f t="shared" si="15"/>
        <v>---</v>
      </c>
      <c r="C153" s="137" t="str">
        <f t="shared" si="14"/>
        <v>---</v>
      </c>
      <c r="D153" s="118"/>
      <c r="E153" s="118"/>
      <c r="F153" s="118"/>
      <c r="G153" s="118"/>
      <c r="H153" s="118"/>
      <c r="I153" s="118"/>
      <c r="J153" s="118"/>
      <c r="K153" s="118"/>
      <c r="L153" s="118"/>
      <c r="M153" s="118"/>
      <c r="N153" s="118"/>
      <c r="O153" s="118"/>
      <c r="P153" s="118"/>
      <c r="Q153" s="118"/>
      <c r="U153" s="116"/>
      <c r="AB153" s="2"/>
      <c r="AC153" s="104"/>
      <c r="AD153" s="2"/>
      <c r="AE153" s="2"/>
      <c r="AF153" s="2"/>
      <c r="AG153" s="2"/>
    </row>
    <row r="154" spans="1:33">
      <c r="A154" s="126">
        <f t="shared" si="16"/>
        <v>44</v>
      </c>
      <c r="B154" s="137" t="str">
        <f t="shared" si="15"/>
        <v>---</v>
      </c>
      <c r="C154" s="137" t="str">
        <f t="shared" si="14"/>
        <v>---</v>
      </c>
      <c r="D154" s="118"/>
      <c r="E154" s="118"/>
      <c r="F154" s="118"/>
      <c r="G154" s="118"/>
      <c r="H154" s="118"/>
      <c r="I154" s="118"/>
      <c r="J154" s="118"/>
      <c r="K154" s="118"/>
      <c r="L154" s="118"/>
      <c r="M154" s="118"/>
      <c r="N154" s="118"/>
      <c r="O154" s="118"/>
      <c r="P154" s="118"/>
      <c r="Q154" s="118"/>
      <c r="U154" s="116"/>
      <c r="AB154" s="2"/>
      <c r="AC154" s="104"/>
      <c r="AD154" s="2"/>
      <c r="AE154" s="2"/>
      <c r="AF154" s="2"/>
      <c r="AG154" s="2"/>
    </row>
    <row r="155" spans="1:33">
      <c r="A155" s="126">
        <f t="shared" si="16"/>
        <v>45</v>
      </c>
      <c r="B155" s="137" t="str">
        <f t="shared" si="15"/>
        <v>---</v>
      </c>
      <c r="C155" s="137" t="str">
        <f t="shared" si="14"/>
        <v>---</v>
      </c>
      <c r="D155" s="118"/>
      <c r="E155" s="118"/>
      <c r="F155" s="118"/>
      <c r="G155" s="118"/>
      <c r="H155" s="118"/>
      <c r="I155" s="118"/>
      <c r="J155" s="118"/>
      <c r="K155" s="118"/>
      <c r="L155" s="118"/>
      <c r="M155" s="118"/>
      <c r="N155" s="118"/>
      <c r="O155" s="118"/>
      <c r="P155" s="118"/>
      <c r="Q155" s="118"/>
      <c r="U155" s="116"/>
      <c r="AB155" s="2"/>
      <c r="AC155" s="104"/>
      <c r="AD155" s="2"/>
      <c r="AE155" s="2"/>
      <c r="AF155" s="2"/>
      <c r="AG155" s="2"/>
    </row>
    <row r="156" spans="1:33">
      <c r="A156" s="126">
        <f t="shared" si="16"/>
        <v>46</v>
      </c>
      <c r="B156" s="137" t="str">
        <f t="shared" si="15"/>
        <v>---</v>
      </c>
      <c r="C156" s="137" t="str">
        <f t="shared" si="14"/>
        <v>---</v>
      </c>
      <c r="D156" s="118"/>
      <c r="E156" s="118"/>
      <c r="F156" s="118"/>
      <c r="G156" s="118"/>
      <c r="H156" s="118"/>
      <c r="I156" s="118"/>
      <c r="J156" s="118"/>
      <c r="K156" s="118"/>
      <c r="L156" s="118"/>
      <c r="M156" s="118"/>
      <c r="N156" s="118"/>
      <c r="O156" s="118"/>
      <c r="P156" s="118"/>
      <c r="Q156" s="118"/>
      <c r="U156" s="116"/>
      <c r="AB156" s="2"/>
      <c r="AC156" s="104"/>
      <c r="AD156" s="2"/>
      <c r="AE156" s="2"/>
      <c r="AF156" s="2"/>
      <c r="AG156" s="2"/>
    </row>
    <row r="157" spans="1:33">
      <c r="A157" s="126">
        <f t="shared" si="16"/>
        <v>47</v>
      </c>
      <c r="B157" s="137" t="str">
        <f t="shared" si="15"/>
        <v>---</v>
      </c>
      <c r="C157" s="137" t="str">
        <f t="shared" si="14"/>
        <v>---</v>
      </c>
      <c r="D157" s="118"/>
      <c r="E157" s="118"/>
      <c r="F157" s="118"/>
      <c r="G157" s="118"/>
      <c r="H157" s="118"/>
      <c r="I157" s="118"/>
      <c r="J157" s="118"/>
      <c r="K157" s="118"/>
      <c r="L157" s="118"/>
      <c r="M157" s="118"/>
      <c r="N157" s="118"/>
      <c r="O157" s="118"/>
      <c r="P157" s="118"/>
      <c r="Q157" s="118"/>
      <c r="U157" s="116"/>
      <c r="AB157" s="2"/>
      <c r="AC157" s="104"/>
      <c r="AD157" s="2"/>
      <c r="AE157" s="2"/>
      <c r="AF157" s="2"/>
      <c r="AG157" s="2"/>
    </row>
    <row r="158" spans="1:33">
      <c r="A158" s="126">
        <f t="shared" si="16"/>
        <v>48</v>
      </c>
      <c r="B158" s="137" t="str">
        <f t="shared" si="15"/>
        <v>---</v>
      </c>
      <c r="C158" s="137" t="str">
        <f t="shared" si="14"/>
        <v>---</v>
      </c>
      <c r="D158" s="118"/>
      <c r="E158" s="118"/>
      <c r="F158" s="118"/>
      <c r="G158" s="118"/>
      <c r="H158" s="118"/>
      <c r="I158" s="118"/>
      <c r="J158" s="118"/>
      <c r="K158" s="118"/>
      <c r="L158" s="118"/>
      <c r="M158" s="118"/>
      <c r="N158" s="118"/>
      <c r="O158" s="118"/>
      <c r="P158" s="118"/>
      <c r="Q158" s="118"/>
      <c r="U158" s="116"/>
      <c r="AB158" s="2"/>
      <c r="AC158" s="104"/>
      <c r="AD158" s="2"/>
      <c r="AE158" s="2"/>
      <c r="AF158" s="2"/>
      <c r="AG158" s="2"/>
    </row>
    <row r="159" spans="1:33">
      <c r="A159" s="126">
        <f t="shared" si="16"/>
        <v>49</v>
      </c>
      <c r="B159" s="137" t="str">
        <f t="shared" si="15"/>
        <v>---</v>
      </c>
      <c r="C159" s="137" t="str">
        <f t="shared" si="14"/>
        <v>---</v>
      </c>
      <c r="D159" s="118"/>
      <c r="E159" s="118"/>
      <c r="F159" s="118"/>
      <c r="G159" s="118"/>
      <c r="H159" s="118"/>
      <c r="I159" s="118"/>
      <c r="J159" s="118"/>
      <c r="K159" s="118"/>
      <c r="L159" s="118"/>
      <c r="M159" s="118"/>
      <c r="N159" s="118"/>
      <c r="O159" s="118"/>
      <c r="P159" s="118"/>
      <c r="Q159" s="118"/>
      <c r="U159" s="116"/>
      <c r="AB159" s="2"/>
      <c r="AC159" s="104"/>
      <c r="AD159" s="2"/>
      <c r="AE159" s="2"/>
      <c r="AF159" s="2"/>
      <c r="AG159" s="2"/>
    </row>
    <row r="160" spans="1:33">
      <c r="A160" s="126">
        <f t="shared" si="16"/>
        <v>50</v>
      </c>
      <c r="B160" s="137" t="str">
        <f t="shared" si="15"/>
        <v>---</v>
      </c>
      <c r="C160" s="137" t="str">
        <f t="shared" si="14"/>
        <v>---</v>
      </c>
      <c r="D160" s="118"/>
      <c r="E160" s="118"/>
      <c r="F160" s="118"/>
      <c r="G160" s="118"/>
      <c r="H160" s="118"/>
      <c r="I160" s="118"/>
      <c r="J160" s="118"/>
      <c r="K160" s="118"/>
      <c r="L160" s="118"/>
      <c r="M160" s="118"/>
      <c r="N160" s="118"/>
      <c r="O160" s="118"/>
      <c r="P160" s="118"/>
      <c r="Q160" s="118"/>
      <c r="U160" s="116"/>
      <c r="X160" s="2"/>
      <c r="Y160" s="104"/>
      <c r="Z160" s="2"/>
      <c r="AA160" s="2"/>
      <c r="AB160" s="104"/>
      <c r="AC160" s="104"/>
      <c r="AD160" s="2"/>
      <c r="AE160" s="2"/>
      <c r="AF160" s="2"/>
      <c r="AG160" s="2"/>
    </row>
    <row r="161" spans="1:30">
      <c r="J161" s="3"/>
      <c r="AC161" s="2"/>
      <c r="AD161" s="2"/>
    </row>
    <row r="162" spans="1:30">
      <c r="J162" s="3"/>
    </row>
    <row r="163" spans="1:30" ht="20.25">
      <c r="A163" s="570" t="s">
        <v>72</v>
      </c>
      <c r="B163" s="571"/>
      <c r="C163" s="571"/>
      <c r="D163" s="571"/>
      <c r="E163" s="571"/>
      <c r="F163" s="571"/>
      <c r="G163" s="571"/>
      <c r="H163" s="571"/>
      <c r="I163" s="571"/>
      <c r="J163" s="571"/>
      <c r="K163" s="571"/>
      <c r="L163" s="571"/>
      <c r="M163" s="571"/>
      <c r="N163" s="571"/>
      <c r="O163" s="571"/>
      <c r="P163" s="572"/>
      <c r="R163" s="102"/>
    </row>
    <row r="164" spans="1:30">
      <c r="A164" s="42"/>
      <c r="B164" s="43"/>
      <c r="C164" s="43"/>
      <c r="D164" s="43"/>
      <c r="E164" s="43"/>
      <c r="F164" s="43"/>
      <c r="G164" s="43"/>
      <c r="H164" s="43"/>
      <c r="I164" s="43"/>
      <c r="J164" s="43"/>
      <c r="K164" s="43"/>
      <c r="L164" s="43"/>
      <c r="M164" s="43"/>
      <c r="N164" s="43"/>
      <c r="O164" s="43"/>
      <c r="P164" s="44"/>
    </row>
    <row r="165" spans="1:30">
      <c r="A165" s="42"/>
      <c r="B165" s="43"/>
      <c r="D165" s="43"/>
      <c r="E165" s="43"/>
      <c r="F165" s="43"/>
      <c r="G165" s="43"/>
      <c r="H165" s="43"/>
      <c r="I165" s="45" t="s">
        <v>128</v>
      </c>
      <c r="J165" s="46">
        <f>IF(Abut_on_Piles&lt;&gt;"y",0,IF(Sva="v","N/A",INT((Ah-Z_1a-4/12)/Sva)+1))</f>
        <v>3</v>
      </c>
      <c r="K165" s="43" t="s">
        <v>69</v>
      </c>
      <c r="L165" s="43"/>
      <c r="M165" s="43"/>
      <c r="O165" s="43"/>
      <c r="P165" s="44"/>
    </row>
    <row r="166" spans="1:30">
      <c r="A166" s="47"/>
      <c r="B166" s="48"/>
      <c r="C166" s="48"/>
      <c r="D166" s="48"/>
      <c r="E166" s="48"/>
      <c r="F166" s="48"/>
      <c r="G166" s="48"/>
      <c r="H166" s="48"/>
      <c r="I166" s="48"/>
      <c r="J166" s="110"/>
      <c r="K166" s="48"/>
      <c r="L166" s="48"/>
      <c r="M166" s="48"/>
      <c r="N166" s="48"/>
      <c r="O166" s="48"/>
      <c r="P166" s="49"/>
    </row>
    <row r="167" spans="1:30" ht="15.75">
      <c r="A167" s="58" t="s">
        <v>34</v>
      </c>
      <c r="B167" s="99" t="s">
        <v>540</v>
      </c>
      <c r="C167" s="215" t="s">
        <v>274</v>
      </c>
      <c r="D167" s="99" t="s">
        <v>275</v>
      </c>
      <c r="E167" s="204" t="s">
        <v>45</v>
      </c>
      <c r="F167" s="136" t="s">
        <v>276</v>
      </c>
      <c r="G167" s="200" t="s">
        <v>265</v>
      </c>
      <c r="H167" s="58" t="s">
        <v>68</v>
      </c>
      <c r="I167" s="200" t="s">
        <v>277</v>
      </c>
      <c r="J167" s="58" t="s">
        <v>55</v>
      </c>
      <c r="K167" s="200" t="s">
        <v>278</v>
      </c>
      <c r="L167" s="136" t="s">
        <v>279</v>
      </c>
      <c r="M167" s="200" t="s">
        <v>280</v>
      </c>
      <c r="N167" s="136" t="s">
        <v>281</v>
      </c>
      <c r="O167" s="200" t="s">
        <v>520</v>
      </c>
      <c r="P167" s="136" t="s">
        <v>514</v>
      </c>
      <c r="Q167" s="383" t="s">
        <v>544</v>
      </c>
    </row>
    <row r="168" spans="1:30" ht="14.25">
      <c r="A168" s="28" t="s">
        <v>146</v>
      </c>
      <c r="B168" s="201" t="s">
        <v>56</v>
      </c>
      <c r="C168" s="201" t="s">
        <v>56</v>
      </c>
      <c r="D168" s="201" t="s">
        <v>56</v>
      </c>
      <c r="E168" s="130" t="s">
        <v>209</v>
      </c>
      <c r="F168" s="28" t="s">
        <v>67</v>
      </c>
      <c r="G168" s="178" t="s">
        <v>209</v>
      </c>
      <c r="H168" s="28" t="s">
        <v>209</v>
      </c>
      <c r="I168" s="178" t="s">
        <v>209</v>
      </c>
      <c r="J168" s="28" t="s">
        <v>209</v>
      </c>
      <c r="K168" s="130" t="s">
        <v>210</v>
      </c>
      <c r="L168" s="28" t="s">
        <v>4</v>
      </c>
      <c r="M168" s="178" t="s">
        <v>52</v>
      </c>
      <c r="N168" s="28" t="s">
        <v>52</v>
      </c>
      <c r="O168" s="178" t="s">
        <v>52</v>
      </c>
      <c r="P168" s="28" t="s">
        <v>52</v>
      </c>
      <c r="Q168" s="382" t="s">
        <v>708</v>
      </c>
    </row>
    <row r="169" spans="1:30">
      <c r="A169" s="125">
        <v>1</v>
      </c>
      <c r="B169" s="137">
        <f>IF(Abut_on_Piles&lt;&gt;"y","---",IF(Sva="v",Y102,IF($J$165&lt;A169,"",Z_1a)))</f>
        <v>5.39</v>
      </c>
      <c r="C169" s="137">
        <f>IF(B169="---","---",IF(Backwall_Present="y",B169+0.5*(B170-B169),Af-(Ah-Z_1a)+Sva/2))</f>
        <v>1.125</v>
      </c>
      <c r="D169" s="124">
        <v>2.48</v>
      </c>
      <c r="E169" s="124">
        <v>2</v>
      </c>
      <c r="F169" s="124"/>
      <c r="G169" s="124">
        <v>0.16300000000000001</v>
      </c>
      <c r="H169" s="124"/>
      <c r="I169" s="124"/>
      <c r="J169" s="124"/>
      <c r="K169" s="124"/>
      <c r="L169" s="124"/>
      <c r="M169" s="124"/>
      <c r="N169" s="124"/>
      <c r="O169" s="124">
        <v>5</v>
      </c>
      <c r="P169" s="124">
        <v>6</v>
      </c>
      <c r="Q169" s="449" t="str">
        <f>IF(AND(Abut_on_Piles&lt;&gt;"y",MAX($D$169:$P$169)&lt;&gt;0)=TRUE,"ERROR - REINFORCEMENT DATA SHOULD NOT BE ENTERED UNLESS THERE IS AN ABUTMENT PRESENT.","")</f>
        <v/>
      </c>
    </row>
    <row r="170" spans="1:30">
      <c r="A170" s="126">
        <f t="shared" ref="A170:A178" si="17">A169+1</f>
        <v>2</v>
      </c>
      <c r="B170" s="137">
        <f>IF(Abut_on_Piles&lt;&gt;"y","---",IF(Sva="v",IF(X103&gt;0,IF(Y103&lt;=H,Y103,"---"),"---"),IF($J$165&lt;A170,"---",Z_1a+(A169*Sva))))</f>
        <v>6.14</v>
      </c>
      <c r="C170" s="137">
        <f t="shared" ref="C170:C178" si="18">IF(B170="---","---",IF(B171="---",(Ah-B170)+0.5*(B170-B169),0.5*(B171-B170)+0.5*(B170-B169)))</f>
        <v>0.75</v>
      </c>
      <c r="D170" s="124">
        <v>2.48</v>
      </c>
      <c r="E170" s="124">
        <v>2</v>
      </c>
      <c r="F170" s="124"/>
      <c r="G170" s="124">
        <v>0.16300000000000001</v>
      </c>
      <c r="H170" s="124"/>
      <c r="I170" s="124"/>
      <c r="J170" s="124"/>
      <c r="K170" s="124"/>
      <c r="L170" s="124"/>
      <c r="M170" s="124"/>
      <c r="N170" s="124"/>
      <c r="O170" s="124">
        <v>5</v>
      </c>
      <c r="P170" s="124">
        <v>6</v>
      </c>
      <c r="Q170" s="449" t="str">
        <f>IF(Abut_on_Piles="y",IF(Reinf_cont="y",IF(E169/(D169*12)=1,"","ERROR - FOR CONTINUOUS REINFORCEMENT, Sh MUST EQUAL b."),""),"")</f>
        <v/>
      </c>
    </row>
    <row r="171" spans="1:30">
      <c r="A171" s="126">
        <f t="shared" si="17"/>
        <v>3</v>
      </c>
      <c r="B171" s="137">
        <f>IF(Abut_on_Piles&lt;&gt;"y","---",IF(Sva="v",IF(X104&gt;0,IF(Y104&lt;=H,Y104,"---"),"---"),IF($J$165&lt;A171,"---",Z_1a+(A170*Sva))))</f>
        <v>6.89</v>
      </c>
      <c r="C171" s="137">
        <f t="shared" si="18"/>
        <v>1.125</v>
      </c>
      <c r="D171" s="124">
        <v>2.48</v>
      </c>
      <c r="E171" s="124">
        <v>2</v>
      </c>
      <c r="F171" s="124"/>
      <c r="G171" s="124">
        <v>0.16300000000000001</v>
      </c>
      <c r="H171" s="124"/>
      <c r="I171" s="124"/>
      <c r="J171" s="124"/>
      <c r="K171" s="124"/>
      <c r="L171" s="124"/>
      <c r="M171" s="124"/>
      <c r="N171" s="124"/>
      <c r="O171" s="124">
        <v>5</v>
      </c>
      <c r="P171" s="124">
        <v>6</v>
      </c>
      <c r="Q171" s="449" t="str">
        <f>IF(Abut_on_Piles="y",IF(D169="","ERROR - Sh MUST BE ENTERED FOR ALL TYPES OF REINFORCEMENT.",""),"")</f>
        <v/>
      </c>
    </row>
    <row r="172" spans="1:30">
      <c r="A172" s="126">
        <f t="shared" si="17"/>
        <v>4</v>
      </c>
      <c r="B172" s="137" t="str">
        <f>IF(Abut_on_Piles&lt;&gt;"y","---",IF(Sva="v",IF(X105&gt;0,IF(Y105&lt;=H,Y105,"---"),"---"),IF($J$165&lt;A172,"---",Z_1a+(A171*Sva))))</f>
        <v>---</v>
      </c>
      <c r="C172" s="137" t="str">
        <f t="shared" si="18"/>
        <v>---</v>
      </c>
      <c r="D172" s="124"/>
      <c r="E172" s="124"/>
      <c r="F172" s="124"/>
      <c r="G172" s="124"/>
      <c r="H172" s="124"/>
      <c r="I172" s="124"/>
      <c r="J172" s="124"/>
      <c r="K172" s="124"/>
      <c r="L172" s="124"/>
      <c r="M172" s="124"/>
      <c r="N172" s="124"/>
      <c r="O172" s="124"/>
      <c r="P172" s="124"/>
      <c r="Q172" s="449" t="str">
        <f>IF(Abut_on_Piles="y",IF(E169="","ERROR - b MUST BE ENTERED FOR ALL TYPES OF REINFORCEMENT.",""),"")</f>
        <v/>
      </c>
    </row>
    <row r="173" spans="1:30">
      <c r="A173" s="126">
        <f t="shared" si="17"/>
        <v>5</v>
      </c>
      <c r="B173" s="137" t="str">
        <f>IF(Abut_on_Piles&lt;&gt;"y","---",IF(Sva="v",IF(X106&gt;0,IF(Y106&lt;=H,Y106,"---"),"---"),IF($J$165&lt;A173,"---",Z_1a+(A172*Sva))))</f>
        <v>---</v>
      </c>
      <c r="C173" s="137" t="str">
        <f t="shared" si="18"/>
        <v>---</v>
      </c>
      <c r="D173" s="124"/>
      <c r="E173" s="124"/>
      <c r="F173" s="124"/>
      <c r="G173" s="124"/>
      <c r="H173" s="124"/>
      <c r="I173" s="124"/>
      <c r="J173" s="124"/>
      <c r="K173" s="124"/>
      <c r="L173" s="124"/>
      <c r="M173" s="124"/>
      <c r="N173" s="124"/>
      <c r="O173" s="124"/>
      <c r="P173" s="124"/>
      <c r="Q173" s="449" t="str">
        <f>IF(Abut_on_Piles="y",IF(F169&lt;&gt;0,IF(OR(Type_Reinf="s",Type_Reinf="g"),"ERROR - Nb SHOULD NOT BE ENTERED FOR GEOSYNTHETIC OR STEEL STRIP REINFORCEMENT TYPES.",""),IF(OR(Type_Reinf="m",Type_Reinf="w"),"ERROR - Nb SHOULD BE ENTERED FOR STEEL BAR MATS OR WELDED WIRE GRID REINFORCEMENT.","")),"")</f>
        <v/>
      </c>
    </row>
    <row r="174" spans="1:30">
      <c r="A174" s="126">
        <f t="shared" si="17"/>
        <v>6</v>
      </c>
      <c r="B174" s="137" t="str">
        <f>IF(Abut_on_Piles&lt;&gt;"y","---",IF(Sva="v",IF(AA102&gt;0,IF(AB102&lt;=H,AB102,"---"),"---"),IF($J$165&lt;A174,"---",Z_1a+(A173*Sva))))</f>
        <v>---</v>
      </c>
      <c r="C174" s="137" t="str">
        <f t="shared" si="18"/>
        <v>---</v>
      </c>
      <c r="D174" s="124"/>
      <c r="E174" s="124"/>
      <c r="F174" s="124"/>
      <c r="G174" s="124"/>
      <c r="H174" s="124"/>
      <c r="I174" s="124"/>
      <c r="J174" s="124"/>
      <c r="K174" s="124"/>
      <c r="L174" s="124"/>
      <c r="M174" s="124"/>
      <c r="N174" s="124"/>
      <c r="O174" s="124"/>
      <c r="P174" s="124"/>
      <c r="Q174" s="449" t="str">
        <f>IF(Abut_on_Piles="y",IF(G169&lt;&gt;0,IF(OR(Type_Reinf="g",Type_Reinf="m",Type_Reinf="w"),"ERROR - Tr SHOULD ONLY BE ENTERED FOR STRIP REINFORCEMENT.",""),IF(Type_Reinf="s","ERROR - Tr SHOULD BE ENTERED FOR STRIP REINFORCEMENT.","")),"")</f>
        <v/>
      </c>
    </row>
    <row r="175" spans="1:30">
      <c r="A175" s="126">
        <f t="shared" si="17"/>
        <v>7</v>
      </c>
      <c r="B175" s="137" t="str">
        <f>IF(Abut_on_Piles&lt;&gt;"y","---",IF(Sva="v",IF(AA103&gt;0,IF(AB103&lt;=H,AB103,"---"),"---"),IF($J$165&lt;A175,"---",Z_1a+(A174*Sva))))</f>
        <v>---</v>
      </c>
      <c r="C175" s="137" t="str">
        <f t="shared" si="18"/>
        <v>---</v>
      </c>
      <c r="D175" s="124"/>
      <c r="E175" s="124"/>
      <c r="F175" s="124"/>
      <c r="G175" s="124"/>
      <c r="H175" s="124"/>
      <c r="I175" s="124"/>
      <c r="J175" s="124"/>
      <c r="K175" s="124"/>
      <c r="L175" s="124"/>
      <c r="M175" s="124"/>
      <c r="N175" s="124"/>
      <c r="O175" s="124"/>
      <c r="P175" s="124"/>
      <c r="Q175" s="449" t="str">
        <f>IF(Abut_on_Piles="y",IF(H169&lt;&gt;0,IF(OR(Type_Reinf="s",Type_Reinf="g"),"ERROR - D SHOULD NOT BE ENTERED FOR GEOSYNTHETIC OR STEEL STRIP REINFORCEMENT TYPES.",""),IF(OR(Type_Reinf="m",Type_Reinf="w"),"ERROR - D SHOULD BE ENTERED FOR STEEL BAR MATS OR WELDED WIRE GRID REINFORCEMENT.","")),"")</f>
        <v/>
      </c>
    </row>
    <row r="176" spans="1:30">
      <c r="A176" s="126">
        <f t="shared" si="17"/>
        <v>8</v>
      </c>
      <c r="B176" s="137" t="str">
        <f>IF(Abut_on_Piles&lt;&gt;"y","---",IF(Sva="v",IF(AA104&gt;0,IF(AB104&lt;=H,AB104,"---"),"---"),IF($J$165&lt;A176,"---",Z_1a+(A175*Sva))))</f>
        <v>---</v>
      </c>
      <c r="C176" s="137" t="str">
        <f t="shared" si="18"/>
        <v>---</v>
      </c>
      <c r="D176" s="124"/>
      <c r="E176" s="124"/>
      <c r="F176" s="124"/>
      <c r="G176" s="124"/>
      <c r="H176" s="124"/>
      <c r="I176" s="124"/>
      <c r="J176" s="124"/>
      <c r="K176" s="124"/>
      <c r="L176" s="124"/>
      <c r="M176" s="124"/>
      <c r="N176" s="124"/>
      <c r="O176" s="124"/>
      <c r="P176" s="124"/>
      <c r="Q176" s="449" t="str">
        <f>IF(Abut_on_Piles="y",IF(I169&lt;&gt;0,IF(OR(Type_Reinf="s",Type_Reinf="g"),"ERROR - St SHOULD ONLY BE ENTERED FOR STEEL BAR MATS OR WELDED WIRE GRID REINFORCEMENT.",""),IF(OR(Type_Reinf="m",Type_Reinf="w"),"ERROR - St SHOULD BE ENTERED FOR STEEL BAR MATS OR WELDED WIRE GRID REINFORCEMENT.","")),"")</f>
        <v/>
      </c>
    </row>
    <row r="177" spans="1:17">
      <c r="A177" s="126">
        <f t="shared" si="17"/>
        <v>9</v>
      </c>
      <c r="B177" s="137" t="str">
        <f>IF(Abut_on_Piles&lt;&gt;"y","---",IF(Sva="v",IF(AA105&gt;0,IF(AB105&lt;=H,AB105,"---"),"---"),IF($J$165&lt;A177,"---",Z_1a+(A176*Sva))))</f>
        <v>---</v>
      </c>
      <c r="C177" s="137" t="str">
        <f t="shared" si="18"/>
        <v>---</v>
      </c>
      <c r="D177" s="124"/>
      <c r="E177" s="124"/>
      <c r="F177" s="124"/>
      <c r="G177" s="124"/>
      <c r="H177" s="124"/>
      <c r="I177" s="124"/>
      <c r="J177" s="124"/>
      <c r="K177" s="124"/>
      <c r="L177" s="124"/>
      <c r="M177" s="124"/>
      <c r="N177" s="124"/>
      <c r="O177" s="124"/>
      <c r="P177" s="124"/>
      <c r="Q177" s="449" t="str">
        <f>IF(Abut_on_Piles="y",IF(J169&lt;&gt;0,IF(OR(Type_Reinf="s",Type_Reinf="g"),"ERROR - t SHOULD ONLY BE ENTERED FOR STEEL BAR MATS OR WELDED WIRE GRID REINFORCEMENT.",""),IF(OR(Type_Reinf="m",Type_Reinf="w"),"ERROR - t SHOULD BE ENTERED FOR STEEL BAR MATS OR WELDED WIRE GRID REINFORCEMENT.","")),"")</f>
        <v/>
      </c>
    </row>
    <row r="178" spans="1:17">
      <c r="A178" s="126">
        <f t="shared" si="17"/>
        <v>10</v>
      </c>
      <c r="B178" s="137" t="str">
        <f>IF(Abut_on_Piles&lt;&gt;"y","---",IF(Sva="v",IF(AA106&gt;0,IF(AB106&lt;=H,AB106,"---"),"---"),IF($J$165&lt;A178,"---",Z_1a+(A177*Sva))))</f>
        <v>---</v>
      </c>
      <c r="C178" s="137" t="str">
        <f t="shared" si="18"/>
        <v>---</v>
      </c>
      <c r="D178" s="124"/>
      <c r="E178" s="124"/>
      <c r="F178" s="124"/>
      <c r="G178" s="124"/>
      <c r="H178" s="124"/>
      <c r="I178" s="124"/>
      <c r="J178" s="124"/>
      <c r="K178" s="124"/>
      <c r="L178" s="124"/>
      <c r="M178" s="124"/>
      <c r="N178" s="124"/>
      <c r="O178" s="124"/>
      <c r="P178" s="124"/>
      <c r="Q178" s="449" t="str">
        <f>IF(Abut_on_Piles="y",IF(K169&lt;&gt;0,IF(OR(F169&lt;&gt;0,G169&lt;&gt;0,H169&lt;&gt;0,M169&lt;&gt;0,N169&lt;&gt;0),"WARNING - Ac* WILL OVERRIDE ANY OTHER REINFORCEMENT INPUT USED TO DETERMINE Ac.",""),IF(AND(F169=0,G169=0,H169=0,M169=0,N169=0),"ERROR - MORE REINFORCEMENT DATA MUST BE ENTERED TO DETERMINE Ac.","")),"")</f>
        <v/>
      </c>
    </row>
    <row r="179" spans="1:17">
      <c r="Q179" s="449" t="str">
        <f>IF(Abut_on_Piles="y",IF(L169&lt;&gt;0,IF(Type_Reinf&lt;&gt;"g","ERROR - REINFORCEMENT DATA IS INCONSISTENT.",""),IF(Type_Reinf="g","ERROR - CRcr MUST BE ENTERED FOR GEOSYNTHETIC REINFORCEMENT.","")),"")</f>
        <v/>
      </c>
    </row>
    <row r="180" spans="1:17">
      <c r="Q180" s="449" t="str">
        <f>IF(Abut_on_Piles="y",IF(M169&lt;&gt;0,IF(Type_Reinf&lt;&gt;"g","ERROR - REINFORCEMENT DATA IS INCONSISTENT.",""),IF(Type_Reinf="g","ERROR - Srs MUST BE ENTERED FOR GEOSYNTHETIC REINFORCEMENT.","")),"")</f>
        <v/>
      </c>
    </row>
    <row r="181" spans="1:17">
      <c r="Q181" s="449" t="str">
        <f>IF(Abut_on_Piles="y",IF(N169&lt;&gt;0,IF(Type_Reinf&lt;&gt;"g","ERROR - REINFORCEMENT DATA IS INCONSISTENT.",""),IF(Type_Reinf="g","ERROR - Srt MUST BE ENTERED FOR GEOSYNTHETIC REINFORCEMENT.","")),"")</f>
        <v/>
      </c>
    </row>
    <row r="182" spans="1:17">
      <c r="Q182" s="449" t="str">
        <f>IF(Abut_on_Piles="y",IF(Type_Reinf="g","",IF(O169="","ERROR - CC (STR) MUST BE ENTERED FOR THIS TYPE OF REINFORCEMENT.","")),"")</f>
        <v/>
      </c>
    </row>
    <row r="183" spans="1:17">
      <c r="Q183" s="449" t="str">
        <f>IF(Abut_on_Piles="y",IF(Type_Reinf="g","",IF(P169="","ERROR - CC (EXT) MUST BE ENTERED FOR THIS TYPE OF REINFORCEMENT.","")),"")</f>
        <v/>
      </c>
    </row>
    <row r="184" spans="1:17">
      <c r="Q184" s="452" t="str">
        <f>IF(Abut_on_Piles="y",IF($J$165=0,"",IF(VLOOKUP(3,$A$169:$D$178,4)=0,"WARNING - REINFORCEMENT DATA HAS NOT BEEN ENTERED FOR ALL REQUIRED LAYERS (3 LAYERS MIN PER BC-799M).","")),"")</f>
        <v/>
      </c>
    </row>
    <row r="185" spans="1:17">
      <c r="Q185" s="452" t="str">
        <f>IF(Abut_on_Piles="y",IF(AND($J$165&gt;0,$J$165&lt;3)=TRUE,"WARNING - LESS THAN THE MINIMUM 3 LAYERS OF REINFORCING WILL FIT BEHIND ABUTMENT. REVISE SPACING.",""),"")</f>
        <v/>
      </c>
    </row>
    <row r="186" spans="1:17">
      <c r="P186" s="103"/>
      <c r="Q186" s="452" t="str">
        <f>IF(H="","",IF(J165=0,"",IF(VLOOKUP($J$165,$A$169:$D$178,4)=0,"ERROR - REINFORCEMENT DATA HAS NOT BEEN ENTERED FOR ALL REQUIRED LAYERS.","")))</f>
        <v/>
      </c>
    </row>
    <row r="187" spans="1:17">
      <c r="O187" s="80"/>
      <c r="Q187" s="452" t="str">
        <f>IF(VLOOKUP($J$165+1,$A$169:$D$178,4)&gt;0,"ERROR - REINFORCEMENT DATA HAS BEEN ENTERED FOR TOO MANY LAYERS.","")</f>
        <v/>
      </c>
    </row>
    <row r="188" spans="1:17">
      <c r="O188" s="80"/>
    </row>
    <row r="189" spans="1:17">
      <c r="O189" s="80"/>
    </row>
    <row r="190" spans="1:17">
      <c r="O190" s="80"/>
    </row>
    <row r="191" spans="1:17">
      <c r="O191" s="80"/>
    </row>
  </sheetData>
  <sheetProtection algorithmName="SHA-512" hashValue="vDBgJAZmO3ZDkWRymWQ2vGnFRU+RPVR9HUWuQGHbBcRV331oa4ENQaBbITJ6qvh31woRnIi3+mgdOlNd0SgkQQ==" saltValue="2ywSABgeP0zRlhU7/sPqSQ==" spinCount="100000" sheet="1" objects="1" scenarios="1"/>
  <mergeCells count="25">
    <mergeCell ref="AG70:AH70"/>
    <mergeCell ref="N74:R75"/>
    <mergeCell ref="AG101:AH101"/>
    <mergeCell ref="C1:I1"/>
    <mergeCell ref="C2:I2"/>
    <mergeCell ref="C3:I3"/>
    <mergeCell ref="W98:AB98"/>
    <mergeCell ref="W67:AB67"/>
    <mergeCell ref="A69:J69"/>
    <mergeCell ref="A163:P163"/>
    <mergeCell ref="A66:J66"/>
    <mergeCell ref="A67:J67"/>
    <mergeCell ref="O30:R35"/>
    <mergeCell ref="L5:M5"/>
    <mergeCell ref="A105:Q105"/>
    <mergeCell ref="A13:J13"/>
    <mergeCell ref="A31:J31"/>
    <mergeCell ref="A16:J16"/>
    <mergeCell ref="A20:J20"/>
    <mergeCell ref="A38:J38"/>
    <mergeCell ref="A60:J60"/>
    <mergeCell ref="A64:J64"/>
    <mergeCell ref="A63:J63"/>
    <mergeCell ref="A62:J62"/>
    <mergeCell ref="A61:J61"/>
  </mergeCells>
  <phoneticPr fontId="0" type="noConversion"/>
  <conditionalFormatting sqref="X71:Y95">
    <cfRule type="expression" dxfId="135" priority="123" stopIfTrue="1">
      <formula>$L$73&lt;&gt;"v"</formula>
    </cfRule>
  </conditionalFormatting>
  <conditionalFormatting sqref="X102:Y106">
    <cfRule type="expression" dxfId="134" priority="56" stopIfTrue="1">
      <formula>$L$98&lt;&gt;"v"</formula>
    </cfRule>
  </conditionalFormatting>
  <conditionalFormatting sqref="AA102:AB106">
    <cfRule type="expression" dxfId="133" priority="55" stopIfTrue="1">
      <formula>$L$98&lt;&gt;"v"</formula>
    </cfRule>
  </conditionalFormatting>
  <conditionalFormatting sqref="AA71:AB95">
    <cfRule type="expression" dxfId="132" priority="122" stopIfTrue="1">
      <formula>$L$73&lt;&gt;"v"</formula>
    </cfRule>
  </conditionalFormatting>
  <conditionalFormatting sqref="AA71:AA95">
    <cfRule type="expression" dxfId="131" priority="124" stopIfTrue="1">
      <formula>$L$73="v"</formula>
    </cfRule>
  </conditionalFormatting>
  <conditionalFormatting sqref="X72:X95">
    <cfRule type="expression" dxfId="130" priority="125" stopIfTrue="1">
      <formula>$L$73="v"</formula>
    </cfRule>
  </conditionalFormatting>
  <conditionalFormatting sqref="AA102:AA106">
    <cfRule type="expression" dxfId="129" priority="57" stopIfTrue="1">
      <formula>$L$98="v"</formula>
    </cfRule>
  </conditionalFormatting>
  <conditionalFormatting sqref="X103:X106">
    <cfRule type="expression" dxfId="128" priority="58" stopIfTrue="1">
      <formula>$L$98="v"</formula>
    </cfRule>
  </conditionalFormatting>
  <conditionalFormatting sqref="AG71:AH95">
    <cfRule type="cellIs" dxfId="127" priority="10" operator="greaterThan">
      <formula>0</formula>
    </cfRule>
  </conditionalFormatting>
  <conditionalFormatting sqref="AG102:AH106">
    <cfRule type="cellIs" dxfId="126" priority="9" operator="greaterThan">
      <formula>0</formula>
    </cfRule>
  </conditionalFormatting>
  <conditionalFormatting sqref="O30 N74 M28 M60:M64 M66:M67 M69 M71:M73 M82:M84 M86 R111:R127 Q169:Q187 M52:M57 M37:M44 M96:M99 M13:M26">
    <cfRule type="containsText" dxfId="125" priority="16" operator="containsText" text="ERROR">
      <formula>NOT(ISERROR(SEARCH("ERROR",M13)))</formula>
    </cfRule>
  </conditionalFormatting>
  <conditionalFormatting sqref="O30 N74 M28 M60:M64 M66:M67 M69 M71:M73 M82:M84 M86 R111:R127 Q169:Q187 M52:M57 M37:M44 M96:M99 M13:M27">
    <cfRule type="containsText" dxfId="124" priority="15" operator="containsText" text="WARNING">
      <formula>NOT(ISERROR(SEARCH("WARNING",M13)))</formula>
    </cfRule>
  </conditionalFormatting>
  <pageMargins left="0.75" right="0.75" top="1" bottom="1" header="0.5" footer="0.5"/>
  <pageSetup scale="63" orientation="landscape" r:id="rId1"/>
  <headerFooter alignWithMargins="0">
    <oddFooter>&amp;L&amp;F   &amp;A&amp;CPage &amp;P of &amp;N&amp;R&amp;D   &amp;T</oddFooter>
  </headerFooter>
  <rowBreaks count="2" manualBreakCount="2">
    <brk id="48" max="20" man="1"/>
    <brk id="94" max="2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FF"/>
  </sheetPr>
  <dimension ref="A1:CH674"/>
  <sheetViews>
    <sheetView zoomScaleNormal="100" zoomScaleSheetLayoutView="100" workbookViewId="0">
      <selection activeCell="M62" sqref="M62:M63"/>
    </sheetView>
  </sheetViews>
  <sheetFormatPr defaultRowHeight="12.75"/>
  <cols>
    <col min="1" max="5" width="10.7109375" customWidth="1"/>
    <col min="6" max="8" width="9.7109375" customWidth="1"/>
    <col min="9" max="10" width="9.85546875" customWidth="1"/>
    <col min="11" max="17" width="9.7109375" customWidth="1"/>
    <col min="18" max="19" width="9.85546875" customWidth="1"/>
    <col min="20" max="20" width="9.7109375" customWidth="1"/>
    <col min="21" max="21" width="9.85546875" customWidth="1"/>
    <col min="22" max="58" width="9.140625" customWidth="1"/>
  </cols>
  <sheetData>
    <row r="1" spans="1:20">
      <c r="A1" s="70" t="s">
        <v>121</v>
      </c>
      <c r="B1" s="565" t="str">
        <f>IF(INPUT!$C$1="","",INPUT!$C$1)</f>
        <v>Test Run</v>
      </c>
      <c r="C1" s="622"/>
      <c r="D1" s="622"/>
      <c r="E1" s="622"/>
      <c r="F1" s="622"/>
      <c r="G1" s="622"/>
      <c r="H1" s="622"/>
      <c r="I1" s="71" t="s">
        <v>122</v>
      </c>
      <c r="J1" s="88" t="str">
        <f>IF(INPUT!$K$1="","",INPUT!$K$1)</f>
        <v/>
      </c>
      <c r="K1" s="70" t="s">
        <v>124</v>
      </c>
      <c r="L1" s="90" t="str">
        <f>IF(INPUT!$M$1="","",INPUT!$M$1)</f>
        <v/>
      </c>
    </row>
    <row r="2" spans="1:20">
      <c r="B2" s="566" t="str">
        <f>IF(INPUT!$C$2="","",INPUT!$C$2)</f>
        <v/>
      </c>
      <c r="C2" s="623"/>
      <c r="D2" s="623"/>
      <c r="E2" s="623"/>
      <c r="F2" s="623"/>
      <c r="G2" s="623"/>
      <c r="H2" s="623"/>
      <c r="I2" s="71" t="s">
        <v>125</v>
      </c>
      <c r="J2" s="89" t="str">
        <f>IF(INPUT!$K$2="","",INPUT!$K$2)</f>
        <v/>
      </c>
      <c r="K2" s="70" t="s">
        <v>124</v>
      </c>
      <c r="L2" s="91" t="str">
        <f>IF(INPUT!$M$2="","",INPUT!$M$2)</f>
        <v/>
      </c>
    </row>
    <row r="3" spans="1:20">
      <c r="B3" s="566" t="str">
        <f>IF(INPUT!$C$3="","",INPUT!$C$3)</f>
        <v/>
      </c>
      <c r="C3" s="623"/>
      <c r="D3" s="623"/>
      <c r="E3" s="623"/>
      <c r="F3" s="623"/>
      <c r="G3" s="623"/>
      <c r="H3" s="623"/>
      <c r="I3" s="72"/>
      <c r="J3" s="72"/>
      <c r="K3" s="1"/>
      <c r="L3" s="1"/>
    </row>
    <row r="5" spans="1:20" ht="18">
      <c r="A5" s="392" t="s">
        <v>145</v>
      </c>
      <c r="B5" s="392"/>
      <c r="C5" s="392"/>
      <c r="D5" s="392"/>
      <c r="E5" s="392"/>
      <c r="F5" s="392"/>
      <c r="G5" s="393"/>
      <c r="H5" s="392"/>
      <c r="I5" s="575" t="s">
        <v>715</v>
      </c>
      <c r="J5" s="624"/>
      <c r="K5" s="624"/>
      <c r="L5" s="576"/>
    </row>
    <row r="6" spans="1:20">
      <c r="A6" s="37"/>
      <c r="B6" s="37"/>
      <c r="C6" s="37"/>
      <c r="D6" s="37"/>
      <c r="E6" s="37"/>
      <c r="F6" s="37"/>
      <c r="G6" s="37"/>
      <c r="H6" s="37"/>
      <c r="I6" s="37"/>
      <c r="J6" s="37"/>
      <c r="K6" s="37"/>
      <c r="L6" s="37"/>
      <c r="M6" s="37"/>
      <c r="N6" s="37"/>
      <c r="O6" s="37"/>
      <c r="P6" s="37"/>
      <c r="Q6" s="37"/>
      <c r="R6" s="37"/>
      <c r="S6" s="37"/>
      <c r="T6" s="37"/>
    </row>
    <row r="7" spans="1:20">
      <c r="A7" s="37"/>
      <c r="B7" s="37"/>
      <c r="C7" s="37"/>
      <c r="D7" s="37"/>
      <c r="E7" s="37"/>
      <c r="F7" s="37"/>
      <c r="G7" s="37"/>
      <c r="H7" s="582" t="s">
        <v>406</v>
      </c>
      <c r="I7" s="618"/>
      <c r="J7" s="618"/>
      <c r="K7" s="37"/>
      <c r="L7" s="37"/>
      <c r="M7" s="37"/>
      <c r="N7" s="37"/>
      <c r="O7" s="37"/>
      <c r="P7" s="37"/>
      <c r="Q7" s="37"/>
      <c r="R7" s="37"/>
      <c r="S7" s="37"/>
      <c r="T7" s="37"/>
    </row>
    <row r="8" spans="1:20">
      <c r="A8" s="37"/>
      <c r="B8" s="37"/>
      <c r="C8" s="37"/>
      <c r="D8" s="37"/>
      <c r="E8" s="37"/>
      <c r="F8" s="32" t="s">
        <v>2</v>
      </c>
      <c r="G8" s="37"/>
      <c r="H8" s="32" t="s">
        <v>507</v>
      </c>
      <c r="I8" s="32" t="s">
        <v>17</v>
      </c>
      <c r="J8" s="32" t="s">
        <v>14</v>
      </c>
      <c r="K8" s="34" t="s">
        <v>15</v>
      </c>
      <c r="L8" s="37"/>
      <c r="M8" s="37"/>
      <c r="N8" s="37"/>
      <c r="O8" s="142"/>
      <c r="P8" s="37"/>
      <c r="Q8" s="113"/>
      <c r="R8" s="37"/>
      <c r="S8" s="37"/>
      <c r="T8" s="37"/>
    </row>
    <row r="9" spans="1:20" ht="15.75">
      <c r="A9" s="37" t="s">
        <v>303</v>
      </c>
      <c r="B9" s="37"/>
      <c r="C9" s="37"/>
      <c r="D9" s="37"/>
      <c r="E9" s="37"/>
      <c r="F9" s="37"/>
      <c r="G9" s="12" t="s">
        <v>302</v>
      </c>
      <c r="H9" s="290">
        <f>COS(RADIANS(Beta))*(COS(RADIANS(Beta))-SQRT(COS(RADIANS(Beta))^2-COS(RADIANS(PHI_fill))^2))/(COS(RADIANS(Beta))+SQRT(COS(RADIANS(Beta))^2-COS(RADIANS(PHI_fill))^2))</f>
        <v>0.33333333333333343</v>
      </c>
      <c r="I9" s="290">
        <f>H9</f>
        <v>0.33333333333333343</v>
      </c>
      <c r="J9" s="290">
        <f>COS(RADIANS(BETA_Broken_BF))*(COS(RADIANS(BETA_Broken_BF))-SQRT(COS(RADIANS(BETA_Broken_BF))^2-COS(RADIANS(PHI_fill))^2))/(COS(RADIANS(BETA_Broken_BF))+SQRT(COS(RADIANS(BETA_Broken_BF))^2-COS(RADIANS(PHI_fill))^2))</f>
        <v>0.33333333333333343</v>
      </c>
      <c r="K9" s="292">
        <f>IF(Backfill="b",J9,IF(Backfill="s",I9,H9))</f>
        <v>0.33333333333333343</v>
      </c>
      <c r="L9" s="39"/>
      <c r="M9" s="142"/>
      <c r="N9" s="37"/>
      <c r="O9" s="37"/>
      <c r="P9" s="37"/>
      <c r="Q9" s="102"/>
      <c r="R9" s="37"/>
      <c r="S9" s="37"/>
      <c r="T9" s="37"/>
    </row>
    <row r="10" spans="1:20">
      <c r="A10" s="8" t="s">
        <v>305</v>
      </c>
      <c r="B10" s="37"/>
      <c r="C10" s="37"/>
      <c r="D10" s="37"/>
      <c r="E10" s="37"/>
      <c r="F10" s="37"/>
      <c r="G10" s="12"/>
      <c r="H10" s="143"/>
      <c r="I10" s="39"/>
      <c r="J10" s="143"/>
      <c r="K10" s="143"/>
      <c r="L10" s="39"/>
      <c r="M10" s="142"/>
      <c r="N10" s="142"/>
      <c r="O10" s="142"/>
      <c r="P10" s="37"/>
      <c r="Q10" s="37"/>
      <c r="R10" s="37"/>
      <c r="S10" s="37"/>
      <c r="T10" s="37"/>
    </row>
    <row r="11" spans="1:20">
      <c r="A11" s="12" t="s">
        <v>60</v>
      </c>
      <c r="B11" s="37"/>
      <c r="C11" s="37"/>
      <c r="D11" s="37"/>
      <c r="E11" s="37"/>
      <c r="F11" s="20" t="s">
        <v>3</v>
      </c>
      <c r="G11" s="107" t="s">
        <v>22</v>
      </c>
      <c r="H11" s="291">
        <v>0</v>
      </c>
      <c r="I11" s="291">
        <f>Beta</f>
        <v>0</v>
      </c>
      <c r="J11" s="291">
        <f>DEGREES(ATAN(hB/(2*H)))</f>
        <v>0</v>
      </c>
      <c r="K11" s="293">
        <f t="shared" ref="K11:K20" si="0">IF(Backfill="b",J11,IF(Backfill="s",I11,H11))</f>
        <v>0</v>
      </c>
      <c r="L11" s="39"/>
      <c r="M11" s="275"/>
      <c r="N11" s="87"/>
      <c r="O11" s="142"/>
      <c r="P11" s="37"/>
      <c r="Q11" s="37"/>
      <c r="R11" s="37"/>
      <c r="S11" s="37"/>
      <c r="T11" s="37"/>
    </row>
    <row r="12" spans="1:20">
      <c r="A12" s="37" t="s">
        <v>115</v>
      </c>
      <c r="B12" s="37"/>
      <c r="C12" s="37"/>
      <c r="D12" s="37"/>
      <c r="E12" s="37"/>
      <c r="F12" s="20" t="s">
        <v>56</v>
      </c>
      <c r="G12" s="12" t="s">
        <v>16</v>
      </c>
      <c r="H12" s="291">
        <f>H-Ad+Ah</f>
        <v>22.61</v>
      </c>
      <c r="I12" s="291">
        <f>H+L_reinf*TAN(RADIANS(Beta))</f>
        <v>15.97</v>
      </c>
      <c r="J12" s="291">
        <f>IF(hB&lt;L_reinf*TAN(RADIANS(Beta)),hB+H,I12)</f>
        <v>15.97</v>
      </c>
      <c r="K12" s="293">
        <f t="shared" si="0"/>
        <v>22.61</v>
      </c>
      <c r="L12" s="39"/>
      <c r="M12" s="275"/>
      <c r="N12" s="87"/>
      <c r="O12" s="142"/>
      <c r="P12" s="37"/>
      <c r="Q12" s="37"/>
      <c r="R12" s="37"/>
      <c r="S12" s="37"/>
      <c r="T12" s="37"/>
    </row>
    <row r="13" spans="1:20" ht="15.75">
      <c r="A13" s="37" t="s">
        <v>306</v>
      </c>
      <c r="B13" s="37"/>
      <c r="C13" s="37"/>
      <c r="D13" s="37"/>
      <c r="E13" s="37"/>
      <c r="F13" s="20" t="s">
        <v>56</v>
      </c>
      <c r="G13" s="12" t="s">
        <v>18</v>
      </c>
      <c r="H13" s="291">
        <f>H-Ad+Ah</f>
        <v>22.61</v>
      </c>
      <c r="I13" s="291">
        <f>H/(1-0.5*TAN(RADIANS(Beta)))</f>
        <v>15.97</v>
      </c>
      <c r="J13" s="291">
        <f>MIN(I13,J12)</f>
        <v>15.97</v>
      </c>
      <c r="K13" s="293">
        <f t="shared" si="0"/>
        <v>22.61</v>
      </c>
      <c r="L13" s="39"/>
      <c r="M13" s="275"/>
      <c r="N13" s="87"/>
      <c r="O13" s="142"/>
      <c r="P13" s="37"/>
      <c r="Q13" s="37"/>
      <c r="R13" s="37"/>
      <c r="S13" s="37"/>
      <c r="T13" s="37"/>
    </row>
    <row r="14" spans="1:20" ht="15.75">
      <c r="A14" s="37" t="s">
        <v>307</v>
      </c>
      <c r="B14" s="37"/>
      <c r="C14" s="37"/>
      <c r="D14" s="37"/>
      <c r="E14" s="37"/>
      <c r="F14" s="20" t="s">
        <v>56</v>
      </c>
      <c r="G14" s="12" t="s">
        <v>20</v>
      </c>
      <c r="H14" s="291">
        <f>H</f>
        <v>15.97</v>
      </c>
      <c r="I14" s="291">
        <f>H+(TAN(RADIANS(Beta))*0.3*H)/(1-0.3*TAN(RADIANS(Beta)))</f>
        <v>15.97</v>
      </c>
      <c r="J14" s="291">
        <f>MIN(I14,J12)</f>
        <v>15.97</v>
      </c>
      <c r="K14" s="293">
        <f>IF(Backfill="b",J14,IF(Backfill="s",I14,H14))</f>
        <v>15.97</v>
      </c>
      <c r="L14" s="39"/>
      <c r="M14" s="142"/>
      <c r="N14" s="37"/>
      <c r="O14" s="37"/>
      <c r="P14" s="37"/>
      <c r="Q14" s="113"/>
      <c r="R14" s="113"/>
      <c r="S14" s="37"/>
      <c r="T14" s="37"/>
    </row>
    <row r="15" spans="1:20" ht="15.75">
      <c r="A15" s="37" t="s">
        <v>400</v>
      </c>
      <c r="B15" s="37"/>
      <c r="C15" s="37"/>
      <c r="D15" s="37"/>
      <c r="E15" s="37"/>
      <c r="F15" s="20" t="s">
        <v>56</v>
      </c>
      <c r="G15" s="12" t="s">
        <v>25</v>
      </c>
      <c r="H15" s="291">
        <f>MIN(H,MIN(L_reinf,cf+bf)*TAN(RADIANS(45+PHI_reinf/2)))</f>
        <v>10.870598969701799</v>
      </c>
      <c r="I15" s="291">
        <f>MIN(H+hB,MIN(L_reinf,(cf+bf))*TAN(RADIANS(45+PHI_reinf/2)))</f>
        <v>10.870598969701799</v>
      </c>
      <c r="J15" s="291">
        <f>MIN(H+hB,MIN(L_reinf,(cf+bf))*TAN(RADIANS(45+PHI_reinf/2)))</f>
        <v>10.870598969701799</v>
      </c>
      <c r="K15" s="293">
        <f>IF(Backfill="b",J15,IF(Backfill="s",I15,H15))</f>
        <v>10.870598969701799</v>
      </c>
      <c r="L15" s="39"/>
      <c r="M15" s="142"/>
      <c r="N15" s="37"/>
      <c r="O15" s="37"/>
      <c r="P15" s="37"/>
      <c r="Q15" s="102"/>
      <c r="R15" s="102"/>
      <c r="S15" s="37"/>
      <c r="T15" s="37"/>
    </row>
    <row r="16" spans="1:20" ht="15.75">
      <c r="A16" s="37" t="s">
        <v>401</v>
      </c>
      <c r="B16" s="37"/>
      <c r="C16" s="37"/>
      <c r="D16" s="37"/>
      <c r="E16" s="37"/>
      <c r="F16" s="20" t="s">
        <v>56</v>
      </c>
      <c r="G16" s="12" t="s">
        <v>21</v>
      </c>
      <c r="H16" s="291">
        <f>MAX(0,(cf+bf-L_reinf)*TAN(RADIANS(45+PHI_fill/2)))</f>
        <v>0</v>
      </c>
      <c r="I16" s="291">
        <f>MAX(0,(cf+bf-L_reinf)*TAN(RADIANS(45+PHI_fill/2)))</f>
        <v>0</v>
      </c>
      <c r="J16" s="291">
        <f>MAX(0,(cf+bf-L_reinf)*TAN(RADIANS(45+PHI_fill/2)))</f>
        <v>0</v>
      </c>
      <c r="K16" s="293">
        <f>IF(Backfill="b",J16,IF(Backfill="s",I16,H16))</f>
        <v>0</v>
      </c>
      <c r="L16" s="39"/>
      <c r="M16" s="142"/>
      <c r="N16" s="37"/>
      <c r="O16" s="37"/>
      <c r="P16" s="37"/>
      <c r="Q16" s="102"/>
      <c r="R16" s="37"/>
      <c r="S16" s="37"/>
      <c r="T16" s="37"/>
    </row>
    <row r="17" spans="1:23" ht="15.75">
      <c r="A17" s="212" t="s">
        <v>616</v>
      </c>
      <c r="B17" s="37"/>
      <c r="C17" s="37"/>
      <c r="D17" s="37"/>
      <c r="E17" s="37"/>
      <c r="F17" s="229" t="s">
        <v>56</v>
      </c>
      <c r="G17" s="212" t="s">
        <v>693</v>
      </c>
      <c r="H17" s="160"/>
      <c r="I17" s="160"/>
      <c r="J17" s="160"/>
      <c r="K17" s="293">
        <f>IF(Abut_on_Piles="y",IF(d-bf/2&gt;L_reinf,2*d-bf-2*L_reinf+Ad,IF(d-bf/2=L_reinf,Ad,0)),0)</f>
        <v>0</v>
      </c>
      <c r="L17" s="39"/>
      <c r="M17" s="142"/>
      <c r="N17" s="37"/>
      <c r="O17" s="37"/>
      <c r="P17" s="37"/>
      <c r="Q17" s="102"/>
      <c r="R17" s="37"/>
      <c r="S17" s="37"/>
      <c r="T17" s="37"/>
    </row>
    <row r="18" spans="1:23" ht="15.75">
      <c r="A18" s="212" t="s">
        <v>572</v>
      </c>
      <c r="B18" s="37"/>
      <c r="C18" s="37"/>
      <c r="D18" s="37"/>
      <c r="E18" s="37"/>
      <c r="F18" s="229" t="s">
        <v>56</v>
      </c>
      <c r="G18" s="12" t="s">
        <v>694</v>
      </c>
      <c r="H18" s="160"/>
      <c r="I18" s="160"/>
      <c r="J18" s="160"/>
      <c r="K18" s="293">
        <f>IF(Abut_on_Piles="y",IF(d-bf/2&gt;L_reinf,MIN(bf+Z_2_ext-Ad,D_1_H),0),0)</f>
        <v>0</v>
      </c>
      <c r="L18" s="39"/>
      <c r="M18" s="142"/>
      <c r="N18" s="37"/>
      <c r="O18" s="37"/>
      <c r="P18" s="37"/>
      <c r="Q18" s="102"/>
      <c r="R18" s="37"/>
      <c r="S18" s="37"/>
      <c r="T18" s="37"/>
    </row>
    <row r="19" spans="1:23" ht="15.75">
      <c r="A19" s="212" t="s">
        <v>573</v>
      </c>
      <c r="B19" s="37"/>
      <c r="C19" s="37"/>
      <c r="D19" s="37"/>
      <c r="E19" s="37"/>
      <c r="F19" s="229" t="s">
        <v>56</v>
      </c>
      <c r="G19" s="12" t="s">
        <v>695</v>
      </c>
      <c r="H19" s="160"/>
      <c r="I19" s="160"/>
      <c r="J19" s="160"/>
      <c r="K19" s="293">
        <f>IF(Abut_on_Piles="y",IF(d-bf/2&gt;L_reinf,bf+H-Ad,0),0)</f>
        <v>0</v>
      </c>
      <c r="L19" s="39"/>
      <c r="M19" s="142"/>
      <c r="N19" s="37"/>
      <c r="O19" s="37"/>
      <c r="P19" s="37"/>
      <c r="Q19" s="102"/>
      <c r="R19" s="37"/>
      <c r="S19" s="37"/>
      <c r="T19" s="37"/>
    </row>
    <row r="20" spans="1:23" ht="15.75">
      <c r="A20" s="37" t="s">
        <v>398</v>
      </c>
      <c r="B20" s="37"/>
      <c r="C20" s="37"/>
      <c r="D20" s="37"/>
      <c r="E20" s="37"/>
      <c r="F20" s="20" t="s">
        <v>56</v>
      </c>
      <c r="G20" s="12" t="s">
        <v>312</v>
      </c>
      <c r="H20" s="291">
        <f>H12/TAN(RADIANS(45+PHI_fill/2))</f>
        <v>13.053889586377442</v>
      </c>
      <c r="I20" s="291">
        <f>I12/TAN(RADIANS(45+PHI_fill/2))</f>
        <v>9.2202837989583273</v>
      </c>
      <c r="J20" s="291">
        <f>J12/TAN(RADIANS(45+PHI_fill/2))</f>
        <v>9.2202837989583273</v>
      </c>
      <c r="K20" s="293">
        <f t="shared" si="0"/>
        <v>13.053889586377442</v>
      </c>
      <c r="L20" s="111"/>
      <c r="M20" s="142"/>
      <c r="N20" s="37"/>
      <c r="O20" s="37"/>
      <c r="P20" s="37"/>
      <c r="Q20" s="37"/>
      <c r="R20" s="37"/>
      <c r="S20" s="37"/>
      <c r="T20" s="37"/>
    </row>
    <row r="21" spans="1:23" ht="15.75">
      <c r="A21" s="37" t="s">
        <v>399</v>
      </c>
      <c r="B21" s="37"/>
      <c r="C21" s="37"/>
      <c r="D21" s="37"/>
      <c r="E21" s="37"/>
      <c r="F21" s="20" t="s">
        <v>56</v>
      </c>
      <c r="G21" s="12" t="s">
        <v>64</v>
      </c>
      <c r="H21" s="39"/>
      <c r="I21" s="39"/>
      <c r="J21" s="39"/>
      <c r="K21" s="293">
        <f>IF(L_reinf-cf&lt;0,0,L_reinf-cf)</f>
        <v>20.47</v>
      </c>
      <c r="L21" s="39"/>
      <c r="M21" s="142"/>
      <c r="N21" s="37"/>
      <c r="O21" s="164"/>
      <c r="P21" s="37"/>
      <c r="Q21" s="37"/>
      <c r="R21" s="37"/>
      <c r="S21" s="37"/>
      <c r="T21" s="37"/>
    </row>
    <row r="22" spans="1:23" ht="15.75">
      <c r="A22" s="37" t="s">
        <v>436</v>
      </c>
      <c r="B22" s="37"/>
      <c r="C22" s="37"/>
      <c r="D22" s="37"/>
      <c r="E22" s="37"/>
      <c r="F22" s="20" t="s">
        <v>309</v>
      </c>
      <c r="G22" s="12" t="s">
        <v>313</v>
      </c>
      <c r="H22" s="39"/>
      <c r="I22" s="39"/>
      <c r="J22" s="39"/>
      <c r="K22" s="295">
        <f>IF(x&gt;=bf,1,x/bf)</f>
        <v>1</v>
      </c>
      <c r="L22" s="39"/>
      <c r="M22" s="142"/>
      <c r="N22" s="37"/>
      <c r="O22" s="37"/>
      <c r="P22" s="37"/>
      <c r="Q22" s="37"/>
      <c r="R22" s="37"/>
      <c r="S22" s="37"/>
      <c r="T22" s="37"/>
    </row>
    <row r="23" spans="1:23" ht="15.75">
      <c r="A23" s="37" t="s">
        <v>389</v>
      </c>
      <c r="B23" s="37"/>
      <c r="C23" s="37"/>
      <c r="D23" s="37"/>
      <c r="E23" s="37"/>
      <c r="F23" s="20" t="s">
        <v>309</v>
      </c>
      <c r="G23" s="12" t="s">
        <v>314</v>
      </c>
      <c r="H23" s="39"/>
      <c r="I23" s="39"/>
      <c r="J23" s="39"/>
      <c r="K23" s="295">
        <f>1-bfi</f>
        <v>0</v>
      </c>
      <c r="L23" s="39"/>
      <c r="M23" s="142"/>
      <c r="N23" s="37"/>
      <c r="O23" s="37"/>
      <c r="P23" s="37"/>
      <c r="Q23" s="37"/>
      <c r="R23" s="37"/>
      <c r="S23" s="37"/>
      <c r="T23" s="37"/>
    </row>
    <row r="24" spans="1:23">
      <c r="A24" s="37" t="s">
        <v>315</v>
      </c>
      <c r="B24" s="37"/>
      <c r="C24" s="37"/>
      <c r="D24" s="37"/>
      <c r="E24" s="37"/>
      <c r="F24" s="20" t="s">
        <v>56</v>
      </c>
      <c r="G24" s="144" t="s">
        <v>22</v>
      </c>
      <c r="H24" s="39"/>
      <c r="I24" s="39"/>
      <c r="J24" s="39"/>
      <c r="K24" s="293">
        <f>Tw+L_reinf</f>
        <v>21.46</v>
      </c>
      <c r="L24" s="39"/>
      <c r="M24" s="142"/>
      <c r="N24" s="37"/>
      <c r="O24" s="37"/>
      <c r="P24" s="37"/>
      <c r="Q24" s="37"/>
      <c r="R24" s="37"/>
      <c r="S24" s="37"/>
      <c r="T24" s="37"/>
    </row>
    <row r="25" spans="1:23" ht="15.75">
      <c r="A25" s="37" t="s">
        <v>61</v>
      </c>
      <c r="B25" s="37"/>
      <c r="C25" s="37"/>
      <c r="D25" s="37"/>
      <c r="E25" s="37"/>
      <c r="F25" s="20" t="s">
        <v>3</v>
      </c>
      <c r="G25" s="107" t="s">
        <v>44</v>
      </c>
      <c r="H25" s="39"/>
      <c r="I25" s="39"/>
      <c r="J25" s="39"/>
      <c r="K25" s="293">
        <f>45+PHI_reinf/2</f>
        <v>62</v>
      </c>
      <c r="L25" s="39"/>
      <c r="M25" s="142"/>
      <c r="N25" s="37"/>
      <c r="O25" s="37"/>
      <c r="P25" s="37"/>
      <c r="Q25" s="102"/>
      <c r="R25" s="37"/>
      <c r="S25" s="37"/>
      <c r="T25" s="37"/>
    </row>
    <row r="26" spans="1:23" ht="38.25">
      <c r="A26" s="161" t="s">
        <v>304</v>
      </c>
      <c r="B26" s="142"/>
      <c r="C26" s="37"/>
      <c r="D26" s="37"/>
      <c r="E26" s="37"/>
      <c r="F26" s="32" t="s">
        <v>2</v>
      </c>
      <c r="G26" s="12"/>
      <c r="H26" s="30" t="s">
        <v>507</v>
      </c>
      <c r="I26" s="30" t="s">
        <v>17</v>
      </c>
      <c r="J26" s="30" t="s">
        <v>14</v>
      </c>
      <c r="K26" s="31" t="s">
        <v>15</v>
      </c>
      <c r="L26" s="145" t="s">
        <v>311</v>
      </c>
      <c r="M26" s="10" t="s">
        <v>702</v>
      </c>
      <c r="N26" s="10"/>
      <c r="O26" s="229"/>
      <c r="P26" s="229"/>
      <c r="Q26" s="229"/>
      <c r="R26" s="37"/>
      <c r="S26" s="37"/>
      <c r="T26" s="37"/>
    </row>
    <row r="27" spans="1:23" ht="15.75" customHeight="1">
      <c r="A27" s="37" t="s">
        <v>603</v>
      </c>
      <c r="B27" s="37"/>
      <c r="C27" s="37"/>
      <c r="D27" s="37"/>
      <c r="E27" s="37"/>
      <c r="F27" s="20" t="s">
        <v>52</v>
      </c>
      <c r="G27" s="12" t="s">
        <v>310</v>
      </c>
      <c r="H27" s="39"/>
      <c r="I27" s="39"/>
      <c r="J27" s="39"/>
      <c r="K27" s="293">
        <f>0.5*h_notional^2*MAX(ka*gamma_fill,P27/2)</f>
        <v>5.112121000000001</v>
      </c>
      <c r="L27" s="39"/>
      <c r="M27" s="277" t="s">
        <v>575</v>
      </c>
      <c r="N27" s="296">
        <f>ka*(2*gamma_fill)/1</f>
        <v>4.0000000000000008E-2</v>
      </c>
      <c r="O27" s="304" t="str">
        <f>IF(N27&gt;=P27,"&gt;","&lt;")</f>
        <v>&gt;</v>
      </c>
      <c r="P27" s="296">
        <f>INPUT!Q29</f>
        <v>3.5000000000000003E-2</v>
      </c>
      <c r="Q27" s="212" t="s">
        <v>703</v>
      </c>
      <c r="R27" s="574" t="str">
        <f>IF(N27&gt;=P27,"  OK","WARNING - PROPERTIES OF FILL RESULT IN A DESIGN EARTH PRESSURE LOWER THAN THE MINIMUM REQUIRED. A MINIMUM PRESSURE OF "&amp;(P27)&amp;" ksf/ft WILL BE USED TO CALCULATE LATERAL EARTH PRESSURE FORCES.")</f>
        <v xml:space="preserve">  OK</v>
      </c>
      <c r="S27" s="574"/>
      <c r="T27" s="574"/>
      <c r="U27" s="574"/>
      <c r="V27" s="298"/>
      <c r="W27" s="298"/>
    </row>
    <row r="28" spans="1:23" ht="15.75" customHeight="1">
      <c r="A28" s="37" t="s">
        <v>382</v>
      </c>
      <c r="B28" s="37"/>
      <c r="C28" s="37"/>
      <c r="D28" s="37"/>
      <c r="E28" s="37"/>
      <c r="F28" s="20" t="s">
        <v>52</v>
      </c>
      <c r="G28" s="12" t="s">
        <v>407</v>
      </c>
      <c r="H28" s="291">
        <f>Pa</f>
        <v>5.112121000000001</v>
      </c>
      <c r="I28" s="291">
        <f>Pa*COS(RADIANS(Beta))</f>
        <v>5.112121000000001</v>
      </c>
      <c r="J28" s="291">
        <f>Pa*COS(RADIANS(BETA_Broken_BF))</f>
        <v>5.112121000000001</v>
      </c>
      <c r="K28" s="293">
        <f>IF(Backfill="b",J28,IF(Backfill="s",I28,H28))</f>
        <v>5.112121000000001</v>
      </c>
      <c r="L28" s="291">
        <f>h_notional/3</f>
        <v>7.5366666666666662</v>
      </c>
      <c r="N28" s="297"/>
      <c r="O28" s="297"/>
      <c r="P28" s="297"/>
      <c r="Q28" s="297"/>
      <c r="R28" s="574"/>
      <c r="S28" s="574"/>
      <c r="T28" s="574"/>
      <c r="U28" s="574"/>
      <c r="V28" s="298"/>
      <c r="W28" s="298"/>
    </row>
    <row r="29" spans="1:23" ht="15.75">
      <c r="A29" s="37" t="s">
        <v>383</v>
      </c>
      <c r="B29" s="37"/>
      <c r="C29" s="37"/>
      <c r="D29" s="37"/>
      <c r="E29" s="37"/>
      <c r="F29" s="20" t="s">
        <v>52</v>
      </c>
      <c r="G29" s="12" t="s">
        <v>408</v>
      </c>
      <c r="H29" s="291">
        <f>0</f>
        <v>0</v>
      </c>
      <c r="I29" s="291">
        <f>Pa*SIN(RADIANS(Beta))</f>
        <v>0</v>
      </c>
      <c r="J29" s="291">
        <f>Pa*SIN(RADIANS(BETA_Broken_BF))</f>
        <v>0</v>
      </c>
      <c r="K29" s="293">
        <f>IF(Backfill="b",J29,IF(Backfill="s",I29,H29))</f>
        <v>0</v>
      </c>
      <c r="L29" s="291">
        <f>Tw+L_reinf</f>
        <v>21.46</v>
      </c>
      <c r="M29" s="297"/>
      <c r="N29" s="297"/>
      <c r="O29" s="297"/>
      <c r="P29" s="297"/>
      <c r="Q29" s="297"/>
      <c r="R29" s="574"/>
      <c r="S29" s="574"/>
      <c r="T29" s="574"/>
      <c r="U29" s="574"/>
      <c r="V29" s="298"/>
      <c r="W29" s="298"/>
    </row>
    <row r="30" spans="1:23" ht="15.75">
      <c r="A30" s="37" t="s">
        <v>421</v>
      </c>
      <c r="B30" s="37"/>
      <c r="C30" s="37"/>
      <c r="D30" s="37"/>
      <c r="E30" s="37"/>
      <c r="F30" s="20" t="s">
        <v>52</v>
      </c>
      <c r="G30" s="12" t="s">
        <v>325</v>
      </c>
      <c r="H30" s="143"/>
      <c r="I30" s="143"/>
      <c r="J30" s="143"/>
      <c r="K30" s="293">
        <f>H*L_reinf*gamma_reinf</f>
        <v>20.122199999999999</v>
      </c>
      <c r="L30" s="291">
        <f>Tw+0.5*L_reinf</f>
        <v>10.96</v>
      </c>
      <c r="M30" s="37"/>
      <c r="N30" s="20" t="s">
        <v>23</v>
      </c>
      <c r="O30" s="20" t="s">
        <v>24</v>
      </c>
      <c r="P30" s="37" t="s">
        <v>489</v>
      </c>
      <c r="Q30" s="37"/>
      <c r="R30" s="574"/>
      <c r="S30" s="574"/>
      <c r="T30" s="574"/>
      <c r="U30" s="574"/>
      <c r="V30" s="298"/>
      <c r="W30" s="298"/>
    </row>
    <row r="31" spans="1:23" ht="15.75">
      <c r="A31" s="37" t="s">
        <v>439</v>
      </c>
      <c r="B31" s="37"/>
      <c r="C31" s="37"/>
      <c r="D31" s="37"/>
      <c r="E31" s="37"/>
      <c r="F31" s="20" t="s">
        <v>52</v>
      </c>
      <c r="G31" s="12" t="s">
        <v>326</v>
      </c>
      <c r="H31" s="291">
        <v>0</v>
      </c>
      <c r="I31" s="291">
        <f>0.5*gamma_fill*L_reinf*(I12-H)</f>
        <v>0</v>
      </c>
      <c r="J31" s="291">
        <f>IF(hB&gt;(J12-H),I31,gamma_fill*(N31+O31))</f>
        <v>0</v>
      </c>
      <c r="K31" s="293">
        <f>IF(Backfill="b",J31,IF(Backfill="s",I31,H31))</f>
        <v>0</v>
      </c>
      <c r="L31" s="291">
        <f>IF(Backfill="b",IF(J31=I31,Tw+2/3*L_reinf,Tw+(N31*(2/3*hB/TAN(RADIANS(Beta)))+O31*(hB/TAN(RADIANS(Beta))+0.5*(L_reinf-hB/TAN(RADIANS(Beta)))))/(N31+O31)),Tw+2/3*L_reinf)</f>
        <v>14.46</v>
      </c>
      <c r="M31" s="37"/>
      <c r="N31" s="291">
        <f>IF(Beta=0,0,0.5*hB^2/TAN(RADIANS(Beta)))</f>
        <v>0</v>
      </c>
      <c r="O31" s="291">
        <f>IF(Beta=0,0,hB*L_reinf-hB^2/TAN(RADIANS(Beta)))</f>
        <v>0</v>
      </c>
      <c r="P31" s="37"/>
      <c r="Q31" s="37"/>
      <c r="R31" s="574"/>
      <c r="S31" s="574"/>
      <c r="T31" s="574"/>
      <c r="U31" s="574"/>
    </row>
    <row r="32" spans="1:23" ht="15.75">
      <c r="A32" s="37" t="s">
        <v>420</v>
      </c>
      <c r="B32" s="37"/>
      <c r="C32" s="37"/>
      <c r="D32" s="37"/>
      <c r="E32" s="37"/>
      <c r="F32" s="20" t="s">
        <v>52</v>
      </c>
      <c r="G32" s="12" t="s">
        <v>327</v>
      </c>
      <c r="H32" s="143"/>
      <c r="I32" s="143"/>
      <c r="J32" s="143"/>
      <c r="K32" s="293">
        <f>0.5*DC*Tw*H</f>
        <v>0.55096500000000004</v>
      </c>
      <c r="L32" s="291">
        <f>0.5*Tw</f>
        <v>0.23</v>
      </c>
      <c r="M32" s="37"/>
      <c r="N32" s="39"/>
      <c r="O32" s="39"/>
      <c r="P32" s="37"/>
      <c r="Q32" s="102"/>
      <c r="R32" s="37"/>
      <c r="S32" s="37"/>
      <c r="T32" s="37"/>
    </row>
    <row r="33" spans="1:21" ht="15.75">
      <c r="A33" s="37" t="s">
        <v>405</v>
      </c>
      <c r="B33" s="37"/>
      <c r="C33" s="37"/>
      <c r="D33" s="37"/>
      <c r="E33" s="37"/>
      <c r="F33" s="146" t="s">
        <v>116</v>
      </c>
      <c r="G33" s="12" t="s">
        <v>591</v>
      </c>
      <c r="H33" s="143"/>
      <c r="I33" s="143"/>
      <c r="J33" s="143"/>
      <c r="K33" s="293">
        <f>gamma_fill*heq</f>
        <v>0.18</v>
      </c>
      <c r="L33" s="143"/>
      <c r="M33" s="37"/>
      <c r="N33" s="37"/>
      <c r="O33" s="37"/>
      <c r="P33" s="37"/>
      <c r="Q33" s="37"/>
      <c r="R33" s="37"/>
      <c r="S33" s="37"/>
      <c r="T33" s="37"/>
    </row>
    <row r="34" spans="1:21" ht="15.75">
      <c r="A34" s="37" t="s">
        <v>426</v>
      </c>
      <c r="B34" s="37"/>
      <c r="C34" s="37"/>
      <c r="D34" s="37"/>
      <c r="E34" s="37"/>
      <c r="F34" s="146" t="s">
        <v>116</v>
      </c>
      <c r="G34" s="12" t="s">
        <v>696</v>
      </c>
      <c r="H34" s="160"/>
      <c r="I34" s="143"/>
      <c r="J34" s="160"/>
      <c r="K34" s="293">
        <f>IF(Abut_on_Piles="y",IF((cf+bf)&gt;=L_reinf,0,q_LS*(x-bf)/L_reinf),IF((cf+pw)&gt;=L_reinf,0,q_LS*(x-pw)/L_reinf))</f>
        <v>0.13045714285714285</v>
      </c>
      <c r="L34" s="143"/>
      <c r="M34" s="37"/>
      <c r="N34" s="37"/>
      <c r="O34" s="37"/>
      <c r="P34" s="37"/>
      <c r="Q34" s="102"/>
      <c r="R34" s="37"/>
      <c r="S34" s="37"/>
      <c r="T34" s="37"/>
    </row>
    <row r="35" spans="1:21" ht="19.5">
      <c r="A35" s="37" t="s">
        <v>402</v>
      </c>
      <c r="B35" s="37"/>
      <c r="C35" s="37"/>
      <c r="D35" s="37"/>
      <c r="E35" s="37"/>
      <c r="F35" s="20" t="s">
        <v>52</v>
      </c>
      <c r="G35" s="12" t="s">
        <v>592</v>
      </c>
      <c r="H35" s="291">
        <f>MAX(0,q_LS*(L_reinf-cf-IF(Abut_on_Piles="y",bf,pw)))</f>
        <v>2.7395999999999998</v>
      </c>
      <c r="I35" s="143"/>
      <c r="J35" s="291">
        <f>MAX(0,q_LS*(L_reinf-cf-IF(Abut_on_Piles="y",bf,pw)))</f>
        <v>2.7395999999999998</v>
      </c>
      <c r="K35" s="293">
        <f>IF(Backfill="b",J35,IF(Backfill="s",I35,H35))</f>
        <v>2.7395999999999998</v>
      </c>
      <c r="L35" s="291">
        <f>IF((cf+pw)&gt;=L_reinf,0,Tw+L_reinf-0.5*(L_reinf-cf-IF(Abut_on_Piles="y",bf,pw)))</f>
        <v>13.850000000000001</v>
      </c>
      <c r="M35" s="142"/>
      <c r="N35" s="37"/>
      <c r="O35" s="37"/>
      <c r="P35" s="37"/>
      <c r="Q35" s="102"/>
      <c r="R35" s="37"/>
      <c r="S35" s="37"/>
      <c r="T35" s="37"/>
    </row>
    <row r="36" spans="1:21" ht="19.5">
      <c r="A36" s="37" t="s">
        <v>403</v>
      </c>
      <c r="B36" s="37"/>
      <c r="C36" s="37"/>
      <c r="D36" s="37"/>
      <c r="E36" s="37"/>
      <c r="F36" s="20" t="s">
        <v>52</v>
      </c>
      <c r="G36" s="12" t="s">
        <v>596</v>
      </c>
      <c r="H36" s="291">
        <f>q_LS*H9*H12</f>
        <v>1.3566000000000003</v>
      </c>
      <c r="I36" s="143"/>
      <c r="J36" s="291">
        <f>q_LS*J9*J12</f>
        <v>0.95820000000000027</v>
      </c>
      <c r="K36" s="293">
        <f>IF(Backfill="b",J36,IF(Backfill="s",I36,H36))</f>
        <v>1.3566000000000003</v>
      </c>
      <c r="L36" s="291">
        <f>h_notional/2</f>
        <v>11.305</v>
      </c>
      <c r="M36" s="37"/>
      <c r="N36" s="37"/>
      <c r="O36" s="37"/>
      <c r="P36" s="37"/>
      <c r="Q36" s="102"/>
      <c r="R36" s="37"/>
      <c r="S36" s="37"/>
      <c r="T36" s="37"/>
    </row>
    <row r="37" spans="1:21" ht="19.5">
      <c r="A37" s="142" t="s">
        <v>813</v>
      </c>
      <c r="B37" s="142"/>
      <c r="C37" s="142"/>
      <c r="D37" s="142"/>
      <c r="E37" s="142"/>
      <c r="F37" s="87" t="s">
        <v>52</v>
      </c>
      <c r="G37" s="144" t="s">
        <v>814</v>
      </c>
      <c r="H37" s="291">
        <f>q_LS*$H$9*Ah</f>
        <v>0.45840000000000009</v>
      </c>
      <c r="I37" s="143"/>
      <c r="J37" s="291">
        <f>q_LS*$H$9*Ah</f>
        <v>0.45840000000000009</v>
      </c>
      <c r="K37" s="293">
        <f>IF(Backfill="b",J37,IF(Backfill="s",I37,H37))</f>
        <v>0.45840000000000009</v>
      </c>
      <c r="L37" s="143"/>
      <c r="M37" s="557"/>
      <c r="N37" s="142"/>
      <c r="O37" s="142"/>
      <c r="P37" s="142"/>
      <c r="Q37" s="102"/>
      <c r="R37" s="37"/>
      <c r="S37" s="37"/>
      <c r="T37" s="37"/>
    </row>
    <row r="38" spans="1:21" ht="15.75">
      <c r="A38" s="37" t="s">
        <v>422</v>
      </c>
      <c r="B38" s="37"/>
      <c r="C38" s="37"/>
      <c r="D38" s="37"/>
      <c r="E38" s="37"/>
      <c r="F38" s="146" t="s">
        <v>116</v>
      </c>
      <c r="G38" s="12" t="s">
        <v>697</v>
      </c>
      <c r="H38" s="160"/>
      <c r="I38" s="143"/>
      <c r="J38" s="160"/>
      <c r="K38" s="293">
        <f>0.5*DW</f>
        <v>4.4999999999999998E-2</v>
      </c>
      <c r="L38" s="143"/>
      <c r="M38" s="37"/>
      <c r="N38" s="37"/>
      <c r="O38" s="37"/>
      <c r="P38" s="37"/>
      <c r="Q38" s="102"/>
      <c r="R38" s="37"/>
      <c r="S38" s="37"/>
      <c r="T38" s="37"/>
    </row>
    <row r="39" spans="1:21" ht="15.75">
      <c r="A39" s="37" t="s">
        <v>425</v>
      </c>
      <c r="B39" s="37"/>
      <c r="C39" s="37"/>
      <c r="D39" s="37"/>
      <c r="E39" s="37"/>
      <c r="F39" s="146" t="s">
        <v>116</v>
      </c>
      <c r="G39" s="12" t="s">
        <v>698</v>
      </c>
      <c r="H39" s="143"/>
      <c r="I39" s="143"/>
      <c r="J39" s="143"/>
      <c r="K39" s="293">
        <f>IF(Abut_on_Piles="y",IF((cf+bf)&gt;=L_reinf,0,q_DW*(x-bf)/L_reinf),IF((cf+pw)&gt;=L_reinf,0,q_DW*(x-pw)/L_reinf))</f>
        <v>3.2614285714285714E-2</v>
      </c>
      <c r="L39" s="143"/>
      <c r="M39" s="37"/>
      <c r="N39" s="37"/>
      <c r="O39" s="37"/>
      <c r="P39" s="37"/>
      <c r="Q39" s="102"/>
      <c r="R39" s="37"/>
      <c r="S39" s="37"/>
      <c r="T39" s="37"/>
    </row>
    <row r="40" spans="1:21" ht="19.5">
      <c r="A40" s="37" t="s">
        <v>423</v>
      </c>
      <c r="B40" s="37"/>
      <c r="C40" s="37"/>
      <c r="D40" s="37"/>
      <c r="E40" s="37"/>
      <c r="F40" s="20" t="s">
        <v>52</v>
      </c>
      <c r="G40" s="12" t="s">
        <v>699</v>
      </c>
      <c r="H40" s="291">
        <f>MAX(0,q_DW*(L_reinf-cf-IF(Abut_on_Piles="y",bf,0)))</f>
        <v>0.68489999999999995</v>
      </c>
      <c r="I40" s="143"/>
      <c r="J40" s="291">
        <f>MAX(0,q_DW*(L_reinf-cf-IF(Abut_on_Piles="y",bf,0)))</f>
        <v>0.68489999999999995</v>
      </c>
      <c r="K40" s="293">
        <f>IF(Backfill="b",J40,IF(Backfill="s",I40,H40))</f>
        <v>0.68489999999999995</v>
      </c>
      <c r="L40" s="291">
        <f>Tw+L_reinf-0.5*IF(Abut_on_Piles="y",L_reinf-cf-bf,L_reinf-cf)</f>
        <v>13.850000000000001</v>
      </c>
      <c r="M40" s="37"/>
      <c r="N40" s="37"/>
      <c r="O40" s="37"/>
      <c r="P40" s="37"/>
      <c r="Q40" s="102"/>
      <c r="R40" s="37"/>
      <c r="S40" s="37"/>
      <c r="T40" s="37"/>
    </row>
    <row r="41" spans="1:21" ht="19.5">
      <c r="A41" s="37" t="s">
        <v>404</v>
      </c>
      <c r="B41" s="37"/>
      <c r="C41" s="37"/>
      <c r="D41" s="37"/>
      <c r="E41" s="37"/>
      <c r="F41" s="20" t="s">
        <v>52</v>
      </c>
      <c r="G41" s="12" t="s">
        <v>700</v>
      </c>
      <c r="H41" s="291">
        <f>q_DW*H9*H12</f>
        <v>0.33915000000000006</v>
      </c>
      <c r="I41" s="143"/>
      <c r="J41" s="291">
        <f>q_DW*J9*J12</f>
        <v>0.23955000000000007</v>
      </c>
      <c r="K41" s="293">
        <f>IF(Backfill="b",J41,IF(Backfill="s",I41,H41))</f>
        <v>0.33915000000000006</v>
      </c>
      <c r="L41" s="291">
        <f>h_notional/2</f>
        <v>11.305</v>
      </c>
      <c r="M41" s="37"/>
      <c r="N41" s="37"/>
      <c r="O41" s="37"/>
      <c r="P41" s="37"/>
      <c r="Q41" s="37"/>
      <c r="R41" s="37"/>
      <c r="S41" s="37"/>
      <c r="T41" s="37"/>
    </row>
    <row r="42" spans="1:21" ht="19.5">
      <c r="A42" s="142" t="s">
        <v>815</v>
      </c>
      <c r="B42" s="142"/>
      <c r="C42" s="142"/>
      <c r="D42" s="142"/>
      <c r="E42" s="142"/>
      <c r="F42" s="87" t="s">
        <v>52</v>
      </c>
      <c r="G42" s="144" t="s">
        <v>816</v>
      </c>
      <c r="H42" s="291">
        <f>q_DW*$H$9*Ah</f>
        <v>0.11460000000000002</v>
      </c>
      <c r="I42" s="143"/>
      <c r="J42" s="291">
        <f>q_DW*$H$9*Ah</f>
        <v>0.11460000000000002</v>
      </c>
      <c r="K42" s="293">
        <f>IF(Backfill="b",J42,IF(Backfill="s",I42,H42))</f>
        <v>0.11460000000000002</v>
      </c>
      <c r="L42" s="143"/>
      <c r="M42" s="557"/>
      <c r="N42" s="142"/>
      <c r="O42" s="142"/>
      <c r="P42" s="142"/>
      <c r="Q42" s="37"/>
      <c r="R42" s="37"/>
      <c r="S42" s="37"/>
      <c r="T42" s="37"/>
    </row>
    <row r="43" spans="1:21" ht="15.75">
      <c r="A43" s="37" t="s">
        <v>424</v>
      </c>
      <c r="B43" s="37"/>
      <c r="C43" s="37"/>
      <c r="D43" s="37"/>
      <c r="E43" s="37"/>
      <c r="F43" s="146" t="s">
        <v>116</v>
      </c>
      <c r="G43" s="12" t="s">
        <v>597</v>
      </c>
      <c r="H43" s="160"/>
      <c r="I43" s="143"/>
      <c r="J43" s="160"/>
      <c r="K43" s="293">
        <f>IF(Abut_on_Piles="y",gamma_fill*(Ah-Ad),0)</f>
        <v>0.39839999999999998</v>
      </c>
      <c r="L43" s="291">
        <f>Tw+cf+bf+0.5*(L_reinf-cf-bf)</f>
        <v>13.85</v>
      </c>
      <c r="M43" s="37"/>
      <c r="N43" s="37"/>
      <c r="O43" s="37"/>
      <c r="P43" s="37"/>
      <c r="Q43" s="102"/>
      <c r="R43" s="37"/>
      <c r="S43" s="37"/>
      <c r="T43" s="37"/>
    </row>
    <row r="44" spans="1:21" ht="15.75">
      <c r="A44" s="37" t="s">
        <v>619</v>
      </c>
      <c r="B44" s="37"/>
      <c r="C44" s="37"/>
      <c r="D44" s="37"/>
      <c r="E44" s="37"/>
      <c r="F44" s="146" t="s">
        <v>116</v>
      </c>
      <c r="G44" s="12" t="s">
        <v>701</v>
      </c>
      <c r="H44" s="143"/>
      <c r="I44" s="143"/>
      <c r="J44" s="143"/>
      <c r="K44" s="293">
        <f>IF(Abut_on_Piles="y",IF((cf+bf)&gt;=L_reinf,0,q_ES*(x-bf)/L_reinf),0)</f>
        <v>0.28874514285714281</v>
      </c>
      <c r="L44" s="165"/>
      <c r="M44" s="37"/>
      <c r="N44" s="37"/>
      <c r="O44" s="37"/>
      <c r="P44" s="37"/>
      <c r="Q44" s="37"/>
      <c r="R44" s="37"/>
      <c r="S44" s="37"/>
      <c r="T44" s="37"/>
    </row>
    <row r="45" spans="1:21" ht="19.5">
      <c r="A45" s="37" t="s">
        <v>437</v>
      </c>
      <c r="B45" s="37"/>
      <c r="C45" s="37"/>
      <c r="D45" s="37"/>
      <c r="E45" s="37"/>
      <c r="F45" s="20" t="s">
        <v>52</v>
      </c>
      <c r="G45" s="12" t="s">
        <v>598</v>
      </c>
      <c r="H45" s="291">
        <f>MAX(0,q_ES*(L_reinf-cf-IF(Abut_on_Piles="y",bf,0)))</f>
        <v>6.0636479999999988</v>
      </c>
      <c r="I45" s="143"/>
      <c r="J45" s="291">
        <f>MAX(0,q_ES*(L_reinf-cf-IF(Abut_on_Piles="y",bf,0)))</f>
        <v>6.0636479999999988</v>
      </c>
      <c r="K45" s="293">
        <f>IF(Backfill="b",J45,IF(Backfill="s",I45,H45))</f>
        <v>6.0636479999999988</v>
      </c>
      <c r="L45" s="291">
        <f>Tw+cf+bf+0.5*(L_reinf-cf-bf)</f>
        <v>13.85</v>
      </c>
      <c r="M45" s="37"/>
      <c r="N45" s="37"/>
      <c r="O45" s="37"/>
      <c r="P45" s="37"/>
      <c r="Q45" s="37"/>
      <c r="R45" s="37"/>
      <c r="S45" s="37"/>
      <c r="T45" s="37"/>
    </row>
    <row r="46" spans="1:21" ht="15.75">
      <c r="A46" s="142" t="s">
        <v>427</v>
      </c>
      <c r="B46" s="142"/>
      <c r="C46" s="142"/>
      <c r="D46" s="142"/>
      <c r="E46" s="142"/>
      <c r="F46" s="87" t="s">
        <v>52</v>
      </c>
      <c r="G46" s="144" t="s">
        <v>817</v>
      </c>
      <c r="H46" s="291">
        <f>0.5*Ah^2*MAX(ka*gamma_fill,P27/2)</f>
        <v>0.5836960000000001</v>
      </c>
      <c r="I46" s="143"/>
      <c r="J46" s="291">
        <f>0.5*Ah^2*MAX(ka*gamma_fill,P27/2)</f>
        <v>0.5836960000000001</v>
      </c>
      <c r="K46" s="293">
        <f>IF(Backfill="b",J46,IF(Backfill="s",I46,H46))</f>
        <v>0.5836960000000001</v>
      </c>
      <c r="L46" s="142" t="s">
        <v>704</v>
      </c>
      <c r="M46" s="557"/>
      <c r="N46" s="142"/>
      <c r="O46" s="142"/>
      <c r="P46" s="142"/>
      <c r="Q46" s="142"/>
      <c r="R46" s="142"/>
      <c r="S46" s="142"/>
      <c r="T46" s="142"/>
      <c r="U46" s="142"/>
    </row>
    <row r="47" spans="1:21" ht="15.75">
      <c r="A47" s="37" t="s">
        <v>429</v>
      </c>
      <c r="B47" s="37"/>
      <c r="C47" s="37"/>
      <c r="D47" s="37"/>
      <c r="E47" s="37"/>
      <c r="F47" s="20" t="s">
        <v>52</v>
      </c>
      <c r="G47" s="12" t="s">
        <v>428</v>
      </c>
      <c r="H47" s="143"/>
      <c r="I47" s="143"/>
      <c r="J47" s="143"/>
      <c r="K47" s="293">
        <f>0.5*INPUT!L56</f>
        <v>1.1815</v>
      </c>
      <c r="M47" s="37"/>
      <c r="N47" s="37"/>
      <c r="O47" s="37"/>
      <c r="P47" s="37"/>
      <c r="Q47" s="102"/>
      <c r="R47" s="37"/>
      <c r="S47" s="37"/>
      <c r="T47" s="37"/>
    </row>
    <row r="48" spans="1:21" ht="15.75">
      <c r="A48" s="37" t="s">
        <v>618</v>
      </c>
      <c r="B48" s="37"/>
      <c r="C48" s="37"/>
      <c r="D48" s="37"/>
      <c r="E48" s="37"/>
      <c r="F48" s="247" t="s">
        <v>52</v>
      </c>
      <c r="G48" s="12" t="s">
        <v>617</v>
      </c>
      <c r="H48" s="143"/>
      <c r="I48" s="143"/>
      <c r="J48" s="143"/>
      <c r="K48" s="293">
        <f>Pv*bfi</f>
        <v>1.1815</v>
      </c>
      <c r="L48" s="291">
        <f>IF(d-bf/2&gt;=L_reinf,0,Tw+cf+bfi*bf/2)</f>
        <v>3.6150000000000002</v>
      </c>
      <c r="M48" s="37"/>
      <c r="N48" s="37"/>
      <c r="O48" s="37"/>
      <c r="P48" s="37"/>
      <c r="Q48" s="102"/>
      <c r="R48" s="37"/>
      <c r="S48" s="37"/>
      <c r="T48" s="37"/>
    </row>
    <row r="49" spans="1:20" ht="15.75">
      <c r="A49" s="37" t="s">
        <v>574</v>
      </c>
      <c r="B49" s="37"/>
      <c r="C49" s="37"/>
      <c r="D49" s="37"/>
      <c r="E49" s="37"/>
      <c r="F49" s="229" t="s">
        <v>52</v>
      </c>
      <c r="G49" s="12" t="s">
        <v>571</v>
      </c>
      <c r="H49" s="143"/>
      <c r="I49" s="143"/>
      <c r="J49" s="143"/>
      <c r="K49" s="293">
        <f>IF(Abut_on_Piles="y",IF(d-bf/2&gt;L_reinf+Aw,0,MAX(ka*IF(Z_2_ext&gt;=H,0,((Pv*bfe/IF(D_1_H=0,9999,D_1_H))*(H-Z_2_ext)+0.5*(Pv*bfe/IF(D_1_Z2=0,9999,D_1_Z2)-Pv*bfe/IF(D_1_H=0,9999,D_1_H))*(H-Z_2_ext))),0)),0)</f>
        <v>0</v>
      </c>
      <c r="L49" s="291">
        <f>IF(Abut_on_Piles="y",IF(Fp=0,0,((Pv*bfe/D_1_H)*(H-Z_2_ext)*0.5*(H-Z_2_ext)+0.5*(Pv*bfe/D_1_Z2-Pv*bfe/D_1_H)*(H-Z_2_ext)*(2/3)*(H-Z_2_ext))/(Fp/ka)),0)</f>
        <v>0</v>
      </c>
      <c r="M49" s="37"/>
      <c r="N49" s="37"/>
      <c r="O49" s="37"/>
      <c r="P49" s="37"/>
      <c r="Q49" s="102"/>
      <c r="R49" s="37"/>
      <c r="S49" s="37"/>
      <c r="T49" s="37"/>
    </row>
    <row r="50" spans="1:20" ht="15.75">
      <c r="A50" s="37" t="s">
        <v>386</v>
      </c>
      <c r="B50" s="37"/>
      <c r="C50" s="37"/>
      <c r="D50" s="37"/>
      <c r="E50" s="37"/>
      <c r="F50" s="158" t="s">
        <v>52</v>
      </c>
      <c r="G50" s="12" t="s">
        <v>385</v>
      </c>
      <c r="H50" s="160"/>
      <c r="I50" s="143"/>
      <c r="J50" s="143"/>
      <c r="K50" s="293">
        <f>INPUT!L57/2</f>
        <v>0.7</v>
      </c>
      <c r="L50" s="291">
        <f>H-L_1/3</f>
        <v>12.346467010099401</v>
      </c>
      <c r="M50" s="37"/>
      <c r="N50" s="37"/>
      <c r="O50" s="37"/>
      <c r="P50" s="37"/>
      <c r="Q50" s="102"/>
      <c r="R50" s="37"/>
      <c r="S50" s="37"/>
      <c r="T50" s="37"/>
    </row>
    <row r="51" spans="1:20" ht="15.75">
      <c r="A51" s="37" t="s">
        <v>721</v>
      </c>
      <c r="B51" s="37"/>
      <c r="C51" s="37"/>
      <c r="D51" s="37"/>
      <c r="E51" s="37"/>
      <c r="F51" s="20" t="s">
        <v>52</v>
      </c>
      <c r="G51" s="12" t="s">
        <v>329</v>
      </c>
      <c r="H51" s="143"/>
      <c r="I51" s="143"/>
      <c r="J51" s="143"/>
      <c r="K51" s="293">
        <f>0.5*INPUT!L54*bfi</f>
        <v>0</v>
      </c>
      <c r="L51" s="291">
        <f>h_notional-L_1/3</f>
        <v>18.9864670100994</v>
      </c>
      <c r="M51" s="37"/>
      <c r="N51" s="37"/>
      <c r="O51" s="37"/>
      <c r="P51" s="37"/>
      <c r="Q51" s="102"/>
      <c r="R51" s="37"/>
      <c r="S51" s="37"/>
      <c r="T51" s="37"/>
    </row>
    <row r="52" spans="1:20" ht="15.75">
      <c r="A52" s="37" t="s">
        <v>723</v>
      </c>
      <c r="B52" s="37"/>
      <c r="C52" s="37"/>
      <c r="D52" s="37"/>
      <c r="E52" s="37"/>
      <c r="F52" s="277" t="s">
        <v>52</v>
      </c>
      <c r="G52" s="12" t="s">
        <v>720</v>
      </c>
      <c r="H52" s="143"/>
      <c r="I52" s="143"/>
      <c r="J52" s="143"/>
      <c r="K52" s="293">
        <f>0.5*INPUT!L55*bfi</f>
        <v>0</v>
      </c>
      <c r="L52" s="143"/>
      <c r="M52" s="37"/>
      <c r="N52" s="37"/>
      <c r="O52" s="37"/>
      <c r="P52" s="37"/>
      <c r="Q52" s="102"/>
      <c r="R52" s="37"/>
      <c r="S52" s="37"/>
      <c r="T52" s="37"/>
    </row>
    <row r="53" spans="1:20" ht="15.75">
      <c r="A53" s="37" t="s">
        <v>722</v>
      </c>
      <c r="B53" s="37"/>
      <c r="C53" s="37"/>
      <c r="D53" s="37"/>
      <c r="E53" s="37"/>
      <c r="F53" s="20" t="s">
        <v>52</v>
      </c>
      <c r="G53" s="12" t="s">
        <v>328</v>
      </c>
      <c r="H53" s="143"/>
      <c r="I53" s="143"/>
      <c r="J53" s="143"/>
      <c r="K53" s="293">
        <f>0.5*INPUT!L54*bfe</f>
        <v>0</v>
      </c>
      <c r="L53" s="291">
        <f>h_notional-L_2/3</f>
        <v>22.61</v>
      </c>
      <c r="M53" s="37"/>
      <c r="N53" s="37"/>
      <c r="O53" s="37"/>
      <c r="P53" s="37"/>
      <c r="Q53" s="102"/>
      <c r="R53" s="37"/>
      <c r="S53" s="37"/>
      <c r="T53" s="37"/>
    </row>
    <row r="54" spans="1:20">
      <c r="A54" s="37"/>
      <c r="B54" s="37"/>
      <c r="C54" s="37"/>
      <c r="D54" s="37"/>
      <c r="E54" s="37"/>
      <c r="F54" s="37"/>
      <c r="G54" s="37"/>
      <c r="H54" s="39"/>
      <c r="I54" s="39"/>
      <c r="J54" s="39"/>
      <c r="K54" s="143"/>
      <c r="L54" s="39"/>
      <c r="M54" s="37"/>
      <c r="N54" s="143"/>
      <c r="O54" s="39"/>
      <c r="P54" s="37"/>
      <c r="Q54" s="37"/>
      <c r="R54" s="37"/>
      <c r="S54" s="37"/>
      <c r="T54" s="37"/>
    </row>
    <row r="55" spans="1:20" ht="12.75" customHeight="1">
      <c r="A55" s="8" t="s">
        <v>318</v>
      </c>
      <c r="B55" s="37"/>
      <c r="C55" s="37"/>
      <c r="D55" s="37"/>
      <c r="E55" s="37"/>
      <c r="F55" s="32" t="s">
        <v>2</v>
      </c>
      <c r="G55" s="37"/>
      <c r="H55" s="30" t="s">
        <v>507</v>
      </c>
      <c r="I55" s="30" t="s">
        <v>17</v>
      </c>
      <c r="J55" s="30" t="s">
        <v>14</v>
      </c>
      <c r="K55" s="31" t="s">
        <v>15</v>
      </c>
      <c r="L55" s="39"/>
      <c r="M55" s="37"/>
      <c r="N55" s="39"/>
      <c r="O55" s="39"/>
      <c r="P55" s="37"/>
      <c r="Q55" s="37"/>
      <c r="R55" s="37"/>
      <c r="S55" s="37"/>
      <c r="T55" s="37"/>
    </row>
    <row r="56" spans="1:20" ht="15.75" customHeight="1">
      <c r="A56" s="37" t="s">
        <v>319</v>
      </c>
      <c r="B56" s="37"/>
      <c r="C56" s="37"/>
      <c r="D56" s="37"/>
      <c r="E56" s="37"/>
      <c r="F56" s="20"/>
      <c r="G56" s="37" t="s">
        <v>320</v>
      </c>
      <c r="H56" s="143"/>
      <c r="I56" s="143"/>
      <c r="J56" s="143"/>
      <c r="K56" s="293">
        <f>(1.45-A)*A</f>
        <v>6.9999999999999993E-2</v>
      </c>
      <c r="L56" s="143"/>
      <c r="M56" s="37"/>
      <c r="N56" s="39"/>
      <c r="O56" s="39"/>
      <c r="P56" s="37"/>
      <c r="Q56" s="37"/>
      <c r="R56" s="37"/>
      <c r="S56" s="37"/>
      <c r="T56" s="37"/>
    </row>
    <row r="57" spans="1:20" ht="15.75" customHeight="1">
      <c r="A57" s="37" t="s">
        <v>324</v>
      </c>
      <c r="B57" s="37"/>
      <c r="C57" s="37"/>
      <c r="D57" s="37"/>
      <c r="E57" s="37"/>
      <c r="F57" s="20" t="s">
        <v>52</v>
      </c>
      <c r="G57" s="37" t="s">
        <v>322</v>
      </c>
      <c r="H57" s="143"/>
      <c r="I57" s="143"/>
      <c r="J57" s="143"/>
      <c r="K57" s="293">
        <f>0.5*Am*gamma_reinf*H_2*H</f>
        <v>0.75827157000000001</v>
      </c>
      <c r="L57" s="291">
        <f>0.5*H</f>
        <v>7.9850000000000003</v>
      </c>
      <c r="M57" s="37"/>
      <c r="N57" s="39" t="s">
        <v>23</v>
      </c>
      <c r="O57" s="39" t="s">
        <v>24</v>
      </c>
      <c r="P57" s="37" t="s">
        <v>490</v>
      </c>
      <c r="Q57" s="102"/>
      <c r="R57" s="37"/>
      <c r="S57" s="37"/>
      <c r="T57" s="37"/>
    </row>
    <row r="58" spans="1:20" ht="15.75" customHeight="1">
      <c r="A58" s="37" t="s">
        <v>438</v>
      </c>
      <c r="B58" s="37"/>
      <c r="C58" s="37"/>
      <c r="D58" s="37"/>
      <c r="E58" s="37"/>
      <c r="F58" s="20" t="s">
        <v>52</v>
      </c>
      <c r="G58" s="37" t="s">
        <v>323</v>
      </c>
      <c r="H58" s="291">
        <f>0</f>
        <v>0</v>
      </c>
      <c r="I58" s="291">
        <f>0.125*Am*gamma_fill*H_2^2*TAN(RADIANS(Beta))</f>
        <v>0</v>
      </c>
      <c r="J58" s="291">
        <f>IF(Beta=0,0,IF(hB/TAN(RADIANS(Beta))&lt;=0.5*J13,gamma_fill*Am*(0.5*hB^2/TAN(RADIANS(Beta))+(0.5*hB*J13-hB^2/TAN(RADIANS(Beta)))),I58))</f>
        <v>0</v>
      </c>
      <c r="K58" s="293">
        <f>IF(Backfill="b",J58,IF(Backfill="s",I58,H58))</f>
        <v>0</v>
      </c>
      <c r="L58" s="291">
        <f>IF(Backfill="b",IF(J58=I58,H+1/3*(K13-H),(N58*(H+1/3*hB)+O58*(H+hB/2))/(N58+O58)),H+1/3*(K13-H))</f>
        <v>18.183333333333334</v>
      </c>
      <c r="M58" s="37"/>
      <c r="N58" s="291">
        <f>IF(Beta=0,0,0.5*hB^2/TAN(RADIANS(Beta)))</f>
        <v>0</v>
      </c>
      <c r="O58" s="291">
        <f>IF(Beta=0,0,0.5*hB*$J$13-hB^2/TAN(RADIANS(Beta)))</f>
        <v>0</v>
      </c>
      <c r="P58" s="37"/>
      <c r="Q58" s="37"/>
      <c r="R58" s="37"/>
      <c r="S58" s="37"/>
      <c r="T58" s="37"/>
    </row>
    <row r="59" spans="1:20" ht="15.75" customHeight="1">
      <c r="A59" s="37" t="s">
        <v>440</v>
      </c>
      <c r="B59" s="37"/>
      <c r="C59" s="37"/>
      <c r="D59" s="37"/>
      <c r="E59" s="37"/>
      <c r="F59" s="20" t="s">
        <v>52</v>
      </c>
      <c r="G59" s="37" t="s">
        <v>433</v>
      </c>
      <c r="H59" s="143"/>
      <c r="I59" s="143"/>
      <c r="J59" s="143"/>
      <c r="K59" s="293">
        <f>0.5*(0.375*Am*gamma_fill*H_2^2)</f>
        <v>0.40257952874999986</v>
      </c>
      <c r="L59" s="143"/>
      <c r="M59" s="37"/>
      <c r="N59" s="37"/>
      <c r="O59" s="37"/>
      <c r="P59" s="37"/>
      <c r="Q59" s="37"/>
      <c r="R59" s="37"/>
      <c r="S59" s="37"/>
      <c r="T59" s="37"/>
    </row>
    <row r="60" spans="1:20" ht="15.75" customHeight="1">
      <c r="A60" s="37" t="s">
        <v>431</v>
      </c>
      <c r="B60" s="37"/>
      <c r="C60" s="37"/>
      <c r="D60" s="37"/>
      <c r="E60" s="37"/>
      <c r="F60" s="20" t="s">
        <v>52</v>
      </c>
      <c r="G60" s="37" t="s">
        <v>434</v>
      </c>
      <c r="H60" s="291">
        <f>Half_PAE</f>
        <v>0.40257952874999986</v>
      </c>
      <c r="I60" s="291">
        <f>Half_PAE*COS(RADIANS(Beta))</f>
        <v>0.40257952874999986</v>
      </c>
      <c r="J60" s="291">
        <f>Half_PAE*COS(RADIANS(BETA_Broken_BF))</f>
        <v>0.40257952874999986</v>
      </c>
      <c r="K60" s="293">
        <f>IF(Backfill="b",J60,IF(Backfill="s",I60,H60))</f>
        <v>0.40257952874999986</v>
      </c>
      <c r="L60" s="291">
        <f>0.6*H_2</f>
        <v>13.565999999999999</v>
      </c>
      <c r="M60" s="37"/>
      <c r="N60" s="129" t="s">
        <v>47</v>
      </c>
      <c r="O60" s="179"/>
      <c r="P60" s="37"/>
      <c r="Q60" s="37"/>
      <c r="R60" s="37"/>
      <c r="S60" s="37"/>
      <c r="T60" s="37"/>
    </row>
    <row r="61" spans="1:20" ht="15.75" customHeight="1">
      <c r="A61" s="37" t="s">
        <v>432</v>
      </c>
      <c r="F61" s="2" t="s">
        <v>52</v>
      </c>
      <c r="G61" s="37" t="s">
        <v>435</v>
      </c>
      <c r="H61" s="291">
        <v>0</v>
      </c>
      <c r="I61" s="291">
        <f>Half_PAE*SIN(RADIANS(Beta))</f>
        <v>0</v>
      </c>
      <c r="J61" s="291">
        <f>Half_PAE*SIN(RADIANS(BETA_Broken_BF))</f>
        <v>0</v>
      </c>
      <c r="K61" s="293">
        <f>IF(Backfill="b",J61,IF(Backfill="s",I61,H61))</f>
        <v>0</v>
      </c>
      <c r="L61" s="291">
        <f>Tw+L_reinf</f>
        <v>21.46</v>
      </c>
      <c r="M61" s="167"/>
      <c r="N61" s="179" t="s">
        <v>46</v>
      </c>
      <c r="O61" s="179" t="s">
        <v>488</v>
      </c>
      <c r="P61" s="179" t="s">
        <v>45</v>
      </c>
      <c r="Q61" s="102"/>
    </row>
    <row r="62" spans="1:20" ht="15.75" customHeight="1">
      <c r="A62" s="37" t="s">
        <v>444</v>
      </c>
      <c r="F62" s="2" t="s">
        <v>52</v>
      </c>
      <c r="G62" s="37" t="s">
        <v>443</v>
      </c>
      <c r="H62" s="291">
        <f>IF(Type_Reinf="g",0.5*gamma_reinf*H^2/TAN(RADIANS(psi_r)),gamma_reinf*(0.3*0.5*H14^2*1.5))</f>
        <v>3.4430521499999998</v>
      </c>
      <c r="I62" s="291">
        <f>IF(Type_Reinf="g",H62+gamma_fill*0.5*(H/TAN(RADIANS(psi_r)))*SIN(RADIANS(Beta))*(((H/TAN(RADIANS(psi_r)))*COS(RADIANS(Beta)))+(((H/TAN(RADIANS(psi_r)))*SIN(RADIANS(Beta)))/TAN(RADIANS(psi_r-Beta)))),gamma_reinf*(0.5*I14/2*0.3*I14+(H-I14/2)*0.3*I14)+0.5*((0.3*I14)^2*TAN(RADIANS(Beta)))*gamma_fill)</f>
        <v>3.4430521500000006</v>
      </c>
      <c r="J62" s="291" t="e">
        <f>IF(Type_Reinf="g",IF(hB&gt;=N62,I62,I62-O62*gamma_fill),IF(0.3*J14&lt;=hB/TAN(RADIANS(Beta)),I62,I62-(0.3*J14-hB/TAN(RADIANS(Beta)))*(TAN(RADIANS(Beta))*J14*0.3-hB)*0.5*gamma_fill))</f>
        <v>#DIV/0!</v>
      </c>
      <c r="K62" s="293">
        <f>IF(Backfill="b",J62,IF(Backfill="s",I62,H62))</f>
        <v>3.4430521499999998</v>
      </c>
      <c r="L62" s="17"/>
      <c r="M62" s="558"/>
      <c r="N62" s="291">
        <f>((((H/TAN(psi_r*PI()/180))*COS(Beta*PI()/180))+(((H/TAN(psi_r*PI()/180))*SIN(Beta*PI()/180))/TAN((psi_r-Beta)*PI()/180)))*SIN(Beta*PI()/180))</f>
        <v>0</v>
      </c>
      <c r="O62" s="291">
        <f>IF(Backfill="b",0.5*(N62-hB)*(P62*COS(Beta*PI()/180)-hB/TAN(Beta*PI()/180)-(N62-hB)*TAN((90-psi_r)*PI()/180)),0)</f>
        <v>0</v>
      </c>
      <c r="P62" s="291">
        <f>(((H/TAN(psi_r*PI()/180))*COS(Beta*PI()/180))+(((H/TAN(psi_r*PI()/180))*SIN(Beta*PI()/180))/TAN((psi_r-Beta)*PI()/180)))</f>
        <v>8.4913996236338161</v>
      </c>
      <c r="S62" s="102"/>
    </row>
    <row r="63" spans="1:20" ht="15.75" customHeight="1">
      <c r="A63" s="37" t="s">
        <v>441</v>
      </c>
      <c r="F63" s="2" t="s">
        <v>52</v>
      </c>
      <c r="G63" s="37" t="s">
        <v>340</v>
      </c>
      <c r="H63" s="291">
        <f>Am*H62</f>
        <v>0.24101365049999995</v>
      </c>
      <c r="I63" s="291">
        <f>Am*I62</f>
        <v>0.24101365050000001</v>
      </c>
      <c r="J63" s="291" t="e">
        <f>Am*J62</f>
        <v>#DIV/0!</v>
      </c>
      <c r="K63" s="293">
        <f>IF(Backfill="b",J63,IF(Backfill="s",I63,H63))</f>
        <v>0.24101365049999995</v>
      </c>
      <c r="L63" s="17"/>
      <c r="M63" s="558"/>
    </row>
    <row r="64" spans="1:20" ht="12.75" customHeight="1"/>
    <row r="65" spans="1:17" ht="12.75" customHeight="1">
      <c r="A65" s="8" t="s">
        <v>410</v>
      </c>
    </row>
    <row r="66" spans="1:17" ht="12.75" customHeight="1"/>
    <row r="67" spans="1:17" ht="12.75" customHeight="1">
      <c r="B67" s="305" t="s">
        <v>5</v>
      </c>
      <c r="C67" s="593" t="s">
        <v>6</v>
      </c>
      <c r="D67" s="607" t="s">
        <v>7</v>
      </c>
      <c r="E67" s="607"/>
      <c r="F67" s="607" t="s">
        <v>8</v>
      </c>
      <c r="G67" s="607"/>
      <c r="H67" s="607" t="s">
        <v>9</v>
      </c>
      <c r="I67" s="607"/>
      <c r="J67" s="607" t="s">
        <v>10</v>
      </c>
      <c r="K67" s="607"/>
    </row>
    <row r="68" spans="1:17" ht="12.75" customHeight="1">
      <c r="B68" s="306" t="s">
        <v>11</v>
      </c>
      <c r="C68" s="594"/>
      <c r="D68" s="324" t="s">
        <v>12</v>
      </c>
      <c r="E68" s="326" t="s">
        <v>13</v>
      </c>
      <c r="F68" s="287" t="s">
        <v>12</v>
      </c>
      <c r="G68" s="326" t="s">
        <v>13</v>
      </c>
      <c r="H68" s="287" t="s">
        <v>12</v>
      </c>
      <c r="I68" s="326" t="s">
        <v>13</v>
      </c>
      <c r="J68" s="287" t="s">
        <v>12</v>
      </c>
      <c r="K68" s="326" t="s">
        <v>13</v>
      </c>
    </row>
    <row r="69" spans="1:17" ht="15" customHeight="1">
      <c r="B69" s="307" t="s">
        <v>580</v>
      </c>
      <c r="C69" s="26">
        <v>1</v>
      </c>
      <c r="D69" s="287">
        <v>0.9</v>
      </c>
      <c r="E69" s="326">
        <v>1.25</v>
      </c>
      <c r="F69" s="287">
        <v>0.9</v>
      </c>
      <c r="G69" s="326">
        <v>1.25</v>
      </c>
      <c r="H69" s="287">
        <v>0.9</v>
      </c>
      <c r="I69" s="326">
        <v>1.25</v>
      </c>
      <c r="J69" s="287">
        <v>0.9</v>
      </c>
      <c r="K69" s="326">
        <v>1.25</v>
      </c>
    </row>
    <row r="70" spans="1:17" ht="15.75" customHeight="1">
      <c r="B70" s="307" t="s">
        <v>581</v>
      </c>
      <c r="C70" s="26">
        <v>1</v>
      </c>
      <c r="D70" s="287">
        <v>0.65</v>
      </c>
      <c r="E70" s="326">
        <v>1.5</v>
      </c>
      <c r="F70" s="287">
        <v>0.65</v>
      </c>
      <c r="G70" s="326">
        <v>1.5</v>
      </c>
      <c r="H70" s="287">
        <v>0.65</v>
      </c>
      <c r="I70" s="326">
        <v>1.5</v>
      </c>
      <c r="J70" s="287"/>
      <c r="K70" s="326"/>
    </row>
    <row r="71" spans="1:17" ht="15.75" customHeight="1">
      <c r="B71" s="307" t="s">
        <v>582</v>
      </c>
      <c r="C71" s="26">
        <v>1</v>
      </c>
      <c r="D71" s="287">
        <v>1.5</v>
      </c>
      <c r="E71" s="326">
        <v>1.5</v>
      </c>
      <c r="F71" s="287">
        <v>1.5</v>
      </c>
      <c r="G71" s="326">
        <v>1.5</v>
      </c>
      <c r="H71" s="287">
        <v>1.5</v>
      </c>
      <c r="I71" s="326">
        <v>1.5</v>
      </c>
      <c r="J71" s="287"/>
      <c r="K71" s="326"/>
    </row>
    <row r="72" spans="1:17" ht="15" customHeight="1">
      <c r="B72" s="307" t="s">
        <v>586</v>
      </c>
      <c r="C72" s="26">
        <v>1</v>
      </c>
      <c r="D72" s="287">
        <v>1</v>
      </c>
      <c r="E72" s="326">
        <v>1.35</v>
      </c>
      <c r="F72" s="287">
        <v>1</v>
      </c>
      <c r="G72" s="326">
        <v>1.35</v>
      </c>
      <c r="H72" s="287">
        <v>1</v>
      </c>
      <c r="I72" s="326">
        <v>1.35</v>
      </c>
      <c r="J72" s="287">
        <v>1</v>
      </c>
      <c r="K72" s="326">
        <v>1.35</v>
      </c>
    </row>
    <row r="73" spans="1:17" ht="15" customHeight="1">
      <c r="B73" s="307" t="s">
        <v>587</v>
      </c>
      <c r="C73" s="26">
        <v>1</v>
      </c>
      <c r="D73" s="287">
        <v>1.5</v>
      </c>
      <c r="E73" s="326">
        <v>1.5</v>
      </c>
      <c r="F73" s="287">
        <v>1.5</v>
      </c>
      <c r="G73" s="326">
        <v>1.5</v>
      </c>
      <c r="H73" s="287"/>
      <c r="I73" s="326"/>
      <c r="J73" s="287">
        <v>1.5</v>
      </c>
      <c r="K73" s="326">
        <v>1.5</v>
      </c>
    </row>
    <row r="74" spans="1:17" ht="15.75" customHeight="1">
      <c r="B74" s="307" t="s">
        <v>583</v>
      </c>
      <c r="C74" s="26">
        <v>1</v>
      </c>
      <c r="D74" s="287">
        <v>0.75</v>
      </c>
      <c r="E74" s="326">
        <v>1.5</v>
      </c>
      <c r="F74" s="287">
        <v>0.75</v>
      </c>
      <c r="G74" s="326">
        <v>1.5</v>
      </c>
      <c r="H74" s="287">
        <v>0.75</v>
      </c>
      <c r="I74" s="326">
        <v>1.5</v>
      </c>
      <c r="J74" s="287">
        <v>0.75</v>
      </c>
      <c r="K74" s="326">
        <v>1.5</v>
      </c>
    </row>
    <row r="75" spans="1:17" ht="15.75" customHeight="1">
      <c r="B75" s="307" t="s">
        <v>584</v>
      </c>
      <c r="C75" s="26">
        <v>1</v>
      </c>
      <c r="D75" s="287">
        <v>1.5</v>
      </c>
      <c r="E75" s="326">
        <v>1.5</v>
      </c>
      <c r="F75" s="287">
        <v>1.5</v>
      </c>
      <c r="G75" s="326">
        <v>1.5</v>
      </c>
      <c r="H75" s="287">
        <v>1.5</v>
      </c>
      <c r="I75" s="326">
        <v>1.5</v>
      </c>
      <c r="J75" s="287">
        <v>1.5</v>
      </c>
      <c r="K75" s="326">
        <v>1.5</v>
      </c>
    </row>
    <row r="76" spans="1:17" ht="15" customHeight="1">
      <c r="B76" s="307" t="s">
        <v>593</v>
      </c>
      <c r="C76" s="26">
        <v>1</v>
      </c>
      <c r="D76" s="287">
        <v>1.75</v>
      </c>
      <c r="E76" s="326">
        <v>1.75</v>
      </c>
      <c r="F76" s="287"/>
      <c r="G76" s="326"/>
      <c r="H76" s="325">
        <v>0</v>
      </c>
      <c r="I76" s="327">
        <v>0</v>
      </c>
      <c r="J76" s="325">
        <v>0.5</v>
      </c>
      <c r="K76" s="327">
        <v>0.5</v>
      </c>
      <c r="Q76" s="102"/>
    </row>
    <row r="77" spans="1:17" ht="15" customHeight="1">
      <c r="B77" s="307" t="s">
        <v>585</v>
      </c>
      <c r="C77" s="26"/>
      <c r="D77" s="287"/>
      <c r="E77" s="326"/>
      <c r="F77" s="287"/>
      <c r="G77" s="326"/>
      <c r="H77" s="287">
        <v>1</v>
      </c>
      <c r="I77" s="326">
        <v>1</v>
      </c>
      <c r="J77" s="287"/>
      <c r="K77" s="326"/>
    </row>
    <row r="78" spans="1:17" ht="15" customHeight="1">
      <c r="B78" s="307" t="s">
        <v>589</v>
      </c>
      <c r="C78" s="26"/>
      <c r="D78" s="287"/>
      <c r="E78" s="326"/>
      <c r="F78" s="287"/>
      <c r="G78" s="326"/>
      <c r="H78" s="287"/>
      <c r="I78" s="326"/>
      <c r="J78" s="287">
        <v>1</v>
      </c>
      <c r="K78" s="326">
        <v>1</v>
      </c>
      <c r="L78" s="102"/>
    </row>
    <row r="79" spans="1:17" ht="12.75" customHeight="1">
      <c r="L79" s="102"/>
    </row>
    <row r="80" spans="1:17" ht="14.25" customHeight="1">
      <c r="B80" s="37" t="s">
        <v>445</v>
      </c>
      <c r="C80" s="37" t="s">
        <v>588</v>
      </c>
      <c r="L80" s="102"/>
    </row>
    <row r="81" spans="1:12" ht="12.75" customHeight="1">
      <c r="L81" s="102"/>
    </row>
    <row r="82" spans="1:12" ht="12.75" customHeight="1"/>
    <row r="83" spans="1:12" ht="12.75" customHeight="1">
      <c r="A83" s="8" t="s">
        <v>411</v>
      </c>
    </row>
    <row r="84" spans="1:12" ht="12.75" customHeight="1"/>
    <row r="85" spans="1:12" ht="12.75" customHeight="1">
      <c r="A85" s="1" t="s">
        <v>412</v>
      </c>
      <c r="C85" s="593" t="s">
        <v>6</v>
      </c>
      <c r="D85" s="589" t="s">
        <v>7</v>
      </c>
      <c r="E85" s="590"/>
      <c r="F85" s="589" t="s">
        <v>8</v>
      </c>
      <c r="G85" s="590"/>
      <c r="H85" s="589" t="s">
        <v>9</v>
      </c>
      <c r="I85" s="590"/>
      <c r="J85" s="589" t="s">
        <v>10</v>
      </c>
      <c r="K85" s="590"/>
    </row>
    <row r="86" spans="1:12" ht="12.75" customHeight="1">
      <c r="A86" s="10"/>
      <c r="C86" s="594"/>
      <c r="D86" s="313" t="s">
        <v>12</v>
      </c>
      <c r="E86" s="314" t="s">
        <v>13</v>
      </c>
      <c r="F86" s="282" t="s">
        <v>12</v>
      </c>
      <c r="G86" s="314" t="s">
        <v>13</v>
      </c>
      <c r="H86" s="282" t="s">
        <v>12</v>
      </c>
      <c r="I86" s="314" t="s">
        <v>13</v>
      </c>
      <c r="J86" s="282" t="s">
        <v>12</v>
      </c>
      <c r="K86" s="314" t="s">
        <v>13</v>
      </c>
    </row>
    <row r="87" spans="1:12" ht="15.75" customHeight="1">
      <c r="A87" s="168" t="s">
        <v>327</v>
      </c>
      <c r="B87" s="169" t="s">
        <v>332</v>
      </c>
      <c r="C87" s="328">
        <f t="shared" ref="C87:K87" si="1">V3_wall*C69</f>
        <v>0.55096500000000004</v>
      </c>
      <c r="D87" s="329">
        <f t="shared" si="1"/>
        <v>0.49586850000000005</v>
      </c>
      <c r="E87" s="330">
        <f t="shared" si="1"/>
        <v>0.68870625000000008</v>
      </c>
      <c r="F87" s="329">
        <f t="shared" si="1"/>
        <v>0.49586850000000005</v>
      </c>
      <c r="G87" s="330">
        <f t="shared" si="1"/>
        <v>0.68870625000000008</v>
      </c>
      <c r="H87" s="329">
        <f t="shared" si="1"/>
        <v>0.49586850000000005</v>
      </c>
      <c r="I87" s="330">
        <f t="shared" si="1"/>
        <v>0.68870625000000008</v>
      </c>
      <c r="J87" s="329">
        <f t="shared" si="1"/>
        <v>0.49586850000000005</v>
      </c>
      <c r="K87" s="330">
        <f t="shared" si="1"/>
        <v>0.68870625000000008</v>
      </c>
    </row>
    <row r="88" spans="1:12" ht="15.75" customHeight="1">
      <c r="A88" s="56" t="s">
        <v>325</v>
      </c>
      <c r="B88" s="608" t="s">
        <v>333</v>
      </c>
      <c r="C88" s="328">
        <f t="shared" ref="C88:K88" si="2">V1_re*C72</f>
        <v>20.122199999999999</v>
      </c>
      <c r="D88" s="329">
        <f t="shared" si="2"/>
        <v>20.122199999999999</v>
      </c>
      <c r="E88" s="330">
        <f t="shared" si="2"/>
        <v>27.16497</v>
      </c>
      <c r="F88" s="329">
        <f t="shared" si="2"/>
        <v>20.122199999999999</v>
      </c>
      <c r="G88" s="330">
        <f t="shared" si="2"/>
        <v>27.16497</v>
      </c>
      <c r="H88" s="329">
        <f t="shared" si="2"/>
        <v>20.122199999999999</v>
      </c>
      <c r="I88" s="330">
        <f t="shared" si="2"/>
        <v>27.16497</v>
      </c>
      <c r="J88" s="329">
        <f t="shared" si="2"/>
        <v>20.122199999999999</v>
      </c>
      <c r="K88" s="330">
        <f t="shared" si="2"/>
        <v>27.16497</v>
      </c>
    </row>
    <row r="89" spans="1:12" ht="15.75" customHeight="1">
      <c r="A89" s="55" t="s">
        <v>326</v>
      </c>
      <c r="B89" s="609"/>
      <c r="C89" s="328">
        <f t="shared" ref="C89:K89" si="3">V2_fill*C72</f>
        <v>0</v>
      </c>
      <c r="D89" s="329">
        <f t="shared" si="3"/>
        <v>0</v>
      </c>
      <c r="E89" s="330">
        <f t="shared" si="3"/>
        <v>0</v>
      </c>
      <c r="F89" s="329">
        <f t="shared" si="3"/>
        <v>0</v>
      </c>
      <c r="G89" s="330">
        <f t="shared" si="3"/>
        <v>0</v>
      </c>
      <c r="H89" s="329">
        <f t="shared" si="3"/>
        <v>0</v>
      </c>
      <c r="I89" s="330">
        <f t="shared" si="3"/>
        <v>0</v>
      </c>
      <c r="J89" s="329">
        <f t="shared" si="3"/>
        <v>0</v>
      </c>
      <c r="K89" s="330">
        <f t="shared" si="3"/>
        <v>0</v>
      </c>
    </row>
    <row r="90" spans="1:12" ht="15.75" customHeight="1">
      <c r="A90" s="55" t="s">
        <v>408</v>
      </c>
      <c r="B90" s="170" t="s">
        <v>330</v>
      </c>
      <c r="C90" s="328">
        <f t="shared" ref="C90:K90" si="4">Pa_v*C73</f>
        <v>0</v>
      </c>
      <c r="D90" s="329">
        <f t="shared" si="4"/>
        <v>0</v>
      </c>
      <c r="E90" s="330">
        <f t="shared" si="4"/>
        <v>0</v>
      </c>
      <c r="F90" s="329">
        <f t="shared" si="4"/>
        <v>0</v>
      </c>
      <c r="G90" s="330">
        <f t="shared" si="4"/>
        <v>0</v>
      </c>
      <c r="H90" s="329">
        <f t="shared" si="4"/>
        <v>0</v>
      </c>
      <c r="I90" s="330">
        <f t="shared" si="4"/>
        <v>0</v>
      </c>
      <c r="J90" s="329">
        <f t="shared" si="4"/>
        <v>0</v>
      </c>
      <c r="K90" s="330">
        <f t="shared" si="4"/>
        <v>0</v>
      </c>
    </row>
    <row r="91" spans="1:12" ht="15.75" customHeight="1">
      <c r="A91" s="56" t="s">
        <v>617</v>
      </c>
      <c r="B91" s="608" t="s">
        <v>430</v>
      </c>
      <c r="C91" s="328">
        <f t="shared" ref="C91:K91" si="5">Pv_ext*C74</f>
        <v>1.1815</v>
      </c>
      <c r="D91" s="331">
        <f t="shared" si="5"/>
        <v>0.88612500000000005</v>
      </c>
      <c r="E91" s="330">
        <f t="shared" si="5"/>
        <v>1.7722500000000001</v>
      </c>
      <c r="F91" s="331">
        <f t="shared" si="5"/>
        <v>0.88612500000000005</v>
      </c>
      <c r="G91" s="330">
        <f t="shared" si="5"/>
        <v>1.7722500000000001</v>
      </c>
      <c r="H91" s="331">
        <f t="shared" si="5"/>
        <v>0.88612500000000005</v>
      </c>
      <c r="I91" s="330">
        <f t="shared" si="5"/>
        <v>1.7722500000000001</v>
      </c>
      <c r="J91" s="331">
        <f t="shared" si="5"/>
        <v>0.88612500000000005</v>
      </c>
      <c r="K91" s="330">
        <f t="shared" si="5"/>
        <v>1.7722500000000001</v>
      </c>
    </row>
    <row r="92" spans="1:12" ht="19.5" customHeight="1">
      <c r="A92" s="310" t="s">
        <v>699</v>
      </c>
      <c r="B92" s="608"/>
      <c r="C92" s="328">
        <f t="shared" ref="C92:K92" si="6">F_1_q_DW*C74</f>
        <v>0.68489999999999995</v>
      </c>
      <c r="D92" s="329">
        <f t="shared" si="6"/>
        <v>0.51367499999999999</v>
      </c>
      <c r="E92" s="330">
        <f t="shared" si="6"/>
        <v>1.02735</v>
      </c>
      <c r="F92" s="329">
        <f t="shared" si="6"/>
        <v>0.51367499999999999</v>
      </c>
      <c r="G92" s="330">
        <f t="shared" si="6"/>
        <v>1.02735</v>
      </c>
      <c r="H92" s="329">
        <f t="shared" si="6"/>
        <v>0.51367499999999999</v>
      </c>
      <c r="I92" s="330">
        <f t="shared" si="6"/>
        <v>1.02735</v>
      </c>
      <c r="J92" s="329">
        <f t="shared" si="6"/>
        <v>0.51367499999999999</v>
      </c>
      <c r="K92" s="330">
        <f t="shared" si="6"/>
        <v>1.02735</v>
      </c>
    </row>
    <row r="93" spans="1:12" ht="19.5" customHeight="1">
      <c r="A93" s="311" t="s">
        <v>598</v>
      </c>
      <c r="B93" s="609"/>
      <c r="C93" s="328">
        <f t="shared" ref="C93:K93" si="7">F_1_q_ES*C74</f>
        <v>6.0636479999999988</v>
      </c>
      <c r="D93" s="329">
        <f t="shared" si="7"/>
        <v>4.5477359999999987</v>
      </c>
      <c r="E93" s="330">
        <f t="shared" si="7"/>
        <v>9.0954719999999973</v>
      </c>
      <c r="F93" s="329">
        <f t="shared" si="7"/>
        <v>4.5477359999999987</v>
      </c>
      <c r="G93" s="330">
        <f t="shared" si="7"/>
        <v>9.0954719999999973</v>
      </c>
      <c r="H93" s="329">
        <f t="shared" si="7"/>
        <v>4.5477359999999987</v>
      </c>
      <c r="I93" s="330">
        <f t="shared" si="7"/>
        <v>9.0954719999999973</v>
      </c>
      <c r="J93" s="329">
        <f t="shared" si="7"/>
        <v>4.5477359999999987</v>
      </c>
      <c r="K93" s="330">
        <f t="shared" si="7"/>
        <v>9.0954719999999973</v>
      </c>
    </row>
    <row r="94" spans="1:12" ht="19.5" customHeight="1">
      <c r="A94" s="311" t="s">
        <v>592</v>
      </c>
      <c r="B94" s="170" t="s">
        <v>331</v>
      </c>
      <c r="C94" s="328">
        <f t="shared" ref="C94:K94" si="8">F_1_q_LS*C76</f>
        <v>2.7395999999999998</v>
      </c>
      <c r="D94" s="329">
        <f t="shared" si="8"/>
        <v>4.7942999999999998</v>
      </c>
      <c r="E94" s="330">
        <f t="shared" si="8"/>
        <v>4.7942999999999998</v>
      </c>
      <c r="F94" s="329">
        <f t="shared" si="8"/>
        <v>0</v>
      </c>
      <c r="G94" s="330">
        <f t="shared" si="8"/>
        <v>0</v>
      </c>
      <c r="H94" s="329">
        <f t="shared" si="8"/>
        <v>0</v>
      </c>
      <c r="I94" s="330">
        <f t="shared" si="8"/>
        <v>0</v>
      </c>
      <c r="J94" s="329">
        <f t="shared" si="8"/>
        <v>1.3697999999999999</v>
      </c>
      <c r="K94" s="330">
        <f t="shared" si="8"/>
        <v>1.3697999999999999</v>
      </c>
    </row>
    <row r="95" spans="1:12" ht="16.5" customHeight="1" thickBot="1">
      <c r="A95" s="315" t="s">
        <v>19</v>
      </c>
      <c r="B95" s="316" t="s">
        <v>334</v>
      </c>
      <c r="C95" s="332">
        <f t="shared" ref="C95:K95" si="9">Half_PAEv*C77</f>
        <v>0</v>
      </c>
      <c r="D95" s="333">
        <f t="shared" si="9"/>
        <v>0</v>
      </c>
      <c r="E95" s="334">
        <f t="shared" si="9"/>
        <v>0</v>
      </c>
      <c r="F95" s="333">
        <f t="shared" si="9"/>
        <v>0</v>
      </c>
      <c r="G95" s="334">
        <f t="shared" si="9"/>
        <v>0</v>
      </c>
      <c r="H95" s="333">
        <f t="shared" si="9"/>
        <v>0</v>
      </c>
      <c r="I95" s="334">
        <f t="shared" si="9"/>
        <v>0</v>
      </c>
      <c r="J95" s="333">
        <f t="shared" si="9"/>
        <v>0</v>
      </c>
      <c r="K95" s="334">
        <f t="shared" si="9"/>
        <v>0</v>
      </c>
    </row>
    <row r="96" spans="1:12" ht="16.5" customHeight="1" thickTop="1">
      <c r="A96" s="614" t="s">
        <v>448</v>
      </c>
      <c r="B96" s="615"/>
      <c r="C96" s="378">
        <f>SUM(C87:C95)</f>
        <v>31.342812999999996</v>
      </c>
      <c r="D96" s="379">
        <f t="shared" ref="D96:K96" si="10">SUM(D87:D95)</f>
        <v>31.359904499999999</v>
      </c>
      <c r="E96" s="380">
        <f t="shared" si="10"/>
        <v>44.543048249999991</v>
      </c>
      <c r="F96" s="379">
        <f t="shared" si="10"/>
        <v>26.565604499999999</v>
      </c>
      <c r="G96" s="380">
        <f t="shared" si="10"/>
        <v>39.748748249999991</v>
      </c>
      <c r="H96" s="379">
        <f t="shared" si="10"/>
        <v>26.565604499999999</v>
      </c>
      <c r="I96" s="380">
        <f t="shared" si="10"/>
        <v>39.748748249999991</v>
      </c>
      <c r="J96" s="379">
        <f t="shared" si="10"/>
        <v>27.935404500000001</v>
      </c>
      <c r="K96" s="380">
        <f t="shared" si="10"/>
        <v>41.118548249999989</v>
      </c>
      <c r="L96" s="37" t="s">
        <v>52</v>
      </c>
    </row>
    <row r="97" spans="1:17" ht="15.75" customHeight="1">
      <c r="A97" s="625" t="s">
        <v>449</v>
      </c>
      <c r="B97" s="626"/>
      <c r="C97" s="370">
        <f>SUM(C87:C93,C95)</f>
        <v>28.603212999999997</v>
      </c>
      <c r="D97" s="371">
        <f t="shared" ref="D97:K97" si="11">SUM(D87:D93,D95)</f>
        <v>26.565604499999999</v>
      </c>
      <c r="E97" s="372">
        <f t="shared" si="11"/>
        <v>39.748748249999991</v>
      </c>
      <c r="F97" s="371">
        <f t="shared" si="11"/>
        <v>26.565604499999999</v>
      </c>
      <c r="G97" s="372">
        <f t="shared" si="11"/>
        <v>39.748748249999991</v>
      </c>
      <c r="H97" s="371">
        <f t="shared" si="11"/>
        <v>26.565604499999999</v>
      </c>
      <c r="I97" s="372">
        <f t="shared" si="11"/>
        <v>39.748748249999991</v>
      </c>
      <c r="J97" s="371">
        <f t="shared" si="11"/>
        <v>26.565604499999999</v>
      </c>
      <c r="K97" s="372">
        <f t="shared" si="11"/>
        <v>39.748748249999991</v>
      </c>
      <c r="L97" s="37" t="s">
        <v>52</v>
      </c>
    </row>
    <row r="98" spans="1:17" ht="12.75" customHeight="1">
      <c r="C98" s="17"/>
      <c r="D98" s="17"/>
      <c r="E98" s="17"/>
      <c r="F98" s="17"/>
      <c r="G98" s="17"/>
      <c r="H98" s="17"/>
      <c r="I98" s="17"/>
      <c r="J98" s="17"/>
      <c r="K98" s="17"/>
    </row>
    <row r="99" spans="1:17" ht="12.75" customHeight="1">
      <c r="A99" s="1" t="s">
        <v>413</v>
      </c>
      <c r="C99" s="593" t="s">
        <v>6</v>
      </c>
      <c r="D99" s="587" t="s">
        <v>7</v>
      </c>
      <c r="E99" s="588"/>
      <c r="F99" s="587" t="s">
        <v>8</v>
      </c>
      <c r="G99" s="588"/>
      <c r="H99" s="587" t="s">
        <v>9</v>
      </c>
      <c r="I99" s="588"/>
      <c r="J99" s="587" t="s">
        <v>10</v>
      </c>
      <c r="K99" s="588"/>
      <c r="L99" s="102"/>
    </row>
    <row r="100" spans="1:17" ht="12.75" customHeight="1">
      <c r="A100" s="10"/>
      <c r="C100" s="594"/>
      <c r="D100" s="318" t="s">
        <v>12</v>
      </c>
      <c r="E100" s="319" t="s">
        <v>13</v>
      </c>
      <c r="F100" s="284" t="s">
        <v>12</v>
      </c>
      <c r="G100" s="319" t="s">
        <v>13</v>
      </c>
      <c r="H100" s="284" t="s">
        <v>12</v>
      </c>
      <c r="I100" s="319" t="s">
        <v>13</v>
      </c>
      <c r="J100" s="284" t="s">
        <v>12</v>
      </c>
      <c r="K100" s="319" t="s">
        <v>13</v>
      </c>
    </row>
    <row r="101" spans="1:17" ht="15.75" customHeight="1">
      <c r="A101" s="54" t="s">
        <v>407</v>
      </c>
      <c r="B101" s="243" t="s">
        <v>330</v>
      </c>
      <c r="C101" s="335">
        <f t="shared" ref="C101:K101" si="12">Pa_h*C73</f>
        <v>5.112121000000001</v>
      </c>
      <c r="D101" s="329">
        <f t="shared" si="12"/>
        <v>7.6681815000000011</v>
      </c>
      <c r="E101" s="330">
        <f t="shared" si="12"/>
        <v>7.6681815000000011</v>
      </c>
      <c r="F101" s="329">
        <f t="shared" si="12"/>
        <v>7.6681815000000011</v>
      </c>
      <c r="G101" s="330">
        <f t="shared" si="12"/>
        <v>7.6681815000000011</v>
      </c>
      <c r="H101" s="329">
        <f t="shared" si="12"/>
        <v>0</v>
      </c>
      <c r="I101" s="330">
        <f t="shared" si="12"/>
        <v>0</v>
      </c>
      <c r="J101" s="329">
        <f t="shared" si="12"/>
        <v>7.6681815000000011</v>
      </c>
      <c r="K101" s="330">
        <f t="shared" si="12"/>
        <v>7.6681815000000011</v>
      </c>
    </row>
    <row r="102" spans="1:17" ht="19.5" customHeight="1">
      <c r="A102" s="312" t="s">
        <v>700</v>
      </c>
      <c r="B102" s="627" t="s">
        <v>442</v>
      </c>
      <c r="C102" s="328">
        <f t="shared" ref="C102:K102" si="13">F_2_q_DW*C75</f>
        <v>0.33915000000000006</v>
      </c>
      <c r="D102" s="329">
        <f t="shared" si="13"/>
        <v>0.50872500000000009</v>
      </c>
      <c r="E102" s="330">
        <f t="shared" si="13"/>
        <v>0.50872500000000009</v>
      </c>
      <c r="F102" s="329">
        <f t="shared" si="13"/>
        <v>0.50872500000000009</v>
      </c>
      <c r="G102" s="330">
        <f t="shared" si="13"/>
        <v>0.50872500000000009</v>
      </c>
      <c r="H102" s="329">
        <f t="shared" si="13"/>
        <v>0.50872500000000009</v>
      </c>
      <c r="I102" s="330">
        <f t="shared" si="13"/>
        <v>0.50872500000000009</v>
      </c>
      <c r="J102" s="329">
        <f t="shared" si="13"/>
        <v>0.50872500000000009</v>
      </c>
      <c r="K102" s="330">
        <f t="shared" si="13"/>
        <v>0.50872500000000009</v>
      </c>
    </row>
    <row r="103" spans="1:17" ht="15.75" customHeight="1">
      <c r="A103" s="56" t="s">
        <v>385</v>
      </c>
      <c r="B103" s="628"/>
      <c r="C103" s="328">
        <f t="shared" ref="C103:K103" si="14">PH1_a*C75</f>
        <v>0.7</v>
      </c>
      <c r="D103" s="329">
        <f t="shared" si="14"/>
        <v>1.0499999999999998</v>
      </c>
      <c r="E103" s="330">
        <f t="shared" si="14"/>
        <v>1.0499999999999998</v>
      </c>
      <c r="F103" s="329">
        <f t="shared" si="14"/>
        <v>1.0499999999999998</v>
      </c>
      <c r="G103" s="330">
        <f t="shared" si="14"/>
        <v>1.0499999999999998</v>
      </c>
      <c r="H103" s="329">
        <f t="shared" si="14"/>
        <v>1.0499999999999998</v>
      </c>
      <c r="I103" s="330">
        <f t="shared" si="14"/>
        <v>1.0499999999999998</v>
      </c>
      <c r="J103" s="329">
        <f t="shared" si="14"/>
        <v>1.0499999999999998</v>
      </c>
      <c r="K103" s="330">
        <f t="shared" si="14"/>
        <v>1.0499999999999998</v>
      </c>
    </row>
    <row r="104" spans="1:17" ht="15.75" customHeight="1">
      <c r="A104" s="55" t="s">
        <v>571</v>
      </c>
      <c r="B104" s="629"/>
      <c r="C104" s="328">
        <f t="shared" ref="C104:K104" si="15">Fp*C75</f>
        <v>0</v>
      </c>
      <c r="D104" s="331">
        <f t="shared" si="15"/>
        <v>0</v>
      </c>
      <c r="E104" s="330">
        <f t="shared" si="15"/>
        <v>0</v>
      </c>
      <c r="F104" s="331">
        <f t="shared" si="15"/>
        <v>0</v>
      </c>
      <c r="G104" s="330">
        <f t="shared" si="15"/>
        <v>0</v>
      </c>
      <c r="H104" s="331">
        <f t="shared" si="15"/>
        <v>0</v>
      </c>
      <c r="I104" s="330">
        <f t="shared" si="15"/>
        <v>0</v>
      </c>
      <c r="J104" s="331">
        <f t="shared" si="15"/>
        <v>0</v>
      </c>
      <c r="K104" s="330">
        <f t="shared" si="15"/>
        <v>0</v>
      </c>
    </row>
    <row r="105" spans="1:17" ht="19.5" customHeight="1">
      <c r="A105" s="311" t="s">
        <v>596</v>
      </c>
      <c r="B105" s="170" t="s">
        <v>331</v>
      </c>
      <c r="C105" s="335">
        <f t="shared" ref="C105:K105" si="16">F_2_q_LS*C76</f>
        <v>1.3566000000000003</v>
      </c>
      <c r="D105" s="329">
        <f t="shared" si="16"/>
        <v>2.3740500000000004</v>
      </c>
      <c r="E105" s="330">
        <f t="shared" si="16"/>
        <v>2.3740500000000004</v>
      </c>
      <c r="F105" s="329">
        <f t="shared" si="16"/>
        <v>0</v>
      </c>
      <c r="G105" s="330">
        <f t="shared" si="16"/>
        <v>0</v>
      </c>
      <c r="H105" s="329">
        <f t="shared" si="16"/>
        <v>0</v>
      </c>
      <c r="I105" s="330">
        <f t="shared" si="16"/>
        <v>0</v>
      </c>
      <c r="J105" s="329">
        <f t="shared" si="16"/>
        <v>0.67830000000000013</v>
      </c>
      <c r="K105" s="330">
        <f t="shared" si="16"/>
        <v>0.67830000000000013</v>
      </c>
    </row>
    <row r="106" spans="1:17" ht="15.75" customHeight="1">
      <c r="A106" s="56" t="s">
        <v>322</v>
      </c>
      <c r="B106" s="608" t="s">
        <v>334</v>
      </c>
      <c r="C106" s="335">
        <f t="shared" ref="C106:K106" si="17">Pir*C77</f>
        <v>0</v>
      </c>
      <c r="D106" s="329">
        <f t="shared" si="17"/>
        <v>0</v>
      </c>
      <c r="E106" s="330">
        <f t="shared" si="17"/>
        <v>0</v>
      </c>
      <c r="F106" s="329">
        <f t="shared" si="17"/>
        <v>0</v>
      </c>
      <c r="G106" s="330">
        <f t="shared" si="17"/>
        <v>0</v>
      </c>
      <c r="H106" s="329">
        <f t="shared" si="17"/>
        <v>0.75827157000000001</v>
      </c>
      <c r="I106" s="330">
        <f t="shared" si="17"/>
        <v>0.75827157000000001</v>
      </c>
      <c r="J106" s="329">
        <f t="shared" si="17"/>
        <v>0</v>
      </c>
      <c r="K106" s="330">
        <f t="shared" si="17"/>
        <v>0</v>
      </c>
    </row>
    <row r="107" spans="1:17" ht="15.75" customHeight="1">
      <c r="A107" s="56" t="s">
        <v>323</v>
      </c>
      <c r="B107" s="608"/>
      <c r="C107" s="335">
        <f t="shared" ref="C107:K107" si="18">Pis*C77</f>
        <v>0</v>
      </c>
      <c r="D107" s="329">
        <f t="shared" si="18"/>
        <v>0</v>
      </c>
      <c r="E107" s="330">
        <f t="shared" si="18"/>
        <v>0</v>
      </c>
      <c r="F107" s="329">
        <f t="shared" si="18"/>
        <v>0</v>
      </c>
      <c r="G107" s="330">
        <f t="shared" si="18"/>
        <v>0</v>
      </c>
      <c r="H107" s="329">
        <f t="shared" si="18"/>
        <v>0</v>
      </c>
      <c r="I107" s="330">
        <f t="shared" si="18"/>
        <v>0</v>
      </c>
      <c r="J107" s="329">
        <f t="shared" si="18"/>
        <v>0</v>
      </c>
      <c r="K107" s="330">
        <f t="shared" si="18"/>
        <v>0</v>
      </c>
    </row>
    <row r="108" spans="1:17" ht="15.75" customHeight="1">
      <c r="A108" s="55" t="s">
        <v>434</v>
      </c>
      <c r="B108" s="609"/>
      <c r="C108" s="335">
        <f t="shared" ref="C108:K108" si="19">Half_PAEh*C77</f>
        <v>0</v>
      </c>
      <c r="D108" s="329">
        <f t="shared" si="19"/>
        <v>0</v>
      </c>
      <c r="E108" s="330">
        <f t="shared" si="19"/>
        <v>0</v>
      </c>
      <c r="F108" s="329">
        <f t="shared" si="19"/>
        <v>0</v>
      </c>
      <c r="G108" s="330">
        <f t="shared" si="19"/>
        <v>0</v>
      </c>
      <c r="H108" s="329">
        <f t="shared" si="19"/>
        <v>0.40257952874999986</v>
      </c>
      <c r="I108" s="330">
        <f t="shared" si="19"/>
        <v>0.40257952874999986</v>
      </c>
      <c r="J108" s="329">
        <f t="shared" si="19"/>
        <v>0</v>
      </c>
      <c r="K108" s="330">
        <f t="shared" si="19"/>
        <v>0</v>
      </c>
    </row>
    <row r="109" spans="1:17" ht="15.75" customHeight="1">
      <c r="A109" s="54" t="s">
        <v>329</v>
      </c>
      <c r="B109" s="610" t="s">
        <v>335</v>
      </c>
      <c r="C109" s="335">
        <f t="shared" ref="C109:K109" si="20">PH_1*C78</f>
        <v>0</v>
      </c>
      <c r="D109" s="329">
        <f t="shared" si="20"/>
        <v>0</v>
      </c>
      <c r="E109" s="330">
        <f t="shared" si="20"/>
        <v>0</v>
      </c>
      <c r="F109" s="329">
        <f t="shared" si="20"/>
        <v>0</v>
      </c>
      <c r="G109" s="330">
        <f t="shared" si="20"/>
        <v>0</v>
      </c>
      <c r="H109" s="329">
        <f t="shared" si="20"/>
        <v>0</v>
      </c>
      <c r="I109" s="330">
        <f t="shared" si="20"/>
        <v>0</v>
      </c>
      <c r="J109" s="329">
        <f t="shared" si="20"/>
        <v>0</v>
      </c>
      <c r="K109" s="330">
        <f t="shared" si="20"/>
        <v>0</v>
      </c>
    </row>
    <row r="110" spans="1:17" ht="16.5" customHeight="1" thickBot="1">
      <c r="A110" s="317" t="s">
        <v>328</v>
      </c>
      <c r="B110" s="611"/>
      <c r="C110" s="336">
        <f t="shared" ref="C110:K110" si="21">PH_2*C78</f>
        <v>0</v>
      </c>
      <c r="D110" s="333">
        <f t="shared" si="21"/>
        <v>0</v>
      </c>
      <c r="E110" s="334">
        <f t="shared" si="21"/>
        <v>0</v>
      </c>
      <c r="F110" s="333">
        <f t="shared" si="21"/>
        <v>0</v>
      </c>
      <c r="G110" s="334">
        <f t="shared" si="21"/>
        <v>0</v>
      </c>
      <c r="H110" s="333">
        <f t="shared" si="21"/>
        <v>0</v>
      </c>
      <c r="I110" s="334">
        <f t="shared" si="21"/>
        <v>0</v>
      </c>
      <c r="J110" s="333">
        <f t="shared" si="21"/>
        <v>0</v>
      </c>
      <c r="K110" s="334">
        <f t="shared" si="21"/>
        <v>0</v>
      </c>
    </row>
    <row r="111" spans="1:17" ht="13.5" customHeight="1" thickTop="1">
      <c r="A111" s="625" t="s">
        <v>450</v>
      </c>
      <c r="B111" s="626"/>
      <c r="C111" s="373">
        <f>SUM(C101:C110)</f>
        <v>7.5078710000000015</v>
      </c>
      <c r="D111" s="374">
        <f t="shared" ref="D111:K111" si="22">SUM(D101:D110)</f>
        <v>11.600956500000002</v>
      </c>
      <c r="E111" s="375">
        <f t="shared" si="22"/>
        <v>11.600956500000002</v>
      </c>
      <c r="F111" s="376">
        <f t="shared" si="22"/>
        <v>9.2269065000000019</v>
      </c>
      <c r="G111" s="377">
        <f t="shared" si="22"/>
        <v>9.2269065000000019</v>
      </c>
      <c r="H111" s="374">
        <f t="shared" si="22"/>
        <v>2.7195760987499997</v>
      </c>
      <c r="I111" s="375">
        <f t="shared" si="22"/>
        <v>2.7195760987499997</v>
      </c>
      <c r="J111" s="376">
        <f t="shared" si="22"/>
        <v>9.905206500000002</v>
      </c>
      <c r="K111" s="377">
        <f t="shared" si="22"/>
        <v>9.905206500000002</v>
      </c>
      <c r="L111" s="37" t="s">
        <v>52</v>
      </c>
      <c r="Q111" s="102"/>
    </row>
    <row r="112" spans="1:17" ht="12.75" customHeight="1"/>
    <row r="113" spans="1:13" ht="12.75" customHeight="1"/>
    <row r="114" spans="1:13" ht="12.75" customHeight="1">
      <c r="A114" s="8" t="s">
        <v>414</v>
      </c>
    </row>
    <row r="115" spans="1:13" ht="12.75" customHeight="1"/>
    <row r="116" spans="1:13" ht="12.75" customHeight="1">
      <c r="A116" s="1" t="s">
        <v>415</v>
      </c>
    </row>
    <row r="117" spans="1:13" ht="12.75" customHeight="1">
      <c r="D117" s="114"/>
      <c r="E117" s="114"/>
      <c r="F117" s="114"/>
      <c r="G117" s="114"/>
      <c r="H117" s="114"/>
      <c r="I117" s="114"/>
      <c r="J117" s="114"/>
      <c r="K117" s="114"/>
      <c r="L117" s="114"/>
    </row>
    <row r="118" spans="1:13" ht="12.75" customHeight="1">
      <c r="A118" s="37" t="s">
        <v>705</v>
      </c>
      <c r="C118" s="15" t="s">
        <v>26</v>
      </c>
      <c r="D118" s="593" t="s">
        <v>6</v>
      </c>
      <c r="E118" s="589" t="s">
        <v>7</v>
      </c>
      <c r="F118" s="590"/>
      <c r="G118" s="589" t="s">
        <v>8</v>
      </c>
      <c r="H118" s="590"/>
      <c r="I118" s="589" t="s">
        <v>9</v>
      </c>
      <c r="J118" s="590"/>
      <c r="K118" s="589" t="s">
        <v>10</v>
      </c>
      <c r="L118" s="590"/>
    </row>
    <row r="119" spans="1:13" ht="12.75" customHeight="1">
      <c r="A119" s="37" t="s">
        <v>447</v>
      </c>
      <c r="C119" s="28" t="s">
        <v>28</v>
      </c>
      <c r="D119" s="594"/>
      <c r="E119" s="254" t="s">
        <v>12</v>
      </c>
      <c r="F119" s="320" t="s">
        <v>13</v>
      </c>
      <c r="G119" s="60" t="s">
        <v>12</v>
      </c>
      <c r="H119" s="320" t="s">
        <v>13</v>
      </c>
      <c r="I119" s="60" t="s">
        <v>12</v>
      </c>
      <c r="J119" s="320" t="s">
        <v>13</v>
      </c>
      <c r="K119" s="60" t="s">
        <v>12</v>
      </c>
      <c r="L119" s="320" t="s">
        <v>13</v>
      </c>
    </row>
    <row r="120" spans="1:13" ht="15.75" customHeight="1">
      <c r="A120" s="168" t="s">
        <v>327</v>
      </c>
      <c r="B120" s="172" t="s">
        <v>332</v>
      </c>
      <c r="C120" s="335">
        <f>L32</f>
        <v>0.23</v>
      </c>
      <c r="D120" s="335">
        <f t="shared" ref="D120:D126" si="23">$C120*C87</f>
        <v>0.12672195000000003</v>
      </c>
      <c r="E120" s="329">
        <f t="shared" ref="E120:L120" si="24">$C120*D87</f>
        <v>0.11404975500000002</v>
      </c>
      <c r="F120" s="330">
        <f t="shared" si="24"/>
        <v>0.15840243750000002</v>
      </c>
      <c r="G120" s="329">
        <f t="shared" si="24"/>
        <v>0.11404975500000002</v>
      </c>
      <c r="H120" s="330">
        <f t="shared" si="24"/>
        <v>0.15840243750000002</v>
      </c>
      <c r="I120" s="329">
        <f t="shared" si="24"/>
        <v>0.11404975500000002</v>
      </c>
      <c r="J120" s="330">
        <f t="shared" si="24"/>
        <v>0.15840243750000002</v>
      </c>
      <c r="K120" s="329">
        <f t="shared" si="24"/>
        <v>0.11404975500000002</v>
      </c>
      <c r="L120" s="330">
        <f t="shared" si="24"/>
        <v>0.15840243750000002</v>
      </c>
    </row>
    <row r="121" spans="1:13" ht="15.75" customHeight="1">
      <c r="A121" s="56" t="s">
        <v>325</v>
      </c>
      <c r="B121" s="608" t="s">
        <v>333</v>
      </c>
      <c r="C121" s="335">
        <f>L30</f>
        <v>10.96</v>
      </c>
      <c r="D121" s="335">
        <f t="shared" si="23"/>
        <v>220.53931200000002</v>
      </c>
      <c r="E121" s="329">
        <f t="shared" ref="E121:L121" si="25">$C121*D88</f>
        <v>220.53931200000002</v>
      </c>
      <c r="F121" s="330">
        <f t="shared" si="25"/>
        <v>297.72807120000004</v>
      </c>
      <c r="G121" s="329">
        <f t="shared" si="25"/>
        <v>220.53931200000002</v>
      </c>
      <c r="H121" s="330">
        <f t="shared" si="25"/>
        <v>297.72807120000004</v>
      </c>
      <c r="I121" s="329">
        <f t="shared" si="25"/>
        <v>220.53931200000002</v>
      </c>
      <c r="J121" s="330">
        <f t="shared" si="25"/>
        <v>297.72807120000004</v>
      </c>
      <c r="K121" s="329">
        <f t="shared" si="25"/>
        <v>220.53931200000002</v>
      </c>
      <c r="L121" s="330">
        <f t="shared" si="25"/>
        <v>297.72807120000004</v>
      </c>
    </row>
    <row r="122" spans="1:13" ht="15.75" customHeight="1">
      <c r="A122" s="55" t="s">
        <v>326</v>
      </c>
      <c r="B122" s="609"/>
      <c r="C122" s="335">
        <f>L31</f>
        <v>14.46</v>
      </c>
      <c r="D122" s="335">
        <f t="shared" si="23"/>
        <v>0</v>
      </c>
      <c r="E122" s="329">
        <f t="shared" ref="E122:L122" si="26">$C122*D89</f>
        <v>0</v>
      </c>
      <c r="F122" s="330">
        <f t="shared" si="26"/>
        <v>0</v>
      </c>
      <c r="G122" s="329">
        <f t="shared" si="26"/>
        <v>0</v>
      </c>
      <c r="H122" s="330">
        <f t="shared" si="26"/>
        <v>0</v>
      </c>
      <c r="I122" s="329">
        <f t="shared" si="26"/>
        <v>0</v>
      </c>
      <c r="J122" s="330">
        <f t="shared" si="26"/>
        <v>0</v>
      </c>
      <c r="K122" s="329">
        <f t="shared" si="26"/>
        <v>0</v>
      </c>
      <c r="L122" s="330">
        <f t="shared" si="26"/>
        <v>0</v>
      </c>
    </row>
    <row r="123" spans="1:13" ht="15.75" customHeight="1">
      <c r="A123" s="55" t="s">
        <v>408</v>
      </c>
      <c r="B123" s="171" t="s">
        <v>330</v>
      </c>
      <c r="C123" s="335">
        <f>L29</f>
        <v>21.46</v>
      </c>
      <c r="D123" s="335">
        <f t="shared" si="23"/>
        <v>0</v>
      </c>
      <c r="E123" s="329">
        <f t="shared" ref="E123:L123" si="27">$C123*D90</f>
        <v>0</v>
      </c>
      <c r="F123" s="330">
        <f t="shared" si="27"/>
        <v>0</v>
      </c>
      <c r="G123" s="329">
        <f t="shared" si="27"/>
        <v>0</v>
      </c>
      <c r="H123" s="330">
        <f t="shared" si="27"/>
        <v>0</v>
      </c>
      <c r="I123" s="329">
        <f t="shared" si="27"/>
        <v>0</v>
      </c>
      <c r="J123" s="330">
        <f t="shared" si="27"/>
        <v>0</v>
      </c>
      <c r="K123" s="329">
        <f t="shared" si="27"/>
        <v>0</v>
      </c>
      <c r="L123" s="330">
        <f t="shared" si="27"/>
        <v>0</v>
      </c>
    </row>
    <row r="124" spans="1:13" ht="15.75" customHeight="1">
      <c r="A124" s="56" t="s">
        <v>617</v>
      </c>
      <c r="B124" s="608" t="s">
        <v>430</v>
      </c>
      <c r="C124" s="335">
        <f>L48</f>
        <v>3.6150000000000002</v>
      </c>
      <c r="D124" s="335">
        <f t="shared" si="23"/>
        <v>4.2711225000000006</v>
      </c>
      <c r="E124" s="329">
        <f t="shared" ref="E124:L124" si="28">$C124*D91</f>
        <v>3.2033418750000004</v>
      </c>
      <c r="F124" s="330">
        <f t="shared" si="28"/>
        <v>6.4066837500000009</v>
      </c>
      <c r="G124" s="329">
        <f t="shared" si="28"/>
        <v>3.2033418750000004</v>
      </c>
      <c r="H124" s="330">
        <f t="shared" si="28"/>
        <v>6.4066837500000009</v>
      </c>
      <c r="I124" s="329">
        <f t="shared" si="28"/>
        <v>3.2033418750000004</v>
      </c>
      <c r="J124" s="330">
        <f t="shared" si="28"/>
        <v>6.4066837500000009</v>
      </c>
      <c r="K124" s="329">
        <f t="shared" si="28"/>
        <v>3.2033418750000004</v>
      </c>
      <c r="L124" s="330">
        <f t="shared" si="28"/>
        <v>6.4066837500000009</v>
      </c>
    </row>
    <row r="125" spans="1:13" ht="19.5" customHeight="1">
      <c r="A125" s="310" t="s">
        <v>699</v>
      </c>
      <c r="B125" s="608"/>
      <c r="C125" s="335">
        <f>L40</f>
        <v>13.850000000000001</v>
      </c>
      <c r="D125" s="335">
        <f t="shared" si="23"/>
        <v>9.4858650000000004</v>
      </c>
      <c r="E125" s="329">
        <f t="shared" ref="E125:L125" si="29">$C125*D92</f>
        <v>7.1143987500000003</v>
      </c>
      <c r="F125" s="330">
        <f t="shared" si="29"/>
        <v>14.228797500000001</v>
      </c>
      <c r="G125" s="329">
        <f t="shared" si="29"/>
        <v>7.1143987500000003</v>
      </c>
      <c r="H125" s="330">
        <f t="shared" si="29"/>
        <v>14.228797500000001</v>
      </c>
      <c r="I125" s="329">
        <f t="shared" si="29"/>
        <v>7.1143987500000003</v>
      </c>
      <c r="J125" s="330">
        <f t="shared" si="29"/>
        <v>14.228797500000001</v>
      </c>
      <c r="K125" s="329">
        <f t="shared" si="29"/>
        <v>7.1143987500000003</v>
      </c>
      <c r="L125" s="330">
        <f t="shared" si="29"/>
        <v>14.228797500000001</v>
      </c>
    </row>
    <row r="126" spans="1:13" ht="19.5" customHeight="1">
      <c r="A126" s="311" t="s">
        <v>598</v>
      </c>
      <c r="B126" s="609"/>
      <c r="C126" s="335">
        <f>L45</f>
        <v>13.85</v>
      </c>
      <c r="D126" s="335">
        <f t="shared" si="23"/>
        <v>83.981524799999988</v>
      </c>
      <c r="E126" s="329">
        <f t="shared" ref="E126:L126" si="30">$C126*D93</f>
        <v>62.986143599999977</v>
      </c>
      <c r="F126" s="330">
        <f t="shared" si="30"/>
        <v>125.97228719999995</v>
      </c>
      <c r="G126" s="329">
        <f t="shared" si="30"/>
        <v>62.986143599999977</v>
      </c>
      <c r="H126" s="330">
        <f t="shared" si="30"/>
        <v>125.97228719999995</v>
      </c>
      <c r="I126" s="329">
        <f t="shared" si="30"/>
        <v>62.986143599999977</v>
      </c>
      <c r="J126" s="330">
        <f t="shared" si="30"/>
        <v>125.97228719999995</v>
      </c>
      <c r="K126" s="329">
        <f t="shared" si="30"/>
        <v>62.986143599999977</v>
      </c>
      <c r="L126" s="330">
        <f t="shared" si="30"/>
        <v>125.97228719999995</v>
      </c>
    </row>
    <row r="127" spans="1:13" ht="16.5" customHeight="1" thickBot="1">
      <c r="A127" s="315" t="s">
        <v>435</v>
      </c>
      <c r="B127" s="356" t="s">
        <v>334</v>
      </c>
      <c r="C127" s="336">
        <f>L61</f>
        <v>21.46</v>
      </c>
      <c r="D127" s="336">
        <f>$C127*C95</f>
        <v>0</v>
      </c>
      <c r="E127" s="333">
        <f t="shared" ref="E127:L127" si="31">$C127*D95</f>
        <v>0</v>
      </c>
      <c r="F127" s="334">
        <f t="shared" si="31"/>
        <v>0</v>
      </c>
      <c r="G127" s="333">
        <f t="shared" si="31"/>
        <v>0</v>
      </c>
      <c r="H127" s="334">
        <f t="shared" si="31"/>
        <v>0</v>
      </c>
      <c r="I127" s="333">
        <f t="shared" si="31"/>
        <v>0</v>
      </c>
      <c r="J127" s="334">
        <f t="shared" si="31"/>
        <v>0</v>
      </c>
      <c r="K127" s="333">
        <f t="shared" si="31"/>
        <v>0</v>
      </c>
      <c r="L127" s="334">
        <f t="shared" si="31"/>
        <v>0</v>
      </c>
    </row>
    <row r="128" spans="1:13" ht="16.5" customHeight="1" thickTop="1">
      <c r="A128" s="625" t="s">
        <v>451</v>
      </c>
      <c r="B128" s="626"/>
      <c r="C128" s="369"/>
      <c r="D128" s="370">
        <f>SUM(D120:D127)</f>
        <v>318.40454624999995</v>
      </c>
      <c r="E128" s="371">
        <f t="shared" ref="E128:L128" si="32">SUM(E120:E127)</f>
        <v>293.95724597999998</v>
      </c>
      <c r="F128" s="372">
        <f t="shared" si="32"/>
        <v>444.49424208749997</v>
      </c>
      <c r="G128" s="371">
        <f t="shared" si="32"/>
        <v>293.95724597999998</v>
      </c>
      <c r="H128" s="372">
        <f t="shared" si="32"/>
        <v>444.49424208749997</v>
      </c>
      <c r="I128" s="371">
        <f t="shared" si="32"/>
        <v>293.95724597999998</v>
      </c>
      <c r="J128" s="372">
        <f t="shared" si="32"/>
        <v>444.49424208749997</v>
      </c>
      <c r="K128" s="371">
        <f t="shared" si="32"/>
        <v>293.95724597999998</v>
      </c>
      <c r="L128" s="372">
        <f t="shared" si="32"/>
        <v>444.49424208749997</v>
      </c>
      <c r="M128" s="37" t="s">
        <v>446</v>
      </c>
    </row>
    <row r="129" spans="1:24" ht="12.75" customHeight="1">
      <c r="C129" s="17"/>
      <c r="D129" s="17"/>
      <c r="E129" s="17"/>
      <c r="F129" s="17"/>
      <c r="G129" s="17"/>
      <c r="H129" s="17"/>
      <c r="I129" s="17"/>
      <c r="J129" s="17"/>
      <c r="K129" s="17"/>
      <c r="L129" s="17"/>
    </row>
    <row r="130" spans="1:24" ht="12.75" customHeight="1">
      <c r="A130" s="37" t="s">
        <v>706</v>
      </c>
      <c r="C130" s="25" t="s">
        <v>26</v>
      </c>
      <c r="D130" s="593" t="s">
        <v>6</v>
      </c>
      <c r="E130" s="587" t="s">
        <v>7</v>
      </c>
      <c r="F130" s="588"/>
      <c r="G130" s="587" t="s">
        <v>8</v>
      </c>
      <c r="H130" s="588"/>
      <c r="I130" s="587" t="s">
        <v>9</v>
      </c>
      <c r="J130" s="588"/>
      <c r="K130" s="587" t="s">
        <v>10</v>
      </c>
      <c r="L130" s="588"/>
    </row>
    <row r="131" spans="1:24" ht="12.75" customHeight="1">
      <c r="A131" s="37" t="s">
        <v>447</v>
      </c>
      <c r="C131" s="27" t="s">
        <v>27</v>
      </c>
      <c r="D131" s="594"/>
      <c r="E131" s="321" t="s">
        <v>12</v>
      </c>
      <c r="F131" s="323" t="s">
        <v>13</v>
      </c>
      <c r="G131" s="322" t="s">
        <v>12</v>
      </c>
      <c r="H131" s="323" t="s">
        <v>13</v>
      </c>
      <c r="I131" s="322" t="s">
        <v>12</v>
      </c>
      <c r="J131" s="323" t="s">
        <v>13</v>
      </c>
      <c r="K131" s="322" t="s">
        <v>12</v>
      </c>
      <c r="L131" s="323" t="s">
        <v>13</v>
      </c>
    </row>
    <row r="132" spans="1:24" ht="15.75" customHeight="1">
      <c r="A132" s="54" t="s">
        <v>407</v>
      </c>
      <c r="B132" s="243" t="s">
        <v>330</v>
      </c>
      <c r="C132" s="335">
        <f>L28</f>
        <v>7.5366666666666662</v>
      </c>
      <c r="D132" s="335">
        <f t="shared" ref="D132:D141" si="33">$C132*C101</f>
        <v>38.528351936666674</v>
      </c>
      <c r="E132" s="329">
        <f t="shared" ref="E132:L132" si="34">$C132*D101</f>
        <v>57.792527905000007</v>
      </c>
      <c r="F132" s="330">
        <f t="shared" si="34"/>
        <v>57.792527905000007</v>
      </c>
      <c r="G132" s="329">
        <f t="shared" si="34"/>
        <v>57.792527905000007</v>
      </c>
      <c r="H132" s="330">
        <f t="shared" si="34"/>
        <v>57.792527905000007</v>
      </c>
      <c r="I132" s="329">
        <f t="shared" si="34"/>
        <v>0</v>
      </c>
      <c r="J132" s="330">
        <f t="shared" si="34"/>
        <v>0</v>
      </c>
      <c r="K132" s="329">
        <f t="shared" si="34"/>
        <v>57.792527905000007</v>
      </c>
      <c r="L132" s="330">
        <f t="shared" si="34"/>
        <v>57.792527905000007</v>
      </c>
    </row>
    <row r="133" spans="1:24" ht="19.5" customHeight="1">
      <c r="A133" s="312" t="s">
        <v>700</v>
      </c>
      <c r="B133" s="627" t="s">
        <v>442</v>
      </c>
      <c r="C133" s="328">
        <f>L41</f>
        <v>11.305</v>
      </c>
      <c r="D133" s="335">
        <f t="shared" si="33"/>
        <v>3.8340907500000005</v>
      </c>
      <c r="E133" s="329">
        <f t="shared" ref="E133:L134" si="35">$C133*D102</f>
        <v>5.7511361250000013</v>
      </c>
      <c r="F133" s="330">
        <f t="shared" si="35"/>
        <v>5.7511361250000013</v>
      </c>
      <c r="G133" s="329">
        <f t="shared" si="35"/>
        <v>5.7511361250000013</v>
      </c>
      <c r="H133" s="330">
        <f t="shared" si="35"/>
        <v>5.7511361250000013</v>
      </c>
      <c r="I133" s="329">
        <f t="shared" si="35"/>
        <v>5.7511361250000013</v>
      </c>
      <c r="J133" s="330">
        <f t="shared" si="35"/>
        <v>5.7511361250000013</v>
      </c>
      <c r="K133" s="329">
        <f t="shared" si="35"/>
        <v>5.7511361250000013</v>
      </c>
      <c r="L133" s="330">
        <f t="shared" si="35"/>
        <v>5.7511361250000013</v>
      </c>
    </row>
    <row r="134" spans="1:24" ht="15.75" customHeight="1">
      <c r="A134" s="56" t="s">
        <v>385</v>
      </c>
      <c r="B134" s="628"/>
      <c r="C134" s="328">
        <f>L50</f>
        <v>12.346467010099401</v>
      </c>
      <c r="D134" s="335">
        <f t="shared" si="33"/>
        <v>8.6425269070695805</v>
      </c>
      <c r="E134" s="329">
        <f t="shared" si="35"/>
        <v>12.963790360604369</v>
      </c>
      <c r="F134" s="330">
        <f t="shared" si="35"/>
        <v>12.963790360604369</v>
      </c>
      <c r="G134" s="329">
        <f t="shared" si="35"/>
        <v>12.963790360604369</v>
      </c>
      <c r="H134" s="330">
        <f t="shared" si="35"/>
        <v>12.963790360604369</v>
      </c>
      <c r="I134" s="329">
        <f t="shared" si="35"/>
        <v>12.963790360604369</v>
      </c>
      <c r="J134" s="330">
        <f t="shared" si="35"/>
        <v>12.963790360604369</v>
      </c>
      <c r="K134" s="329">
        <f t="shared" si="35"/>
        <v>12.963790360604369</v>
      </c>
      <c r="L134" s="330">
        <f t="shared" si="35"/>
        <v>12.963790360604369</v>
      </c>
    </row>
    <row r="135" spans="1:24" ht="15.75" customHeight="1">
      <c r="A135" s="55" t="s">
        <v>571</v>
      </c>
      <c r="B135" s="629"/>
      <c r="C135" s="328">
        <f>L49</f>
        <v>0</v>
      </c>
      <c r="D135" s="335">
        <f t="shared" si="33"/>
        <v>0</v>
      </c>
      <c r="E135" s="329">
        <f t="shared" ref="E135:L135" si="36">$C135*D104</f>
        <v>0</v>
      </c>
      <c r="F135" s="330">
        <f t="shared" si="36"/>
        <v>0</v>
      </c>
      <c r="G135" s="329">
        <f t="shared" si="36"/>
        <v>0</v>
      </c>
      <c r="H135" s="330">
        <f t="shared" si="36"/>
        <v>0</v>
      </c>
      <c r="I135" s="329">
        <f t="shared" si="36"/>
        <v>0</v>
      </c>
      <c r="J135" s="330">
        <f t="shared" si="36"/>
        <v>0</v>
      </c>
      <c r="K135" s="329">
        <f t="shared" si="36"/>
        <v>0</v>
      </c>
      <c r="L135" s="330">
        <f t="shared" si="36"/>
        <v>0</v>
      </c>
    </row>
    <row r="136" spans="1:24" ht="19.5" customHeight="1">
      <c r="A136" s="311" t="s">
        <v>596</v>
      </c>
      <c r="B136" s="170" t="s">
        <v>331</v>
      </c>
      <c r="C136" s="335">
        <f>L36</f>
        <v>11.305</v>
      </c>
      <c r="D136" s="335">
        <f t="shared" si="33"/>
        <v>15.336363000000002</v>
      </c>
      <c r="E136" s="329">
        <f t="shared" ref="E136:L141" si="37">$C136*D105</f>
        <v>26.838635250000003</v>
      </c>
      <c r="F136" s="330">
        <f t="shared" si="37"/>
        <v>26.838635250000003</v>
      </c>
      <c r="G136" s="329">
        <f t="shared" si="37"/>
        <v>0</v>
      </c>
      <c r="H136" s="330">
        <f t="shared" si="37"/>
        <v>0</v>
      </c>
      <c r="I136" s="329">
        <f t="shared" si="37"/>
        <v>0</v>
      </c>
      <c r="J136" s="330">
        <f t="shared" si="37"/>
        <v>0</v>
      </c>
      <c r="K136" s="329">
        <f t="shared" si="37"/>
        <v>7.6681815000000011</v>
      </c>
      <c r="L136" s="330">
        <f t="shared" si="37"/>
        <v>7.6681815000000011</v>
      </c>
    </row>
    <row r="137" spans="1:24" ht="15.75" customHeight="1">
      <c r="A137" s="56" t="s">
        <v>322</v>
      </c>
      <c r="B137" s="608" t="s">
        <v>334</v>
      </c>
      <c r="C137" s="335">
        <f>L57</f>
        <v>7.9850000000000003</v>
      </c>
      <c r="D137" s="335">
        <f t="shared" si="33"/>
        <v>0</v>
      </c>
      <c r="E137" s="329">
        <f t="shared" si="37"/>
        <v>0</v>
      </c>
      <c r="F137" s="330">
        <f t="shared" si="37"/>
        <v>0</v>
      </c>
      <c r="G137" s="329">
        <f t="shared" si="37"/>
        <v>0</v>
      </c>
      <c r="H137" s="330">
        <f t="shared" si="37"/>
        <v>0</v>
      </c>
      <c r="I137" s="329">
        <f t="shared" si="37"/>
        <v>6.0547984864500002</v>
      </c>
      <c r="J137" s="330">
        <f t="shared" si="37"/>
        <v>6.0547984864500002</v>
      </c>
      <c r="K137" s="329">
        <f t="shared" si="37"/>
        <v>0</v>
      </c>
      <c r="L137" s="330">
        <f t="shared" si="37"/>
        <v>0</v>
      </c>
    </row>
    <row r="138" spans="1:24" ht="15.75" customHeight="1">
      <c r="A138" s="56" t="s">
        <v>323</v>
      </c>
      <c r="B138" s="608"/>
      <c r="C138" s="335">
        <f>L58</f>
        <v>18.183333333333334</v>
      </c>
      <c r="D138" s="335">
        <f t="shared" si="33"/>
        <v>0</v>
      </c>
      <c r="E138" s="329">
        <f t="shared" si="37"/>
        <v>0</v>
      </c>
      <c r="F138" s="330">
        <f t="shared" si="37"/>
        <v>0</v>
      </c>
      <c r="G138" s="329">
        <f t="shared" si="37"/>
        <v>0</v>
      </c>
      <c r="H138" s="330">
        <f t="shared" si="37"/>
        <v>0</v>
      </c>
      <c r="I138" s="329">
        <f t="shared" si="37"/>
        <v>0</v>
      </c>
      <c r="J138" s="330">
        <f t="shared" si="37"/>
        <v>0</v>
      </c>
      <c r="K138" s="329">
        <f t="shared" si="37"/>
        <v>0</v>
      </c>
      <c r="L138" s="330">
        <f t="shared" si="37"/>
        <v>0</v>
      </c>
    </row>
    <row r="139" spans="1:24" ht="15.75" customHeight="1">
      <c r="A139" s="55" t="s">
        <v>434</v>
      </c>
      <c r="B139" s="609"/>
      <c r="C139" s="335">
        <f>L60</f>
        <v>13.565999999999999</v>
      </c>
      <c r="D139" s="335">
        <f t="shared" si="33"/>
        <v>0</v>
      </c>
      <c r="E139" s="329">
        <f t="shared" si="37"/>
        <v>0</v>
      </c>
      <c r="F139" s="330">
        <f t="shared" si="37"/>
        <v>0</v>
      </c>
      <c r="G139" s="329">
        <f t="shared" si="37"/>
        <v>0</v>
      </c>
      <c r="H139" s="330">
        <f t="shared" si="37"/>
        <v>0</v>
      </c>
      <c r="I139" s="329">
        <f t="shared" si="37"/>
        <v>5.4613938870224974</v>
      </c>
      <c r="J139" s="330">
        <f t="shared" si="37"/>
        <v>5.4613938870224974</v>
      </c>
      <c r="K139" s="329">
        <f t="shared" si="37"/>
        <v>0</v>
      </c>
      <c r="L139" s="330">
        <f t="shared" si="37"/>
        <v>0</v>
      </c>
    </row>
    <row r="140" spans="1:24" ht="15.75" customHeight="1">
      <c r="A140" s="54" t="s">
        <v>329</v>
      </c>
      <c r="B140" s="610" t="s">
        <v>335</v>
      </c>
      <c r="C140" s="335">
        <f>L51</f>
        <v>18.9864670100994</v>
      </c>
      <c r="D140" s="335">
        <f t="shared" si="33"/>
        <v>0</v>
      </c>
      <c r="E140" s="329">
        <f t="shared" si="37"/>
        <v>0</v>
      </c>
      <c r="F140" s="330">
        <f t="shared" si="37"/>
        <v>0</v>
      </c>
      <c r="G140" s="329">
        <f t="shared" si="37"/>
        <v>0</v>
      </c>
      <c r="H140" s="330">
        <f t="shared" si="37"/>
        <v>0</v>
      </c>
      <c r="I140" s="329">
        <f t="shared" si="37"/>
        <v>0</v>
      </c>
      <c r="J140" s="330">
        <f t="shared" si="37"/>
        <v>0</v>
      </c>
      <c r="K140" s="329">
        <f t="shared" si="37"/>
        <v>0</v>
      </c>
      <c r="L140" s="330">
        <f t="shared" si="37"/>
        <v>0</v>
      </c>
    </row>
    <row r="141" spans="1:24" ht="16.5" customHeight="1" thickBot="1">
      <c r="A141" s="317" t="s">
        <v>328</v>
      </c>
      <c r="B141" s="611"/>
      <c r="C141" s="336">
        <f>L53</f>
        <v>22.61</v>
      </c>
      <c r="D141" s="336">
        <f t="shared" si="33"/>
        <v>0</v>
      </c>
      <c r="E141" s="333">
        <f t="shared" si="37"/>
        <v>0</v>
      </c>
      <c r="F141" s="334">
        <f t="shared" si="37"/>
        <v>0</v>
      </c>
      <c r="G141" s="333">
        <f t="shared" si="37"/>
        <v>0</v>
      </c>
      <c r="H141" s="334">
        <f t="shared" si="37"/>
        <v>0</v>
      </c>
      <c r="I141" s="333">
        <f t="shared" si="37"/>
        <v>0</v>
      </c>
      <c r="J141" s="334">
        <f t="shared" si="37"/>
        <v>0</v>
      </c>
      <c r="K141" s="333">
        <f t="shared" si="37"/>
        <v>0</v>
      </c>
      <c r="L141" s="334">
        <f t="shared" si="37"/>
        <v>0</v>
      </c>
    </row>
    <row r="142" spans="1:24" ht="16.5" customHeight="1" thickTop="1">
      <c r="A142" s="625" t="s">
        <v>452</v>
      </c>
      <c r="B142" s="626"/>
      <c r="C142" s="369"/>
      <c r="D142" s="370">
        <f>SUM(D132:D141)</f>
        <v>66.341332593736254</v>
      </c>
      <c r="E142" s="371">
        <f t="shared" ref="E142:L142" si="38">SUM(E132:E141)</f>
        <v>103.34608964060439</v>
      </c>
      <c r="F142" s="372">
        <f t="shared" si="38"/>
        <v>103.34608964060439</v>
      </c>
      <c r="G142" s="371">
        <f t="shared" si="38"/>
        <v>76.50745439060438</v>
      </c>
      <c r="H142" s="372">
        <f t="shared" si="38"/>
        <v>76.50745439060438</v>
      </c>
      <c r="I142" s="371">
        <f t="shared" si="38"/>
        <v>30.231118859076865</v>
      </c>
      <c r="J142" s="372">
        <f t="shared" si="38"/>
        <v>30.231118859076865</v>
      </c>
      <c r="K142" s="371">
        <f t="shared" si="38"/>
        <v>84.175635890604383</v>
      </c>
      <c r="L142" s="372">
        <f t="shared" si="38"/>
        <v>84.175635890604383</v>
      </c>
      <c r="M142" s="37" t="s">
        <v>446</v>
      </c>
      <c r="X142" s="37"/>
    </row>
    <row r="143" spans="1:24" ht="12.75" customHeight="1">
      <c r="V143" s="37"/>
      <c r="W143" s="261"/>
      <c r="X143" s="262"/>
    </row>
    <row r="144" spans="1:24" ht="12.75" customHeight="1">
      <c r="V144" s="37"/>
      <c r="W144" s="37"/>
      <c r="X144" s="262"/>
    </row>
    <row r="145" spans="1:24" ht="12.75" customHeight="1">
      <c r="A145" s="1" t="s">
        <v>416</v>
      </c>
      <c r="W145" s="37"/>
      <c r="X145" s="262"/>
    </row>
    <row r="146" spans="1:24" ht="12.75" customHeight="1">
      <c r="C146" s="178">
        <v>1</v>
      </c>
      <c r="D146" s="178">
        <v>2</v>
      </c>
      <c r="E146" s="178">
        <v>3</v>
      </c>
      <c r="F146" s="178">
        <v>4</v>
      </c>
      <c r="G146" s="178">
        <v>5</v>
      </c>
      <c r="H146" s="178">
        <v>6</v>
      </c>
      <c r="I146" s="178">
        <v>7</v>
      </c>
      <c r="J146" s="178">
        <v>8</v>
      </c>
      <c r="K146" s="178">
        <v>9</v>
      </c>
      <c r="V146" s="37"/>
      <c r="W146" s="37"/>
      <c r="X146" s="262"/>
    </row>
    <row r="147" spans="1:24" ht="12.75" customHeight="1">
      <c r="C147" s="58" t="s">
        <v>6</v>
      </c>
      <c r="D147" s="591" t="s">
        <v>7</v>
      </c>
      <c r="E147" s="592"/>
      <c r="F147" s="591" t="s">
        <v>8</v>
      </c>
      <c r="G147" s="592"/>
      <c r="H147" s="591" t="s">
        <v>9</v>
      </c>
      <c r="I147" s="592"/>
      <c r="J147" s="591" t="s">
        <v>10</v>
      </c>
      <c r="K147" s="592"/>
      <c r="W147" s="37"/>
      <c r="X147" s="262"/>
    </row>
    <row r="148" spans="1:24" ht="12.75" customHeight="1">
      <c r="C148" s="14"/>
      <c r="D148" s="254" t="s">
        <v>12</v>
      </c>
      <c r="E148" s="320" t="s">
        <v>13</v>
      </c>
      <c r="F148" s="60" t="s">
        <v>12</v>
      </c>
      <c r="G148" s="320" t="s">
        <v>13</v>
      </c>
      <c r="H148" s="60" t="s">
        <v>12</v>
      </c>
      <c r="I148" s="320" t="s">
        <v>13</v>
      </c>
      <c r="J148" s="60" t="s">
        <v>12</v>
      </c>
      <c r="K148" s="320" t="s">
        <v>13</v>
      </c>
      <c r="V148" s="37"/>
      <c r="W148" s="37"/>
      <c r="X148" s="262"/>
    </row>
    <row r="149" spans="1:24" ht="12.75" customHeight="1">
      <c r="A149" s="168" t="s">
        <v>463</v>
      </c>
      <c r="B149" s="281" t="s">
        <v>154</v>
      </c>
      <c r="C149" s="348">
        <f>C97</f>
        <v>28.603212999999997</v>
      </c>
      <c r="D149" s="349">
        <f t="shared" ref="D149:K149" si="39">D97</f>
        <v>26.565604499999999</v>
      </c>
      <c r="E149" s="347">
        <f t="shared" si="39"/>
        <v>39.748748249999991</v>
      </c>
      <c r="F149" s="349">
        <f t="shared" si="39"/>
        <v>26.565604499999999</v>
      </c>
      <c r="G149" s="347">
        <f t="shared" si="39"/>
        <v>39.748748249999991</v>
      </c>
      <c r="H149" s="349">
        <f t="shared" si="39"/>
        <v>26.565604499999999</v>
      </c>
      <c r="I149" s="347">
        <f t="shared" si="39"/>
        <v>39.748748249999991</v>
      </c>
      <c r="J149" s="349">
        <f t="shared" si="39"/>
        <v>26.565604499999999</v>
      </c>
      <c r="K149" s="347">
        <f t="shared" si="39"/>
        <v>39.748748249999991</v>
      </c>
      <c r="W149" s="37"/>
      <c r="X149" s="262"/>
    </row>
    <row r="150" spans="1:24" ht="15.75" customHeight="1">
      <c r="A150" s="66" t="s">
        <v>31</v>
      </c>
      <c r="B150" s="283" t="s">
        <v>42</v>
      </c>
      <c r="C150" s="348">
        <f>(D128-D142)/C149</f>
        <v>8.8124090694378889</v>
      </c>
      <c r="D150" s="349">
        <f t="shared" ref="D150:K150" si="40">(E128-E142)/D149</f>
        <v>7.1751108219425461</v>
      </c>
      <c r="E150" s="347">
        <f t="shared" si="40"/>
        <v>8.5826137291479512</v>
      </c>
      <c r="F150" s="349">
        <f t="shared" si="40"/>
        <v>8.1853884254504958</v>
      </c>
      <c r="G150" s="347">
        <f t="shared" si="40"/>
        <v>9.2578207842531413</v>
      </c>
      <c r="H150" s="349">
        <f t="shared" si="40"/>
        <v>9.9273527587495014</v>
      </c>
      <c r="I150" s="347">
        <f t="shared" si="40"/>
        <v>10.422041987911486</v>
      </c>
      <c r="J150" s="349">
        <f t="shared" si="40"/>
        <v>7.8967376815910812</v>
      </c>
      <c r="K150" s="347">
        <f t="shared" si="40"/>
        <v>9.0649044827945158</v>
      </c>
      <c r="V150" s="37"/>
      <c r="W150" s="37"/>
      <c r="X150" s="262"/>
    </row>
    <row r="151" spans="1:24" ht="15.75" customHeight="1">
      <c r="A151" s="66" t="s">
        <v>29</v>
      </c>
      <c r="B151" s="283" t="s">
        <v>42</v>
      </c>
      <c r="C151" s="348">
        <f t="shared" ref="C151:K151" si="41">Base_theor/2-C150</f>
        <v>1.9175909305621115</v>
      </c>
      <c r="D151" s="349">
        <f t="shared" si="41"/>
        <v>3.5548891780574543</v>
      </c>
      <c r="E151" s="347">
        <f t="shared" si="41"/>
        <v>2.1473862708520493</v>
      </c>
      <c r="F151" s="349">
        <f t="shared" si="41"/>
        <v>2.5446115745495046</v>
      </c>
      <c r="G151" s="347">
        <f t="shared" si="41"/>
        <v>1.4721792157468592</v>
      </c>
      <c r="H151" s="349">
        <f t="shared" si="41"/>
        <v>0.80264724125049902</v>
      </c>
      <c r="I151" s="347">
        <f t="shared" si="41"/>
        <v>0.30795801208851437</v>
      </c>
      <c r="J151" s="349">
        <f t="shared" si="41"/>
        <v>2.8332623184089192</v>
      </c>
      <c r="K151" s="347">
        <f t="shared" si="41"/>
        <v>1.6650955172054847</v>
      </c>
      <c r="W151" s="37"/>
      <c r="X151" s="262"/>
    </row>
    <row r="152" spans="1:24" ht="15.75" customHeight="1">
      <c r="A152" s="168" t="s">
        <v>459</v>
      </c>
      <c r="B152" s="283" t="s">
        <v>42</v>
      </c>
      <c r="C152" s="348">
        <f t="shared" ref="C152:K152" si="42">IF(base_matl="r",Base_theor*(0.9*0.5),Base_theor*1/3)</f>
        <v>7.1533333333333333</v>
      </c>
      <c r="D152" s="349">
        <f t="shared" si="42"/>
        <v>7.1533333333333333</v>
      </c>
      <c r="E152" s="347">
        <f t="shared" si="42"/>
        <v>7.1533333333333333</v>
      </c>
      <c r="F152" s="349">
        <f t="shared" si="42"/>
        <v>7.1533333333333333</v>
      </c>
      <c r="G152" s="347">
        <f t="shared" si="42"/>
        <v>7.1533333333333333</v>
      </c>
      <c r="H152" s="349">
        <f t="shared" si="42"/>
        <v>7.1533333333333333</v>
      </c>
      <c r="I152" s="347">
        <f t="shared" si="42"/>
        <v>7.1533333333333333</v>
      </c>
      <c r="J152" s="349">
        <f t="shared" si="42"/>
        <v>7.1533333333333333</v>
      </c>
      <c r="K152" s="347">
        <f t="shared" si="42"/>
        <v>7.1533333333333333</v>
      </c>
      <c r="L152" s="9"/>
    </row>
    <row r="153" spans="1:24" ht="12.75" customHeight="1">
      <c r="A153" s="168" t="s">
        <v>466</v>
      </c>
      <c r="B153" s="357"/>
      <c r="C153" s="348">
        <f>C152/ABS(C151)</f>
        <v>3.7303750342813973</v>
      </c>
      <c r="D153" s="349">
        <f t="shared" ref="D153:K153" si="43">D152/ABS(D151)</f>
        <v>2.0122521336212862</v>
      </c>
      <c r="E153" s="347">
        <f t="shared" si="43"/>
        <v>3.3311814601920702</v>
      </c>
      <c r="F153" s="349">
        <f t="shared" si="43"/>
        <v>2.8111690620599932</v>
      </c>
      <c r="G153" s="347">
        <f t="shared" si="43"/>
        <v>4.8590098656598251</v>
      </c>
      <c r="H153" s="349">
        <f t="shared" si="43"/>
        <v>8.912175817347439</v>
      </c>
      <c r="I153" s="347">
        <f t="shared" si="43"/>
        <v>23.228274805453989</v>
      </c>
      <c r="J153" s="349">
        <f t="shared" si="43"/>
        <v>2.5247691633969302</v>
      </c>
      <c r="K153" s="347">
        <f t="shared" si="43"/>
        <v>4.2960498418365276</v>
      </c>
      <c r="N153" s="22"/>
    </row>
    <row r="154" spans="1:24" ht="13.5" customHeight="1" thickBot="1">
      <c r="A154" s="358" t="s">
        <v>113</v>
      </c>
      <c r="B154" s="359"/>
      <c r="C154" s="360">
        <f>IF(C153=MIN($C$153:$K$153,WORKSHEET_CONSTR!$C$96:$I$96),1,0)</f>
        <v>0</v>
      </c>
      <c r="D154" s="361">
        <f>IF(D153=MIN($C$153:$K$153,WORKSHEET_CONSTR!$C$96:$I$96),1,0)</f>
        <v>1</v>
      </c>
      <c r="E154" s="362">
        <f>IF(E153=MIN($C$153:$K$153,WORKSHEET_CONSTR!$C$96:$I$96),1,0)</f>
        <v>0</v>
      </c>
      <c r="F154" s="361">
        <f>IF(F153=MIN($C$153:$K$153,WORKSHEET_CONSTR!$C$96:$I$96),1,0)</f>
        <v>0</v>
      </c>
      <c r="G154" s="362">
        <f>IF(G153=MIN($C$153:$K$153,WORKSHEET_CONSTR!$C$96:$I$96),1,0)</f>
        <v>0</v>
      </c>
      <c r="H154" s="361">
        <f>IF(H153=MIN($C$153:$K$153,WORKSHEET_CONSTR!$C$96:$I$96),1,0)</f>
        <v>0</v>
      </c>
      <c r="I154" s="362">
        <f>IF(I153=MIN($C$153:$K$153,WORKSHEET_CONSTR!$C$96:$I$96),1,0)</f>
        <v>0</v>
      </c>
      <c r="J154" s="361">
        <f>IF(J153=MIN($C$153:$K$153,WORKSHEET_CONSTR!$C$96:$I$96),1,0)</f>
        <v>0</v>
      </c>
      <c r="K154" s="362">
        <f>IF(K153=MIN($C$153:$K$153,WORKSHEET_CONSTR!$C$96:$I$96),1,0)</f>
        <v>0</v>
      </c>
      <c r="L154" s="102" t="str">
        <f>IF(OR(C154=1,D154=1,E154=1,F154=1,G154=1,H154=1,I154=1,J154=1,K154=1)=TRUE(),"","CONSTRUCTION LOADING CONTROLS.")</f>
        <v/>
      </c>
    </row>
    <row r="155" spans="1:24" ht="16.5" customHeight="1" thickTop="1">
      <c r="A155" s="367" t="s">
        <v>460</v>
      </c>
      <c r="B155" s="368"/>
      <c r="C155" s="432" t="str">
        <f>IF(C151&lt;=C152,"OK","NG!")</f>
        <v>OK</v>
      </c>
      <c r="D155" s="433" t="str">
        <f t="shared" ref="D155:K155" si="44">IF(D151&lt;=D152,"OK","NG!")</f>
        <v>OK</v>
      </c>
      <c r="E155" s="434" t="str">
        <f t="shared" si="44"/>
        <v>OK</v>
      </c>
      <c r="F155" s="433" t="str">
        <f t="shared" si="44"/>
        <v>OK</v>
      </c>
      <c r="G155" s="434" t="str">
        <f t="shared" si="44"/>
        <v>OK</v>
      </c>
      <c r="H155" s="433" t="str">
        <f t="shared" si="44"/>
        <v>OK</v>
      </c>
      <c r="I155" s="434" t="str">
        <f t="shared" si="44"/>
        <v>OK</v>
      </c>
      <c r="J155" s="433" t="str">
        <f t="shared" si="44"/>
        <v>OK</v>
      </c>
      <c r="K155" s="434" t="str">
        <f t="shared" si="44"/>
        <v>OK</v>
      </c>
    </row>
    <row r="156" spans="1:24" ht="12.75" customHeight="1">
      <c r="C156" s="22"/>
      <c r="D156" s="22"/>
      <c r="E156" s="22"/>
      <c r="F156" s="22"/>
      <c r="G156" s="22"/>
      <c r="H156" s="22"/>
      <c r="I156" s="22"/>
      <c r="J156" s="22"/>
      <c r="K156" s="22"/>
    </row>
    <row r="157" spans="1:24" s="9" customFormat="1" ht="12.75" customHeight="1">
      <c r="C157" s="23"/>
      <c r="D157" s="23"/>
      <c r="E157" s="23"/>
      <c r="F157" s="23"/>
      <c r="G157" s="23"/>
      <c r="H157" s="23"/>
      <c r="I157" s="23"/>
      <c r="J157" s="23"/>
      <c r="K157" s="23"/>
    </row>
    <row r="158" spans="1:24" ht="12.75" customHeight="1">
      <c r="A158" s="1" t="s">
        <v>417</v>
      </c>
      <c r="C158" s="22"/>
      <c r="D158" s="22"/>
      <c r="E158" s="22"/>
      <c r="F158" s="22"/>
      <c r="G158" s="22"/>
      <c r="H158" s="22"/>
      <c r="I158" s="22"/>
      <c r="J158" s="22"/>
      <c r="K158" s="22"/>
    </row>
    <row r="159" spans="1:24" ht="12.75" customHeight="1">
      <c r="C159" s="22"/>
      <c r="D159" s="22"/>
      <c r="E159" s="22"/>
      <c r="F159" s="22"/>
      <c r="G159" s="22"/>
      <c r="H159" s="22"/>
      <c r="I159" s="22"/>
      <c r="J159" s="22"/>
      <c r="K159" s="22"/>
    </row>
    <row r="160" spans="1:24" ht="14.25" customHeight="1">
      <c r="A160" t="s">
        <v>32</v>
      </c>
      <c r="C160" s="22"/>
      <c r="D160" s="138" t="s">
        <v>453</v>
      </c>
      <c r="E160" s="22"/>
      <c r="F160" s="37" t="s">
        <v>456</v>
      </c>
      <c r="G160" s="22"/>
      <c r="H160" s="22"/>
      <c r="I160" s="22"/>
      <c r="J160" s="22"/>
      <c r="K160" s="22"/>
    </row>
    <row r="161" spans="1:12" ht="15.75" customHeight="1">
      <c r="A161" t="s">
        <v>62</v>
      </c>
      <c r="C161" s="22"/>
      <c r="D161" s="138" t="s">
        <v>454</v>
      </c>
      <c r="E161" s="22"/>
      <c r="F161" s="37" t="s">
        <v>455</v>
      </c>
      <c r="G161" s="22"/>
      <c r="H161" s="22"/>
      <c r="I161" s="22"/>
      <c r="J161" s="22"/>
      <c r="K161" s="22"/>
    </row>
    <row r="162" spans="1:12" ht="12.75" customHeight="1">
      <c r="C162" s="22"/>
      <c r="D162" s="22"/>
      <c r="E162" s="22"/>
      <c r="F162" s="138"/>
      <c r="G162" s="22"/>
      <c r="H162" s="22"/>
      <c r="I162" s="22"/>
      <c r="J162" s="22"/>
      <c r="K162" s="22"/>
    </row>
    <row r="163" spans="1:12" ht="15.75" customHeight="1">
      <c r="A163" s="13" t="s">
        <v>458</v>
      </c>
      <c r="C163" s="22"/>
      <c r="D163" s="363">
        <f>IF(Reinf_cont="y",MIN(PHI_base,PHI_reinf,IF(rho="",2/3*PHI_base,rho)),MIN(PHI_base,PHI_reinf))</f>
        <v>31</v>
      </c>
      <c r="E163" s="174" t="s">
        <v>3</v>
      </c>
      <c r="F163" s="37" t="s">
        <v>457</v>
      </c>
      <c r="G163" s="22"/>
      <c r="H163" s="22"/>
      <c r="I163" s="22"/>
      <c r="J163" s="22"/>
      <c r="K163" s="22"/>
    </row>
    <row r="164" spans="1:12" ht="15.75" customHeight="1">
      <c r="A164" s="142" t="s">
        <v>470</v>
      </c>
      <c r="B164" s="9"/>
      <c r="C164" s="23"/>
      <c r="D164" s="294">
        <f>IF(cohesion=0,0,MIN(cohesion*(0.21+0.27/cohesion),1))</f>
        <v>0</v>
      </c>
      <c r="E164" s="175" t="s">
        <v>153</v>
      </c>
      <c r="F164" s="301" t="s">
        <v>707</v>
      </c>
      <c r="G164" s="22"/>
      <c r="H164" s="22"/>
      <c r="I164" s="22"/>
      <c r="J164" s="22"/>
      <c r="K164" s="22"/>
    </row>
    <row r="165" spans="1:12" ht="12.75" customHeight="1">
      <c r="C165" s="22"/>
      <c r="D165" s="22"/>
      <c r="E165" s="22"/>
      <c r="F165" s="22"/>
      <c r="G165" s="22"/>
      <c r="H165" s="22"/>
      <c r="I165" s="22"/>
      <c r="J165" s="22"/>
      <c r="K165" s="22"/>
    </row>
    <row r="166" spans="1:12" ht="12.75" customHeight="1">
      <c r="C166" s="593" t="s">
        <v>6</v>
      </c>
      <c r="D166" s="587" t="s">
        <v>7</v>
      </c>
      <c r="E166" s="588"/>
      <c r="F166" s="587" t="s">
        <v>8</v>
      </c>
      <c r="G166" s="588"/>
      <c r="H166" s="587" t="s">
        <v>9</v>
      </c>
      <c r="I166" s="588"/>
      <c r="J166" s="587" t="s">
        <v>10</v>
      </c>
      <c r="K166" s="588"/>
    </row>
    <row r="167" spans="1:12" ht="12.75" customHeight="1">
      <c r="C167" s="594"/>
      <c r="D167" s="321" t="s">
        <v>12</v>
      </c>
      <c r="E167" s="323" t="s">
        <v>13</v>
      </c>
      <c r="F167" s="322" t="s">
        <v>12</v>
      </c>
      <c r="G167" s="323" t="s">
        <v>13</v>
      </c>
      <c r="H167" s="322" t="s">
        <v>12</v>
      </c>
      <c r="I167" s="323" t="s">
        <v>13</v>
      </c>
      <c r="J167" s="322" t="s">
        <v>12</v>
      </c>
      <c r="K167" s="323" t="s">
        <v>13</v>
      </c>
    </row>
    <row r="168" spans="1:12" ht="12.75" customHeight="1">
      <c r="A168" s="168" t="s">
        <v>463</v>
      </c>
      <c r="B168" s="281" t="s">
        <v>154</v>
      </c>
      <c r="C168" s="335">
        <f>C97</f>
        <v>28.603212999999997</v>
      </c>
      <c r="D168" s="329">
        <f t="shared" ref="D168:K168" si="45">D97</f>
        <v>26.565604499999999</v>
      </c>
      <c r="E168" s="330">
        <f t="shared" si="45"/>
        <v>39.748748249999991</v>
      </c>
      <c r="F168" s="329">
        <f t="shared" si="45"/>
        <v>26.565604499999999</v>
      </c>
      <c r="G168" s="330">
        <f t="shared" si="45"/>
        <v>39.748748249999991</v>
      </c>
      <c r="H168" s="329">
        <f t="shared" si="45"/>
        <v>26.565604499999999</v>
      </c>
      <c r="I168" s="330">
        <f t="shared" si="45"/>
        <v>39.748748249999991</v>
      </c>
      <c r="J168" s="329">
        <f t="shared" si="45"/>
        <v>26.565604499999999</v>
      </c>
      <c r="K168" s="330">
        <f t="shared" si="45"/>
        <v>39.748748249999991</v>
      </c>
    </row>
    <row r="169" spans="1:12" ht="12.75" customHeight="1">
      <c r="A169" s="168" t="s">
        <v>462</v>
      </c>
      <c r="B169" s="281" t="s">
        <v>42</v>
      </c>
      <c r="C169" s="335">
        <f t="shared" ref="C169:K169" si="46">Base_theor-2*C151</f>
        <v>17.624818138875778</v>
      </c>
      <c r="D169" s="329">
        <f t="shared" si="46"/>
        <v>14.350221643885092</v>
      </c>
      <c r="E169" s="330">
        <f t="shared" si="46"/>
        <v>17.165227458295902</v>
      </c>
      <c r="F169" s="329">
        <f t="shared" si="46"/>
        <v>16.370776850900992</v>
      </c>
      <c r="G169" s="330">
        <f t="shared" si="46"/>
        <v>18.515641568506283</v>
      </c>
      <c r="H169" s="329">
        <f t="shared" si="46"/>
        <v>19.854705517499003</v>
      </c>
      <c r="I169" s="330">
        <f t="shared" si="46"/>
        <v>20.844083975822972</v>
      </c>
      <c r="J169" s="329">
        <f t="shared" si="46"/>
        <v>15.793475363182162</v>
      </c>
      <c r="K169" s="330">
        <f t="shared" si="46"/>
        <v>18.129808965589032</v>
      </c>
    </row>
    <row r="170" spans="1:12" ht="14.25" customHeight="1">
      <c r="A170" s="168" t="s">
        <v>461</v>
      </c>
      <c r="B170" s="283" t="s">
        <v>154</v>
      </c>
      <c r="C170" s="335">
        <f t="shared" ref="C170:K170" si="47">C168*TAN(RADIANS(delta))+adhesion*C169</f>
        <v>17.18654426935716</v>
      </c>
      <c r="D170" s="329">
        <f t="shared" si="47"/>
        <v>15.962225564711343</v>
      </c>
      <c r="E170" s="330">
        <f t="shared" si="47"/>
        <v>23.883457479065651</v>
      </c>
      <c r="F170" s="329">
        <f t="shared" si="47"/>
        <v>15.962225564711343</v>
      </c>
      <c r="G170" s="330">
        <f t="shared" si="47"/>
        <v>23.883457479065651</v>
      </c>
      <c r="H170" s="329">
        <f t="shared" si="47"/>
        <v>15.962225564711343</v>
      </c>
      <c r="I170" s="330">
        <f t="shared" si="47"/>
        <v>23.883457479065651</v>
      </c>
      <c r="J170" s="329">
        <f t="shared" si="47"/>
        <v>15.962225564711343</v>
      </c>
      <c r="K170" s="330">
        <f t="shared" si="47"/>
        <v>23.883457479065651</v>
      </c>
    </row>
    <row r="171" spans="1:12" ht="15.75" customHeight="1">
      <c r="A171" s="168" t="s">
        <v>464</v>
      </c>
      <c r="B171" s="283" t="s">
        <v>154</v>
      </c>
      <c r="C171" s="348">
        <f t="shared" ref="C171:K171" si="48">IF(Su&gt;0,phi_sliding*C169*MIN(cohesion,Su,0.5*C168/C169),phi_sliding*C170)</f>
        <v>17.18654426935716</v>
      </c>
      <c r="D171" s="349">
        <f t="shared" si="48"/>
        <v>15.962225564711343</v>
      </c>
      <c r="E171" s="347">
        <f t="shared" si="48"/>
        <v>23.883457479065651</v>
      </c>
      <c r="F171" s="349">
        <f t="shared" si="48"/>
        <v>15.962225564711343</v>
      </c>
      <c r="G171" s="347">
        <f t="shared" si="48"/>
        <v>23.883457479065651</v>
      </c>
      <c r="H171" s="349">
        <f t="shared" si="48"/>
        <v>15.962225564711343</v>
      </c>
      <c r="I171" s="347">
        <f t="shared" si="48"/>
        <v>23.883457479065651</v>
      </c>
      <c r="J171" s="349">
        <f t="shared" si="48"/>
        <v>15.962225564711343</v>
      </c>
      <c r="K171" s="347">
        <f t="shared" si="48"/>
        <v>23.883457479065651</v>
      </c>
      <c r="L171" s="102"/>
    </row>
    <row r="172" spans="1:12" ht="12.75" customHeight="1">
      <c r="A172" s="168" t="s">
        <v>450</v>
      </c>
      <c r="B172" s="283" t="s">
        <v>154</v>
      </c>
      <c r="C172" s="335">
        <f>C111</f>
        <v>7.5078710000000015</v>
      </c>
      <c r="D172" s="329">
        <f t="shared" ref="D172:K172" si="49">D111</f>
        <v>11.600956500000002</v>
      </c>
      <c r="E172" s="330">
        <f t="shared" si="49"/>
        <v>11.600956500000002</v>
      </c>
      <c r="F172" s="329">
        <f t="shared" si="49"/>
        <v>9.2269065000000019</v>
      </c>
      <c r="G172" s="330">
        <f t="shared" si="49"/>
        <v>9.2269065000000019</v>
      </c>
      <c r="H172" s="329">
        <f t="shared" si="49"/>
        <v>2.7195760987499997</v>
      </c>
      <c r="I172" s="330">
        <f t="shared" si="49"/>
        <v>2.7195760987499997</v>
      </c>
      <c r="J172" s="329">
        <f t="shared" si="49"/>
        <v>9.905206500000002</v>
      </c>
      <c r="K172" s="330">
        <f t="shared" si="49"/>
        <v>9.905206500000002</v>
      </c>
    </row>
    <row r="173" spans="1:12" ht="12.75" customHeight="1">
      <c r="A173" s="168" t="s">
        <v>466</v>
      </c>
      <c r="B173" s="357"/>
      <c r="C173" s="335">
        <f>C171/C172</f>
        <v>2.2891368630810462</v>
      </c>
      <c r="D173" s="329">
        <f t="shared" ref="D173:K173" si="50">D171/D172</f>
        <v>1.3759404722111783</v>
      </c>
      <c r="E173" s="330">
        <f t="shared" si="50"/>
        <v>2.0587489901428082</v>
      </c>
      <c r="F173" s="329">
        <f t="shared" si="50"/>
        <v>1.7299650283343979</v>
      </c>
      <c r="G173" s="330">
        <f t="shared" si="50"/>
        <v>2.5884577327260927</v>
      </c>
      <c r="H173" s="329">
        <f t="shared" si="50"/>
        <v>5.8693800008200059</v>
      </c>
      <c r="I173" s="330">
        <f t="shared" si="50"/>
        <v>8.7820515447400851</v>
      </c>
      <c r="J173" s="329">
        <f t="shared" si="50"/>
        <v>1.6114985149185268</v>
      </c>
      <c r="K173" s="330">
        <f t="shared" si="50"/>
        <v>2.4112023791796413</v>
      </c>
    </row>
    <row r="174" spans="1:12" ht="13.5" customHeight="1" thickBot="1">
      <c r="A174" s="358" t="s">
        <v>113</v>
      </c>
      <c r="B174" s="359"/>
      <c r="C174" s="360">
        <f>IF(C173=MIN($C$173:$K$173,WORKSHEET_CONSTR!$C$116:$I$116),1,0)</f>
        <v>0</v>
      </c>
      <c r="D174" s="361">
        <f>IF(D173=MIN($C$173:$K$173,WORKSHEET_CONSTR!$C$116:$I$116),1,0)</f>
        <v>1</v>
      </c>
      <c r="E174" s="362">
        <f>IF(E173=MIN($C$173:$K$173,WORKSHEET_CONSTR!$C$116:$I$116),1,0)</f>
        <v>0</v>
      </c>
      <c r="F174" s="361">
        <f>IF(F173=MIN($C$173:$K$173,WORKSHEET_CONSTR!$C$116:$I$116),1,0)</f>
        <v>0</v>
      </c>
      <c r="G174" s="362">
        <f>IF(G173=MIN($C$173:$K$173,WORKSHEET_CONSTR!$C$116:$I$116),1,0)</f>
        <v>0</v>
      </c>
      <c r="H174" s="361">
        <f>IF(H173=MIN($C$173:$K$173,WORKSHEET_CONSTR!$C$116:$I$116),1,0)</f>
        <v>0</v>
      </c>
      <c r="I174" s="362">
        <f>IF(I173=MIN($C$173:$K$173,WORKSHEET_CONSTR!$C$116:$I$116),1,0)</f>
        <v>0</v>
      </c>
      <c r="J174" s="361">
        <f>IF(J173=MIN($C$173:$K$173,WORKSHEET_CONSTR!$C$116:$I$116),1,0)</f>
        <v>0</v>
      </c>
      <c r="K174" s="362">
        <f>IF(K173=MIN($C$173:$K$173,WORKSHEET_CONSTR!$C$116:$I$116),1,0)</f>
        <v>0</v>
      </c>
      <c r="L174" s="102"/>
    </row>
    <row r="175" spans="1:12" ht="16.5" customHeight="1" thickTop="1">
      <c r="A175" s="55" t="s">
        <v>465</v>
      </c>
      <c r="B175" s="171"/>
      <c r="C175" s="432" t="str">
        <f>IF(C171&gt;=C172,"OK","NG!")</f>
        <v>OK</v>
      </c>
      <c r="D175" s="433" t="str">
        <f t="shared" ref="D175:K175" si="51">IF(D171&gt;=D172,"OK","NG!")</f>
        <v>OK</v>
      </c>
      <c r="E175" s="434" t="str">
        <f t="shared" si="51"/>
        <v>OK</v>
      </c>
      <c r="F175" s="433" t="str">
        <f t="shared" si="51"/>
        <v>OK</v>
      </c>
      <c r="G175" s="434" t="str">
        <f t="shared" si="51"/>
        <v>OK</v>
      </c>
      <c r="H175" s="433" t="str">
        <f t="shared" si="51"/>
        <v>OK</v>
      </c>
      <c r="I175" s="434" t="str">
        <f t="shared" si="51"/>
        <v>OK</v>
      </c>
      <c r="J175" s="433" t="str">
        <f t="shared" si="51"/>
        <v>OK</v>
      </c>
      <c r="K175" s="434" t="str">
        <f t="shared" si="51"/>
        <v>OK</v>
      </c>
    </row>
    <row r="176" spans="1:12" ht="12.75" customHeight="1">
      <c r="C176" s="22"/>
      <c r="D176" s="22"/>
      <c r="E176" s="22"/>
      <c r="F176" s="22"/>
      <c r="G176" s="22"/>
      <c r="H176" s="22"/>
      <c r="I176" s="22"/>
      <c r="J176" s="22"/>
      <c r="K176" s="22"/>
    </row>
    <row r="177" spans="1:12" ht="12.75" customHeight="1">
      <c r="A177" s="9"/>
      <c r="B177" s="9"/>
      <c r="C177" s="23"/>
      <c r="D177" s="22"/>
      <c r="E177" s="22"/>
      <c r="F177" s="22"/>
      <c r="G177" s="22"/>
      <c r="H177" s="22"/>
      <c r="I177" s="22"/>
      <c r="J177" s="22"/>
      <c r="K177" s="22"/>
    </row>
    <row r="178" spans="1:12" ht="12.75" customHeight="1">
      <c r="A178" s="1" t="s">
        <v>418</v>
      </c>
      <c r="C178" s="22"/>
      <c r="D178" s="22"/>
      <c r="E178" s="22"/>
      <c r="F178" s="22"/>
      <c r="G178" s="22"/>
      <c r="H178" s="22"/>
      <c r="I178" s="22"/>
      <c r="J178" s="22"/>
      <c r="K178" s="22"/>
    </row>
    <row r="179" spans="1:12" ht="12.75" customHeight="1">
      <c r="C179" s="22"/>
      <c r="D179" s="22"/>
      <c r="E179" s="22"/>
      <c r="F179" s="22"/>
      <c r="G179" s="22"/>
      <c r="H179" s="22"/>
      <c r="I179" s="22"/>
      <c r="J179" s="22"/>
      <c r="K179" s="22"/>
    </row>
    <row r="180" spans="1:12" ht="12.75" customHeight="1">
      <c r="B180" s="10" t="s">
        <v>746</v>
      </c>
      <c r="D180" s="22"/>
      <c r="E180" s="459"/>
      <c r="F180" s="22"/>
      <c r="G180" s="22"/>
      <c r="H180" s="22"/>
      <c r="I180" s="22"/>
      <c r="J180" s="22"/>
      <c r="K180" s="22"/>
      <c r="L180" s="22"/>
    </row>
    <row r="181" spans="1:12" ht="15.75" customHeight="1">
      <c r="B181" s="129" t="s">
        <v>467</v>
      </c>
      <c r="C181" s="291">
        <f>IF(PHI_base=0,2+PI(),(Nq-1)*(1/TAN(RADIANS(PHI_base))))</f>
        <v>32.671126278359431</v>
      </c>
      <c r="D181" s="138"/>
      <c r="E181" s="174" t="s">
        <v>748</v>
      </c>
      <c r="F181" s="138"/>
      <c r="G181" s="138"/>
      <c r="H181" s="138" t="s">
        <v>751</v>
      </c>
      <c r="I181" s="138"/>
      <c r="J181" s="22"/>
      <c r="K181" s="22"/>
      <c r="L181" s="22"/>
    </row>
    <row r="182" spans="1:12" ht="17.25" customHeight="1">
      <c r="B182" s="129" t="s">
        <v>469</v>
      </c>
      <c r="C182" s="291">
        <f>2*(Nq+1)*TAN(RADIANS(PHI_base))</f>
        <v>25.994183536280509</v>
      </c>
      <c r="D182" s="174"/>
      <c r="E182" s="174" t="s">
        <v>749</v>
      </c>
      <c r="F182" s="138"/>
      <c r="G182" s="138"/>
      <c r="H182" s="138" t="s">
        <v>752</v>
      </c>
      <c r="I182" s="138"/>
      <c r="J182" s="22"/>
      <c r="K182" s="22"/>
      <c r="L182" s="22"/>
    </row>
    <row r="183" spans="1:12" ht="15.75" customHeight="1">
      <c r="B183" s="129" t="s">
        <v>468</v>
      </c>
      <c r="C183" s="294">
        <f>EXP(PI()*TAN(RADIANS(PHI_base)))*TAN(RADIANS(45+PHI_base/2))^2</f>
        <v>20.630793159942641</v>
      </c>
      <c r="D183" s="138"/>
      <c r="E183" s="174" t="s">
        <v>747</v>
      </c>
      <c r="F183" s="138"/>
      <c r="G183" s="138"/>
      <c r="H183" s="138"/>
      <c r="I183" s="138"/>
      <c r="J183" s="22"/>
      <c r="K183" s="22"/>
      <c r="L183" s="22"/>
    </row>
    <row r="184" spans="1:12" ht="12.75" customHeight="1">
      <c r="B184" s="129" t="s">
        <v>33</v>
      </c>
      <c r="C184" s="294">
        <f>0.5*Base_theor*TAN(RADIANS(45+PHI_base/2))</f>
        <v>18.965210794286222</v>
      </c>
      <c r="D184" s="138" t="s">
        <v>56</v>
      </c>
      <c r="E184" s="138" t="s">
        <v>750</v>
      </c>
      <c r="F184" s="138"/>
      <c r="G184" s="138"/>
      <c r="H184" s="138"/>
      <c r="I184" s="138"/>
      <c r="J184" s="22"/>
      <c r="K184" s="22"/>
      <c r="L184" s="22"/>
    </row>
    <row r="185" spans="1:12" ht="15" customHeight="1">
      <c r="B185" s="176" t="s">
        <v>590</v>
      </c>
      <c r="C185" s="438">
        <f>IF(PHI_base&lt;37,IF(z_water&gt;=Base_theor,gamma_base_moist,IF(z_water&lt;=0,gamma_base_sat,gamma_base_sat+(z_water/Base_theor)*(gamma_base_moist-gamma_base_sat))),IF(z_water&gt;=C184,gamma_base_moist,IF(z_water&lt;=0,gamma_base_sat,(2*C184-z_water)*(z_water*gamma_base_moist/C184^2)+(gamma_base_sat/C184^2)*(C184-z_water)^2)))</f>
        <v>5.7500000000000002E-2</v>
      </c>
      <c r="D185" s="138" t="s">
        <v>214</v>
      </c>
      <c r="E185" s="388" t="s">
        <v>793</v>
      </c>
      <c r="F185" s="388"/>
      <c r="G185" s="388"/>
      <c r="H185" s="138"/>
      <c r="I185" s="138"/>
      <c r="J185" s="22"/>
      <c r="K185" s="22"/>
      <c r="L185" s="22"/>
    </row>
    <row r="186" spans="1:12" ht="12.75" customHeight="1">
      <c r="B186" s="176" t="s">
        <v>89</v>
      </c>
      <c r="C186" s="438">
        <f>90</f>
        <v>90</v>
      </c>
      <c r="D186" s="138" t="s">
        <v>3</v>
      </c>
      <c r="E186" s="388"/>
      <c r="F186" s="388"/>
      <c r="G186" s="388"/>
      <c r="H186" s="138"/>
      <c r="I186" s="138"/>
      <c r="J186" s="22"/>
      <c r="K186" s="22"/>
      <c r="L186" s="22"/>
    </row>
    <row r="187" spans="1:12" ht="12.75" customHeight="1">
      <c r="C187" s="7"/>
      <c r="D187" s="138"/>
      <c r="E187" s="138"/>
      <c r="F187" s="138"/>
      <c r="G187" s="138"/>
      <c r="H187" s="138"/>
      <c r="I187" s="138"/>
      <c r="J187" s="22"/>
      <c r="K187" s="22"/>
      <c r="L187" s="22"/>
    </row>
    <row r="188" spans="1:12" ht="15.75" customHeight="1">
      <c r="B188" s="12" t="s">
        <v>480</v>
      </c>
      <c r="C188" s="294" t="str">
        <f>IF(L_wall&gt;5*Base_theor,"YES","NO")</f>
        <v>NO</v>
      </c>
      <c r="D188" s="457" t="str">
        <f>IF(C188="YES","(footing is continuous)","(footing is not continuous)")</f>
        <v>(footing is not continuous)</v>
      </c>
      <c r="E188" s="457"/>
      <c r="F188" s="37"/>
      <c r="G188" s="174" t="s">
        <v>479</v>
      </c>
      <c r="H188" s="37"/>
      <c r="I188" s="174"/>
      <c r="J188" s="174"/>
      <c r="K188" s="174"/>
      <c r="L188" s="23"/>
    </row>
    <row r="189" spans="1:12" ht="12.75" customHeight="1">
      <c r="A189" s="8"/>
      <c r="C189" s="22"/>
      <c r="D189" s="22"/>
      <c r="E189" s="22"/>
      <c r="F189" s="22"/>
      <c r="G189" s="22"/>
      <c r="H189" s="22"/>
      <c r="I189" s="22"/>
      <c r="J189" s="22"/>
      <c r="K189" s="22"/>
    </row>
    <row r="190" spans="1:12" ht="12.75" customHeight="1">
      <c r="C190" s="593" t="s">
        <v>6</v>
      </c>
      <c r="D190" s="587" t="s">
        <v>7</v>
      </c>
      <c r="E190" s="588"/>
      <c r="F190" s="587" t="s">
        <v>8</v>
      </c>
      <c r="G190" s="588"/>
      <c r="H190" s="587" t="s">
        <v>9</v>
      </c>
      <c r="I190" s="588"/>
      <c r="J190" s="587" t="s">
        <v>10</v>
      </c>
      <c r="K190" s="588"/>
    </row>
    <row r="191" spans="1:12" ht="12.75" customHeight="1">
      <c r="C191" s="594"/>
      <c r="D191" s="321" t="s">
        <v>12</v>
      </c>
      <c r="E191" s="323" t="s">
        <v>13</v>
      </c>
      <c r="F191" s="322" t="s">
        <v>12</v>
      </c>
      <c r="G191" s="323" t="s">
        <v>13</v>
      </c>
      <c r="H191" s="322" t="s">
        <v>12</v>
      </c>
      <c r="I191" s="323" t="s">
        <v>13</v>
      </c>
      <c r="J191" s="322" t="s">
        <v>12</v>
      </c>
      <c r="K191" s="323" t="s">
        <v>13</v>
      </c>
    </row>
    <row r="192" spans="1:12" ht="12.75" customHeight="1">
      <c r="A192" s="129" t="s">
        <v>463</v>
      </c>
      <c r="B192" s="166" t="s">
        <v>154</v>
      </c>
      <c r="C192" s="309">
        <f>C96</f>
        <v>31.342812999999996</v>
      </c>
      <c r="D192" s="455">
        <f t="shared" ref="D192:K192" si="52">D96</f>
        <v>31.359904499999999</v>
      </c>
      <c r="E192" s="456">
        <f t="shared" si="52"/>
        <v>44.543048249999991</v>
      </c>
      <c r="F192" s="455">
        <f t="shared" si="52"/>
        <v>26.565604499999999</v>
      </c>
      <c r="G192" s="456">
        <f t="shared" si="52"/>
        <v>39.748748249999991</v>
      </c>
      <c r="H192" s="455">
        <f t="shared" si="52"/>
        <v>26.565604499999999</v>
      </c>
      <c r="I192" s="456">
        <f t="shared" si="52"/>
        <v>39.748748249999991</v>
      </c>
      <c r="J192" s="455">
        <f t="shared" si="52"/>
        <v>27.935404500000001</v>
      </c>
      <c r="K192" s="456">
        <f t="shared" si="52"/>
        <v>41.118548249999989</v>
      </c>
      <c r="L192" s="9"/>
    </row>
    <row r="193" spans="1:13" ht="15.75" customHeight="1">
      <c r="A193" s="129" t="s">
        <v>471</v>
      </c>
      <c r="B193" s="2" t="s">
        <v>42</v>
      </c>
      <c r="C193" s="309">
        <f>(D128+C94*$L$35-D142)/C192</f>
        <v>9.2527327925628047</v>
      </c>
      <c r="D193" s="455">
        <f t="shared" ref="D193:K193" si="53">(E128+D94*$L$35-E142)/D192</f>
        <v>8.195567411227147</v>
      </c>
      <c r="E193" s="456">
        <f t="shared" si="53"/>
        <v>9.1495580895026798</v>
      </c>
      <c r="F193" s="455">
        <f t="shared" si="53"/>
        <v>8.1853884254504958</v>
      </c>
      <c r="G193" s="456">
        <f t="shared" si="53"/>
        <v>9.2578207842531413</v>
      </c>
      <c r="H193" s="455">
        <f t="shared" si="53"/>
        <v>9.9273527587495014</v>
      </c>
      <c r="I193" s="456">
        <f t="shared" si="53"/>
        <v>10.422041987911486</v>
      </c>
      <c r="J193" s="455">
        <f t="shared" si="53"/>
        <v>8.1886532228089113</v>
      </c>
      <c r="K193" s="456">
        <f t="shared" si="53"/>
        <v>9.2243124414514241</v>
      </c>
    </row>
    <row r="194" spans="1:13" ht="15.75" customHeight="1">
      <c r="A194" s="129" t="s">
        <v>117</v>
      </c>
      <c r="B194" s="2" t="s">
        <v>42</v>
      </c>
      <c r="C194" s="309">
        <f t="shared" ref="C194:K194" si="54">Base_theor/2-C193</f>
        <v>1.4772672074371958</v>
      </c>
      <c r="D194" s="455">
        <f t="shared" si="54"/>
        <v>2.5344325887728534</v>
      </c>
      <c r="E194" s="456">
        <f t="shared" si="54"/>
        <v>1.5804419104973206</v>
      </c>
      <c r="F194" s="455">
        <f t="shared" si="54"/>
        <v>2.5446115745495046</v>
      </c>
      <c r="G194" s="456">
        <f t="shared" si="54"/>
        <v>1.4721792157468592</v>
      </c>
      <c r="H194" s="455">
        <f t="shared" si="54"/>
        <v>0.80264724125049902</v>
      </c>
      <c r="I194" s="456">
        <f t="shared" si="54"/>
        <v>0.30795801208851437</v>
      </c>
      <c r="J194" s="455">
        <f t="shared" si="54"/>
        <v>2.5413467771910891</v>
      </c>
      <c r="K194" s="456">
        <f t="shared" si="54"/>
        <v>1.5056875585485763</v>
      </c>
    </row>
    <row r="195" spans="1:13" ht="12.75" customHeight="1">
      <c r="A195" s="129" t="s">
        <v>462</v>
      </c>
      <c r="B195" s="2" t="s">
        <v>42</v>
      </c>
      <c r="C195" s="309">
        <f t="shared" ref="C195:K195" si="55">Base_theor-2*C194</f>
        <v>18.505465585125609</v>
      </c>
      <c r="D195" s="455">
        <f t="shared" si="55"/>
        <v>16.391134822454294</v>
      </c>
      <c r="E195" s="456">
        <f t="shared" si="55"/>
        <v>18.29911617900536</v>
      </c>
      <c r="F195" s="455">
        <f t="shared" si="55"/>
        <v>16.370776850900992</v>
      </c>
      <c r="G195" s="456">
        <f t="shared" si="55"/>
        <v>18.515641568506283</v>
      </c>
      <c r="H195" s="455">
        <f t="shared" si="55"/>
        <v>19.854705517499003</v>
      </c>
      <c r="I195" s="456">
        <f t="shared" si="55"/>
        <v>20.844083975822972</v>
      </c>
      <c r="J195" s="455">
        <f t="shared" si="55"/>
        <v>16.377306445617823</v>
      </c>
      <c r="K195" s="456">
        <f t="shared" si="55"/>
        <v>18.448624882902848</v>
      </c>
    </row>
    <row r="196" spans="1:13" ht="15.75" customHeight="1">
      <c r="A196" s="129" t="s">
        <v>474</v>
      </c>
      <c r="B196" s="6"/>
      <c r="C196" s="309">
        <f t="shared" ref="C196:K196" si="56">IF(PHI_base&gt;0,1+(C195/L_wall)*(Nq/Nc),1+C195/(5*L_wall))</f>
        <v>1.2707512053951202</v>
      </c>
      <c r="D196" s="455">
        <f t="shared" si="56"/>
        <v>1.2398166904020269</v>
      </c>
      <c r="E196" s="456">
        <f t="shared" si="56"/>
        <v>1.2677321324524471</v>
      </c>
      <c r="F196" s="455">
        <f t="shared" si="56"/>
        <v>1.239518835408209</v>
      </c>
      <c r="G196" s="456">
        <f t="shared" si="56"/>
        <v>1.2709000889643407</v>
      </c>
      <c r="H196" s="455">
        <f t="shared" si="56"/>
        <v>1.2904917699530289</v>
      </c>
      <c r="I196" s="456">
        <f t="shared" si="56"/>
        <v>1.3049672452633336</v>
      </c>
      <c r="J196" s="455">
        <f t="shared" si="56"/>
        <v>1.2396143691105193</v>
      </c>
      <c r="K196" s="456">
        <f t="shared" si="56"/>
        <v>1.2699195760274871</v>
      </c>
    </row>
    <row r="197" spans="1:13" ht="17.25" customHeight="1">
      <c r="A197" s="129" t="s">
        <v>475</v>
      </c>
      <c r="B197" s="6"/>
      <c r="C197" s="309">
        <f t="shared" ref="C197:K197" si="57">IF(PHI_base&gt;0,1-0.4*(C195/L_wall),1)</f>
        <v>0.82849429485518433</v>
      </c>
      <c r="D197" s="455">
        <f t="shared" si="57"/>
        <v>0.84808957532479801</v>
      </c>
      <c r="E197" s="456">
        <f t="shared" si="57"/>
        <v>0.83040670825759633</v>
      </c>
      <c r="F197" s="455">
        <f t="shared" si="57"/>
        <v>0.8482782497599537</v>
      </c>
      <c r="G197" s="456">
        <f t="shared" si="57"/>
        <v>0.82839998546333382</v>
      </c>
      <c r="H197" s="455">
        <f t="shared" si="57"/>
        <v>0.81598975424004627</v>
      </c>
      <c r="I197" s="456">
        <f t="shared" si="57"/>
        <v>0.80682035240201133</v>
      </c>
      <c r="J197" s="455">
        <f t="shared" si="57"/>
        <v>0.84821773451698035</v>
      </c>
      <c r="K197" s="456">
        <f t="shared" si="57"/>
        <v>0.82902108542258712</v>
      </c>
    </row>
    <row r="198" spans="1:13" ht="15.75" customHeight="1">
      <c r="A198" s="129" t="s">
        <v>473</v>
      </c>
      <c r="B198" s="6"/>
      <c r="C198" s="309">
        <f t="shared" ref="C198:K198" si="58">IF(PHI_base&gt;0,1+(C195/L_wall)*TAN(RADIANS(PHI_base)),1)</f>
        <v>1.2576275604001805</v>
      </c>
      <c r="D198" s="455">
        <f t="shared" si="58"/>
        <v>1.2281924795177037</v>
      </c>
      <c r="E198" s="456">
        <f t="shared" si="58"/>
        <v>1.2547548256481558</v>
      </c>
      <c r="F198" s="455">
        <f t="shared" si="58"/>
        <v>1.2279090619229478</v>
      </c>
      <c r="G198" s="456">
        <f t="shared" si="58"/>
        <v>1.257769227399099</v>
      </c>
      <c r="H198" s="455">
        <f t="shared" si="58"/>
        <v>1.2764112754368482</v>
      </c>
      <c r="I198" s="456">
        <f t="shared" si="58"/>
        <v>1.2901851065981336</v>
      </c>
      <c r="J198" s="455">
        <f t="shared" si="58"/>
        <v>1.2279999649888318</v>
      </c>
      <c r="K198" s="456">
        <f t="shared" si="58"/>
        <v>1.2568362411341116</v>
      </c>
    </row>
    <row r="199" spans="1:13" ht="15.75" customHeight="1">
      <c r="A199" s="129" t="s">
        <v>477</v>
      </c>
      <c r="B199" s="6"/>
      <c r="C199" s="337">
        <f t="shared" ref="C199:K199" si="59">IF(PHI_base&gt;0,MAX(C201-(1-C201)/(Nq-1),0),MAX(1-(C202*C172*L_wall)/(cohesion*C195*L_wall*Nc),0))</f>
        <v>0.608869376021824</v>
      </c>
      <c r="D199" s="463">
        <f t="shared" si="59"/>
        <v>0.4228359364105107</v>
      </c>
      <c r="E199" s="464">
        <f t="shared" si="59"/>
        <v>0.57789020226309917</v>
      </c>
      <c r="F199" s="463">
        <f t="shared" si="59"/>
        <v>0.45247843598676785</v>
      </c>
      <c r="G199" s="464">
        <f t="shared" si="59"/>
        <v>0.61985573682225292</v>
      </c>
      <c r="H199" s="463">
        <f t="shared" si="59"/>
        <v>0.82515060677645069</v>
      </c>
      <c r="I199" s="464">
        <f t="shared" si="59"/>
        <v>0.882406447839159</v>
      </c>
      <c r="J199" s="463">
        <f t="shared" si="59"/>
        <v>0.4428881148748729</v>
      </c>
      <c r="K199" s="464">
        <f t="shared" si="59"/>
        <v>0.60675733923343178</v>
      </c>
    </row>
    <row r="200" spans="1:13" ht="12.75" customHeight="1">
      <c r="A200" s="129" t="s">
        <v>129</v>
      </c>
      <c r="B200" s="6"/>
      <c r="C200" s="337">
        <f t="shared" ref="C200:K200" si="60">IF(PHI_base=0,1,(1-C$172*L_wall/(C$192*L_wall+cohesion*C$195*L_wall*(1/TAN(RADIANS(PHI_base)))))^(C$202+1))</f>
        <v>0.47743777853607405</v>
      </c>
      <c r="D200" s="463">
        <f t="shared" si="60"/>
        <v>0.28404317144802216</v>
      </c>
      <c r="E200" s="464">
        <f t="shared" si="60"/>
        <v>0.442513794075656</v>
      </c>
      <c r="F200" s="463">
        <f t="shared" si="60"/>
        <v>0.31264259215181911</v>
      </c>
      <c r="G200" s="464">
        <f t="shared" si="60"/>
        <v>0.49011696965157514</v>
      </c>
      <c r="H200" s="463">
        <f t="shared" si="60"/>
        <v>0.74828577115850037</v>
      </c>
      <c r="I200" s="464">
        <f t="shared" si="60"/>
        <v>0.82734285882524849</v>
      </c>
      <c r="J200" s="463">
        <f t="shared" si="60"/>
        <v>0.30327987823844998</v>
      </c>
      <c r="K200" s="464">
        <f t="shared" si="60"/>
        <v>0.47506250060600025</v>
      </c>
    </row>
    <row r="201" spans="1:13" ht="15.75" customHeight="1">
      <c r="A201" s="129" t="s">
        <v>476</v>
      </c>
      <c r="B201" s="6"/>
      <c r="C201" s="337">
        <f t="shared" ref="C201:K201" si="61">IF(PHI_base=0,1,(1-C$172*L_wall/(C$192*L_wall+cohesion*C$195*L_wall*(1/TAN(RADIANS(PHI_base)))))^C$202)</f>
        <v>0.62782795996699226</v>
      </c>
      <c r="D201" s="463">
        <f t="shared" si="61"/>
        <v>0.45081179071310379</v>
      </c>
      <c r="E201" s="464">
        <f t="shared" si="61"/>
        <v>0.59835038498435689</v>
      </c>
      <c r="F201" s="463">
        <f t="shared" si="61"/>
        <v>0.47901748176016623</v>
      </c>
      <c r="G201" s="464">
        <f t="shared" si="61"/>
        <v>0.63828179830377885</v>
      </c>
      <c r="H201" s="463">
        <f t="shared" si="61"/>
        <v>0.83362577260589843</v>
      </c>
      <c r="I201" s="464">
        <f t="shared" si="61"/>
        <v>0.88810635240652991</v>
      </c>
      <c r="J201" s="463">
        <f t="shared" si="61"/>
        <v>0.46989201534569103</v>
      </c>
      <c r="K201" s="464">
        <f t="shared" si="61"/>
        <v>0.62581829620769391</v>
      </c>
    </row>
    <row r="202" spans="1:13" ht="12.75" customHeight="1">
      <c r="A202" s="129" t="s">
        <v>130</v>
      </c>
      <c r="B202" s="6"/>
      <c r="C202" s="309">
        <f t="shared" ref="C202:K202" si="62">((2+L_wall/C195)/(1+L_wall/C195))*COS(RADIANS(theta))^2+((2+C195/L_wall)/(1+C195/L_wall))*SIN(RADIANS(theta))^2</f>
        <v>1.699905523950356</v>
      </c>
      <c r="D202" s="455">
        <f t="shared" si="62"/>
        <v>1.724755290200215</v>
      </c>
      <c r="E202" s="456">
        <f t="shared" si="62"/>
        <v>1.7022554615704613</v>
      </c>
      <c r="F202" s="455">
        <f t="shared" si="62"/>
        <v>1.7250031375887676</v>
      </c>
      <c r="G202" s="456">
        <f t="shared" si="62"/>
        <v>1.6997900451843697</v>
      </c>
      <c r="H202" s="455">
        <f t="shared" si="62"/>
        <v>1.6849194905467675</v>
      </c>
      <c r="I202" s="456">
        <f t="shared" si="62"/>
        <v>1.6743319694459393</v>
      </c>
      <c r="J202" s="455">
        <f t="shared" si="62"/>
        <v>1.7249236248103181</v>
      </c>
      <c r="K202" s="456">
        <f t="shared" si="62"/>
        <v>1.7005512634315822</v>
      </c>
    </row>
    <row r="203" spans="1:13" ht="15.75" customHeight="1">
      <c r="A203" s="129" t="s">
        <v>756</v>
      </c>
      <c r="B203" s="166" t="s">
        <v>41</v>
      </c>
      <c r="C203" s="337">
        <f t="shared" ref="C203:K203" si="63">IF(base_matl="r","---",cohesion*IF(wall_on_slope="y",MIN(Ncq,Nc),Nc)+0.5*g*C195*IF(wall_on_slope="y",MIN(Ngq,Ng),Ng)+g*Df*IF(wall_on_slope="y",0,Nq))</f>
        <v>17.388552799357338</v>
      </c>
      <c r="D203" s="463">
        <f t="shared" si="63"/>
        <v>15.80844411969548</v>
      </c>
      <c r="E203" s="464">
        <f t="shared" si="63"/>
        <v>17.234341124717687</v>
      </c>
      <c r="F203" s="463">
        <f t="shared" si="63"/>
        <v>15.793229940287221</v>
      </c>
      <c r="G203" s="464">
        <f t="shared" si="63"/>
        <v>17.396157645272545</v>
      </c>
      <c r="H203" s="463">
        <f t="shared" si="63"/>
        <v>18.396884024409378</v>
      </c>
      <c r="I203" s="464">
        <f t="shared" si="63"/>
        <v>19.136278974844199</v>
      </c>
      <c r="J203" s="463">
        <f t="shared" si="63"/>
        <v>15.798109720437466</v>
      </c>
      <c r="K203" s="464">
        <f t="shared" si="63"/>
        <v>17.346073879537443</v>
      </c>
    </row>
    <row r="204" spans="1:13" ht="15.75" customHeight="1">
      <c r="A204" s="129" t="s">
        <v>755</v>
      </c>
      <c r="B204" s="166" t="s">
        <v>41</v>
      </c>
      <c r="C204" s="337">
        <f t="shared" ref="C204:K204" si="64">IF(base_matl="r","---",cohesion*IF(wall_on_slope="y",MIN(Ncq,Nc),Nc)*C196*C199+0.5*g*C195*IF(wall_on_slope="y",MIN(Ngq,Ng),Ng)*C197*C200+g*Df*IF(wall_on_slope="y",0,Nq)*C198*C201)</f>
        <v>8.2803603204751113</v>
      </c>
      <c r="D204" s="463">
        <f t="shared" si="64"/>
        <v>4.9213194899731487</v>
      </c>
      <c r="E204" s="464">
        <f t="shared" si="64"/>
        <v>7.6971933696481587</v>
      </c>
      <c r="F204" s="463">
        <f t="shared" si="64"/>
        <v>5.3379216627042183</v>
      </c>
      <c r="G204" s="464">
        <f t="shared" si="64"/>
        <v>8.4751947790291613</v>
      </c>
      <c r="H204" s="463">
        <f t="shared" si="64"/>
        <v>12.846782127343829</v>
      </c>
      <c r="I204" s="464">
        <f t="shared" si="64"/>
        <v>14.475988443796499</v>
      </c>
      <c r="J204" s="463">
        <f t="shared" si="64"/>
        <v>5.2020590654773695</v>
      </c>
      <c r="K204" s="464">
        <f t="shared" si="64"/>
        <v>8.2291189877420479</v>
      </c>
    </row>
    <row r="205" spans="1:13" ht="15.75" customHeight="1">
      <c r="A205" s="212" t="s">
        <v>757</v>
      </c>
      <c r="B205" s="458" t="s">
        <v>41</v>
      </c>
      <c r="C205" s="337" t="str">
        <f t="shared" ref="C205:K205" si="65">IF(base_matl="r",Co*Nms,"---")</f>
        <v>---</v>
      </c>
      <c r="D205" s="463" t="str">
        <f t="shared" si="65"/>
        <v>---</v>
      </c>
      <c r="E205" s="464" t="str">
        <f t="shared" si="65"/>
        <v>---</v>
      </c>
      <c r="F205" s="463" t="str">
        <f t="shared" si="65"/>
        <v>---</v>
      </c>
      <c r="G205" s="464" t="str">
        <f t="shared" si="65"/>
        <v>---</v>
      </c>
      <c r="H205" s="463" t="str">
        <f t="shared" si="65"/>
        <v>---</v>
      </c>
      <c r="I205" s="464" t="str">
        <f t="shared" si="65"/>
        <v>---</v>
      </c>
      <c r="J205" s="463" t="str">
        <f t="shared" si="65"/>
        <v>---</v>
      </c>
      <c r="K205" s="464" t="str">
        <f t="shared" si="65"/>
        <v>---</v>
      </c>
    </row>
    <row r="206" spans="1:13" ht="15.75" customHeight="1">
      <c r="A206" s="129" t="s">
        <v>481</v>
      </c>
      <c r="B206" s="166" t="s">
        <v>41</v>
      </c>
      <c r="C206" s="309">
        <f t="shared" ref="C206:K206" si="66">IF(base_matl="r",C205,IF($C$188="YES",C203,C204))</f>
        <v>8.2803603204751113</v>
      </c>
      <c r="D206" s="455">
        <f t="shared" si="66"/>
        <v>4.9213194899731487</v>
      </c>
      <c r="E206" s="456">
        <f t="shared" si="66"/>
        <v>7.6971933696481587</v>
      </c>
      <c r="F206" s="455">
        <f t="shared" si="66"/>
        <v>5.3379216627042183</v>
      </c>
      <c r="G206" s="456">
        <f t="shared" si="66"/>
        <v>8.4751947790291613</v>
      </c>
      <c r="H206" s="455">
        <f t="shared" si="66"/>
        <v>12.846782127343829</v>
      </c>
      <c r="I206" s="456">
        <f t="shared" si="66"/>
        <v>14.475988443796499</v>
      </c>
      <c r="J206" s="455">
        <f t="shared" si="66"/>
        <v>5.2020590654773695</v>
      </c>
      <c r="K206" s="456">
        <f t="shared" si="66"/>
        <v>8.2291189877420479</v>
      </c>
      <c r="L206" s="9"/>
      <c r="M206" s="102"/>
    </row>
    <row r="207" spans="1:13" ht="15.75" customHeight="1">
      <c r="A207" s="129" t="s">
        <v>472</v>
      </c>
      <c r="B207" s="166" t="s">
        <v>41</v>
      </c>
      <c r="C207" s="309">
        <f>C206*phi_bearing</f>
        <v>3.7261621442138</v>
      </c>
      <c r="D207" s="455">
        <f>D206*phi_bearing</f>
        <v>2.2145937704879168</v>
      </c>
      <c r="E207" s="456">
        <f>E206*phi_bearing</f>
        <v>3.4637370163416716</v>
      </c>
      <c r="F207" s="455">
        <f>F206*phi_bearing</f>
        <v>2.4020647482168984</v>
      </c>
      <c r="G207" s="456">
        <f>G206*phi_bearing</f>
        <v>3.8138376505631228</v>
      </c>
      <c r="H207" s="455">
        <f>H206*phi_Seismic</f>
        <v>12.846782127343829</v>
      </c>
      <c r="I207" s="456">
        <f>I206*phi_Seismic</f>
        <v>14.475988443796499</v>
      </c>
      <c r="J207" s="455">
        <f>J206*phi_bearing</f>
        <v>2.3409265794648162</v>
      </c>
      <c r="K207" s="456">
        <f>K206*phi_bearing</f>
        <v>3.7031035444839215</v>
      </c>
      <c r="L207" s="9"/>
    </row>
    <row r="208" spans="1:13" ht="12.75" customHeight="1">
      <c r="A208" s="129" t="s">
        <v>89</v>
      </c>
      <c r="B208" s="166" t="s">
        <v>41</v>
      </c>
      <c r="C208" s="309">
        <f t="shared" ref="C208:K208" si="67">C192/C195</f>
        <v>1.6937057247126404</v>
      </c>
      <c r="D208" s="455">
        <f t="shared" si="67"/>
        <v>1.9132235101281649</v>
      </c>
      <c r="E208" s="456">
        <f t="shared" si="67"/>
        <v>2.4341639133973252</v>
      </c>
      <c r="F208" s="455">
        <f t="shared" si="67"/>
        <v>1.6227455020583168</v>
      </c>
      <c r="G208" s="456">
        <f t="shared" si="67"/>
        <v>2.1467659169644779</v>
      </c>
      <c r="H208" s="455">
        <f t="shared" si="67"/>
        <v>1.3380004289958531</v>
      </c>
      <c r="I208" s="456">
        <f t="shared" si="67"/>
        <v>1.9069558679625604</v>
      </c>
      <c r="J208" s="455">
        <f t="shared" si="67"/>
        <v>1.705738644676509</v>
      </c>
      <c r="K208" s="456">
        <f t="shared" si="67"/>
        <v>2.2288137197751987</v>
      </c>
      <c r="L208" s="9"/>
    </row>
    <row r="209" spans="1:14" ht="12.75" customHeight="1">
      <c r="A209" s="12" t="s">
        <v>466</v>
      </c>
      <c r="C209" s="309">
        <f t="shared" ref="C209:K209" si="68">C207/C208</f>
        <v>2.200005638432847</v>
      </c>
      <c r="D209" s="455">
        <f t="shared" si="68"/>
        <v>1.1575196304897819</v>
      </c>
      <c r="E209" s="456">
        <f t="shared" si="68"/>
        <v>1.4229678606595506</v>
      </c>
      <c r="F209" s="455">
        <f t="shared" si="68"/>
        <v>1.4802473617520926</v>
      </c>
      <c r="G209" s="456">
        <f t="shared" si="68"/>
        <v>1.7765503078024829</v>
      </c>
      <c r="H209" s="455">
        <f t="shared" si="68"/>
        <v>9.601478332099731</v>
      </c>
      <c r="I209" s="456">
        <f t="shared" si="68"/>
        <v>7.5911502132784063</v>
      </c>
      <c r="J209" s="455">
        <f t="shared" si="68"/>
        <v>1.3723829185500864</v>
      </c>
      <c r="K209" s="456">
        <f t="shared" si="68"/>
        <v>1.6614683908430992</v>
      </c>
      <c r="L209" s="9"/>
    </row>
    <row r="210" spans="1:14" ht="13.5" customHeight="1" thickBot="1">
      <c r="A210" t="s">
        <v>113</v>
      </c>
      <c r="C210" s="360">
        <f>IF(C209=MIN($C$209:$K$209,WORKSHEET_CONSTR!$C$152:$I$152),1,0)</f>
        <v>0</v>
      </c>
      <c r="D210" s="361">
        <f>IF(D209=MIN($C$209:$K$209,WORKSHEET_CONSTR!$C$152:$I$152),1,0)</f>
        <v>1</v>
      </c>
      <c r="E210" s="362">
        <f>IF(E209=MIN($C$209:$K$209,WORKSHEET_CONSTR!$C$152:$I$152),1,0)</f>
        <v>0</v>
      </c>
      <c r="F210" s="361">
        <f>IF(F209=MIN($C$209:$K$209,WORKSHEET_CONSTR!$C$152:$I$152),1,0)</f>
        <v>0</v>
      </c>
      <c r="G210" s="362">
        <f>IF(G209=MIN($C$209:$K$209,WORKSHEET_CONSTR!$C$152:$I$152),1,0)</f>
        <v>0</v>
      </c>
      <c r="H210" s="361">
        <f>IF(H209=MIN($C$209:$K$209,WORKSHEET_CONSTR!$C$152:$I$152),1,0)</f>
        <v>0</v>
      </c>
      <c r="I210" s="362">
        <f>IF(I209=MIN($C$209:$K$209,WORKSHEET_CONSTR!$C$152:$I$152),1,0)</f>
        <v>0</v>
      </c>
      <c r="J210" s="361">
        <f>IF(J209=MIN($C$209:$K$209,WORKSHEET_CONSTR!$C$152:$I$152),1,0)</f>
        <v>0</v>
      </c>
      <c r="K210" s="362">
        <f>IF(K209=MIN($C$209:$K$209,WORKSHEET_CONSTR!$C$152:$I$152),1,0)</f>
        <v>0</v>
      </c>
      <c r="L210" s="102"/>
    </row>
    <row r="211" spans="1:14" ht="16.5" customHeight="1" thickTop="1">
      <c r="A211" s="12" t="s">
        <v>478</v>
      </c>
      <c r="B211" s="37"/>
      <c r="C211" s="432" t="str">
        <f t="shared" ref="C211:K211" si="69">IF(C207&gt;=C208,"OK","NG!")</f>
        <v>OK</v>
      </c>
      <c r="D211" s="433" t="str">
        <f t="shared" si="69"/>
        <v>OK</v>
      </c>
      <c r="E211" s="434" t="str">
        <f t="shared" si="69"/>
        <v>OK</v>
      </c>
      <c r="F211" s="433" t="str">
        <f t="shared" si="69"/>
        <v>OK</v>
      </c>
      <c r="G211" s="434" t="str">
        <f t="shared" si="69"/>
        <v>OK</v>
      </c>
      <c r="H211" s="433" t="str">
        <f t="shared" si="69"/>
        <v>OK</v>
      </c>
      <c r="I211" s="434" t="str">
        <f t="shared" si="69"/>
        <v>OK</v>
      </c>
      <c r="J211" s="433" t="str">
        <f t="shared" si="69"/>
        <v>OK</v>
      </c>
      <c r="K211" s="434" t="str">
        <f t="shared" si="69"/>
        <v>OK</v>
      </c>
      <c r="L211" s="9"/>
    </row>
    <row r="212" spans="1:14" ht="12.75" customHeight="1"/>
    <row r="214" spans="1:14">
      <c r="A214" s="8" t="s">
        <v>419</v>
      </c>
      <c r="D214" s="1" t="s">
        <v>487</v>
      </c>
    </row>
    <row r="215" spans="1:14">
      <c r="F215" s="147"/>
      <c r="K215" s="9"/>
      <c r="L215" s="9"/>
      <c r="M215" s="9"/>
    </row>
    <row r="216" spans="1:14" ht="15.75">
      <c r="A216" s="12" t="s">
        <v>321</v>
      </c>
      <c r="D216" s="290">
        <f>(TAN(RADIANS(45-PHI_reinf/2)))^2</f>
        <v>0.28271491971777274</v>
      </c>
      <c r="E216" s="37"/>
      <c r="F216" s="37" t="s">
        <v>299</v>
      </c>
      <c r="K216" s="9"/>
      <c r="L216" s="9"/>
      <c r="M216" s="9"/>
    </row>
    <row r="217" spans="1:14">
      <c r="A217" s="12" t="s">
        <v>301</v>
      </c>
      <c r="D217" s="291">
        <f>IF(Backfill="b",IF(hB&gt;($J$12-H),0.5*L_reinf*TAN(RADIANS(Beta)),($N$31+$O$31)/L_reinf),0.5*L_reinf*TAN(RADIANS(Beta)))</f>
        <v>0</v>
      </c>
      <c r="E217" s="37" t="s">
        <v>56</v>
      </c>
      <c r="F217" s="37" t="s">
        <v>317</v>
      </c>
      <c r="K217" s="9"/>
      <c r="L217" s="9"/>
      <c r="M217" s="9"/>
    </row>
    <row r="218" spans="1:14" ht="15.75">
      <c r="A218" s="212" t="s">
        <v>620</v>
      </c>
      <c r="D218" s="291">
        <f>IF(Abut_on_Piles="y",MIN(2*d-bf+Ad,H-Ad),0)</f>
        <v>2.0599999999999996</v>
      </c>
      <c r="E218" s="37" t="s">
        <v>56</v>
      </c>
      <c r="F218" s="37" t="s">
        <v>710</v>
      </c>
      <c r="H218" s="102"/>
      <c r="K218" s="38"/>
      <c r="L218" s="38"/>
      <c r="M218" s="7"/>
    </row>
    <row r="219" spans="1:14" ht="15.75">
      <c r="A219" s="212" t="s">
        <v>621</v>
      </c>
      <c r="D219" s="291">
        <f>IF(Abut_on_Piles="y",MIN(2*d+bf+Ad,H-Ad),MIN(2*(L_reinf-x+pw),H-Ad))</f>
        <v>12.559999999999999</v>
      </c>
      <c r="E219" s="37" t="s">
        <v>56</v>
      </c>
      <c r="F219" s="37" t="s">
        <v>711</v>
      </c>
      <c r="H219" s="102"/>
      <c r="K219" s="180"/>
      <c r="L219" s="102"/>
      <c r="M219" s="102"/>
      <c r="N219" s="102"/>
    </row>
    <row r="220" spans="1:14">
      <c r="K220" s="11"/>
      <c r="L220" s="38"/>
      <c r="M220" s="7"/>
    </row>
    <row r="221" spans="1:14">
      <c r="A221" s="10" t="s">
        <v>338</v>
      </c>
      <c r="C221" s="37"/>
      <c r="E221" s="37"/>
      <c r="F221" s="37" t="s">
        <v>260</v>
      </c>
      <c r="K221" s="38"/>
      <c r="L221" s="38"/>
      <c r="M221" s="7"/>
    </row>
    <row r="222" spans="1:14">
      <c r="A222" s="37" t="s">
        <v>271</v>
      </c>
      <c r="D222" s="294">
        <v>0.57999999999999996</v>
      </c>
      <c r="E222" s="37" t="s">
        <v>261</v>
      </c>
      <c r="F222" s="384">
        <f>D222/1000</f>
        <v>5.8E-4</v>
      </c>
      <c r="G222" s="37" t="s">
        <v>264</v>
      </c>
      <c r="K222" s="38"/>
      <c r="L222" s="38"/>
      <c r="M222" s="7"/>
    </row>
    <row r="223" spans="1:14">
      <c r="A223" s="37"/>
      <c r="B223" s="37" t="s">
        <v>270</v>
      </c>
      <c r="D223" s="294">
        <v>0.16</v>
      </c>
      <c r="E223" s="37" t="s">
        <v>261</v>
      </c>
      <c r="F223" s="384">
        <f>D223/1000</f>
        <v>1.6000000000000001E-4</v>
      </c>
      <c r="G223" s="37" t="s">
        <v>264</v>
      </c>
      <c r="K223" s="38"/>
      <c r="L223" s="38"/>
      <c r="M223" s="7"/>
    </row>
    <row r="224" spans="1:14">
      <c r="A224" s="37" t="s">
        <v>269</v>
      </c>
      <c r="D224" s="294">
        <v>0.47</v>
      </c>
      <c r="E224" s="37" t="s">
        <v>261</v>
      </c>
      <c r="F224" s="384">
        <f>D224/1000</f>
        <v>4.6999999999999999E-4</v>
      </c>
      <c r="G224" s="37" t="s">
        <v>264</v>
      </c>
      <c r="K224" s="38"/>
      <c r="L224" s="38"/>
      <c r="M224" s="7"/>
    </row>
    <row r="225" spans="1:64">
      <c r="A225" s="37" t="s">
        <v>267</v>
      </c>
      <c r="D225" s="294">
        <v>3.4</v>
      </c>
      <c r="E225" t="s">
        <v>49</v>
      </c>
      <c r="F225" s="37"/>
      <c r="K225" s="38"/>
      <c r="L225" s="38"/>
      <c r="M225" s="7"/>
    </row>
    <row r="226" spans="1:64">
      <c r="A226" s="37" t="s">
        <v>268</v>
      </c>
      <c r="D226" s="291">
        <f>2+(D225-2*D222)/D223</f>
        <v>16</v>
      </c>
      <c r="E226" t="s">
        <v>50</v>
      </c>
      <c r="F226" s="138"/>
      <c r="G226" s="37"/>
    </row>
    <row r="227" spans="1:64">
      <c r="A227" s="37" t="s">
        <v>272</v>
      </c>
      <c r="D227" s="294">
        <f>IF(D226&gt;=100,100,100-D226)</f>
        <v>84</v>
      </c>
      <c r="E227" t="s">
        <v>50</v>
      </c>
    </row>
    <row r="228" spans="1:64">
      <c r="A228" s="37" t="s">
        <v>273</v>
      </c>
      <c r="D228" s="294">
        <f>IF(D227=100,0,D227*D224)</f>
        <v>39.479999999999997</v>
      </c>
      <c r="E228" t="s">
        <v>51</v>
      </c>
      <c r="F228" s="384">
        <f>D228/1000</f>
        <v>3.9479999999999994E-2</v>
      </c>
      <c r="G228" s="37" t="s">
        <v>209</v>
      </c>
      <c r="H228" s="9"/>
      <c r="I228" s="9"/>
    </row>
    <row r="229" spans="1:64">
      <c r="E229" s="17"/>
      <c r="I229" s="9"/>
      <c r="J229" s="9"/>
    </row>
    <row r="230" spans="1:64">
      <c r="A230" s="10" t="s">
        <v>339</v>
      </c>
      <c r="B230" s="10"/>
      <c r="E230" s="17"/>
      <c r="F230" s="37" t="s">
        <v>337</v>
      </c>
      <c r="I230" s="9"/>
      <c r="J230" s="9"/>
      <c r="K230" s="221"/>
      <c r="O230" s="102"/>
    </row>
    <row r="231" spans="1:64" ht="15.75">
      <c r="A231" s="37" t="s">
        <v>300</v>
      </c>
      <c r="B231" s="37"/>
      <c r="D231" s="291">
        <f>IF(RF_ID*RF_CR*RF_D=0,1,MAX(RF_ID,1.1)*RF_CR*MAX(RF_D,1.1))</f>
        <v>1</v>
      </c>
      <c r="E231" s="17"/>
      <c r="F231" s="37"/>
      <c r="I231" s="9"/>
      <c r="J231" s="9"/>
      <c r="K231" s="221"/>
      <c r="O231" s="102"/>
    </row>
    <row r="232" spans="1:64" ht="15.75" customHeight="1">
      <c r="F232" s="102"/>
      <c r="H232" s="2"/>
      <c r="I232" s="9"/>
      <c r="J232" s="597" t="s">
        <v>494</v>
      </c>
      <c r="K232" s="616"/>
      <c r="L232" s="616"/>
      <c r="M232" s="616"/>
      <c r="N232" s="598"/>
      <c r="O232" s="601" t="s">
        <v>495</v>
      </c>
      <c r="P232" s="602"/>
      <c r="Q232" s="602"/>
      <c r="R232" s="602"/>
      <c r="S232" s="603"/>
      <c r="T232" s="597" t="s">
        <v>503</v>
      </c>
      <c r="U232" s="598"/>
      <c r="V232" s="595" t="s">
        <v>511</v>
      </c>
      <c r="W232" s="595"/>
      <c r="X232" s="129"/>
    </row>
    <row r="233" spans="1:64" ht="12.75" customHeight="1">
      <c r="E233" s="29"/>
      <c r="J233" s="596" t="s">
        <v>772</v>
      </c>
      <c r="K233" s="596" t="s">
        <v>773</v>
      </c>
      <c r="L233" s="596" t="s">
        <v>774</v>
      </c>
      <c r="M233" s="605" t="s">
        <v>627</v>
      </c>
      <c r="N233" s="605" t="s">
        <v>626</v>
      </c>
      <c r="O233" s="595" t="s">
        <v>775</v>
      </c>
      <c r="P233" s="605" t="s">
        <v>628</v>
      </c>
      <c r="Q233" s="605" t="s">
        <v>625</v>
      </c>
      <c r="R233" s="604" t="s">
        <v>520</v>
      </c>
      <c r="S233" s="604" t="s">
        <v>514</v>
      </c>
      <c r="T233" s="599"/>
      <c r="U233" s="600"/>
      <c r="V233" s="596"/>
      <c r="W233" s="596"/>
      <c r="X233" s="129"/>
    </row>
    <row r="234" spans="1:64" ht="15.75" customHeight="1">
      <c r="A234" s="100" t="s">
        <v>34</v>
      </c>
      <c r="B234" s="15" t="s">
        <v>35</v>
      </c>
      <c r="C234" s="135" t="s">
        <v>265</v>
      </c>
      <c r="D234" s="100" t="s">
        <v>266</v>
      </c>
      <c r="E234" s="40" t="s">
        <v>66</v>
      </c>
      <c r="F234" s="100" t="s">
        <v>555</v>
      </c>
      <c r="G234" s="139" t="s">
        <v>556</v>
      </c>
      <c r="H234" s="100" t="s">
        <v>295</v>
      </c>
      <c r="I234" s="135" t="s">
        <v>296</v>
      </c>
      <c r="J234" s="617"/>
      <c r="K234" s="617"/>
      <c r="L234" s="617"/>
      <c r="M234" s="606"/>
      <c r="N234" s="606"/>
      <c r="O234" s="604"/>
      <c r="P234" s="606"/>
      <c r="Q234" s="606"/>
      <c r="R234" s="604"/>
      <c r="S234" s="604"/>
      <c r="T234" s="100" t="s">
        <v>499</v>
      </c>
      <c r="U234" s="184" t="s">
        <v>500</v>
      </c>
      <c r="V234" s="100" t="s">
        <v>296</v>
      </c>
      <c r="W234" s="98" t="s">
        <v>298</v>
      </c>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4.25">
      <c r="A235" s="131" t="s">
        <v>352</v>
      </c>
      <c r="B235" s="28" t="s">
        <v>42</v>
      </c>
      <c r="C235" s="130" t="s">
        <v>262</v>
      </c>
      <c r="D235" s="131" t="s">
        <v>262</v>
      </c>
      <c r="E235" s="130" t="s">
        <v>262</v>
      </c>
      <c r="F235" s="131" t="s">
        <v>263</v>
      </c>
      <c r="G235" s="131" t="s">
        <v>263</v>
      </c>
      <c r="H235" s="131" t="s">
        <v>263</v>
      </c>
      <c r="I235" s="130" t="s">
        <v>525</v>
      </c>
      <c r="J235" s="28" t="s">
        <v>154</v>
      </c>
      <c r="K235" s="209" t="s">
        <v>154</v>
      </c>
      <c r="L235" s="28" t="s">
        <v>154</v>
      </c>
      <c r="M235" s="28" t="s">
        <v>154</v>
      </c>
      <c r="N235" s="28" t="s">
        <v>154</v>
      </c>
      <c r="O235" s="16" t="s">
        <v>154</v>
      </c>
      <c r="P235" s="16" t="s">
        <v>154</v>
      </c>
      <c r="Q235" s="16" t="s">
        <v>154</v>
      </c>
      <c r="R235" s="16" t="s">
        <v>154</v>
      </c>
      <c r="S235" s="16" t="s">
        <v>154</v>
      </c>
      <c r="T235" s="28" t="s">
        <v>154</v>
      </c>
      <c r="U235" s="62" t="s">
        <v>154</v>
      </c>
      <c r="V235" s="222" t="s">
        <v>381</v>
      </c>
      <c r="W235" s="28" t="s">
        <v>154</v>
      </c>
      <c r="X235" s="220"/>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c r="A236" s="435">
        <f>IF(INPUT!B111="---","---",INPUT!A111)</f>
        <v>1</v>
      </c>
      <c r="B236" s="309">
        <f>IF(A236="---","---",IF(A236=1,Z_1,INPUT!B111))</f>
        <v>1.5</v>
      </c>
      <c r="C236" s="309">
        <f>IF(A236="---","---",INPUT!G111)</f>
        <v>0.16300000000000001</v>
      </c>
      <c r="D236" s="309">
        <f t="shared" ref="D236:D267" si="70">IF(A236="---","---",IF(C236=0,0,C236-2*$F$228))</f>
        <v>8.4040000000000017E-2</v>
      </c>
      <c r="E236" s="337">
        <f>IF(A236="---","---",INPUT!H111-2*$F$228)</f>
        <v>-7.8959999999999989E-2</v>
      </c>
      <c r="F236" s="309">
        <f>IF(A236="---","---",IF(INPUT!K111&gt;0,INPUT!K111,IF(INPUT!H111&gt;0,INPUT!F111*E236^2*PI()/4,D236*INPUT!E111)))</f>
        <v>0.16808000000000003</v>
      </c>
      <c r="G236" s="309">
        <f>IF(A236="---","---",IF(INPUT!K111&gt;0,INPUT!K111,INPUT!E111*INPUT!G111))</f>
        <v>0.32600000000000001</v>
      </c>
      <c r="H236" s="309">
        <f t="shared" ref="H236:H267" si="71">IF(A236="---","---",IF(Type_Reinf="g",G236,F236))</f>
        <v>0.16808000000000003</v>
      </c>
      <c r="I236" s="436">
        <f>IF(A236="---","---",IF(Reinf_cont="y",1,IF(INPUT!D111=0,0,INPUT!E111/(INPUT!D111*12))))</f>
        <v>6.7204301075268827E-2</v>
      </c>
      <c r="J236" s="309">
        <f>IF(A236="---","---",IF(Type_Reinf="g","---",IF(INPUT!D111=0,0,H236*(Fy/2)/(INPUT!E111/12))))</f>
        <v>30.254400000000004</v>
      </c>
      <c r="K236" s="309" t="str">
        <f>IF(A236="---","---",IF(Type_Reinf="g",(INPUT!M111+INPUT!N111),"---"))</f>
        <v>---</v>
      </c>
      <c r="L236" s="309" t="str">
        <f t="shared" ref="L236:L267" si="72">IF(A236="---","---",IF(Type_Reinf="g",K236/$D$231,"---"))</f>
        <v>---</v>
      </c>
      <c r="M236" s="309">
        <f t="shared" ref="M236:M267" si="73">IF(A236="---","---",IF(Type_Reinf="g",L236,J236)*phi_Tensile_Static*I236)</f>
        <v>1.5249193548387101</v>
      </c>
      <c r="N236" s="309">
        <f t="shared" ref="N236:N267" si="74">IF(M236="---","---",M236*phi_Tensile_Combined/phi_Tensile_Static)</f>
        <v>2.0332258064516133</v>
      </c>
      <c r="O236" s="309" t="str">
        <f>IF(A236="---","---",IF(Type_Reinf="g",K236*INPUT!L111/MAX(RF_D,1.1),"---"))</f>
        <v>---</v>
      </c>
      <c r="P236" s="309" t="str">
        <f t="shared" ref="P236:P267" si="75">IF(A236="---","---",IF(Type_Reinf="g",phi_Tensile_Static*O236*I236,"---"))</f>
        <v>---</v>
      </c>
      <c r="Q236" s="309" t="str">
        <f t="shared" ref="Q236:Q267" si="76">IF(P236="---","---",P236*phi_Tensile_Combined/phi_Tensile_Static)</f>
        <v>---</v>
      </c>
      <c r="R236" s="309">
        <f>IF($A236="---","---",IF(Type_Reinf="g","---",INPUT!O111))</f>
        <v>5</v>
      </c>
      <c r="S236" s="309">
        <f>IF($A236="---","---",IF(Type_Reinf="g","---",INPUT!P111))</f>
        <v>6</v>
      </c>
      <c r="T236" s="309" t="str">
        <f>IF(Type_Reinf="g",IF(A236="---","---",phi_Tensile_Static*I236*INPUT!M111/$D$231),"---")</f>
        <v>---</v>
      </c>
      <c r="U236" s="337" t="str">
        <f>IF(Type_Reinf="g",IF(A236="---","---",phi_Tensile_Combined*I236*INPUT!N111/(MAX(RF_ID,1.1)*MAX(RF_D,1.1))),"---")</f>
        <v>---</v>
      </c>
      <c r="V236" s="437">
        <f>IF(A236="---","---",IF(Reinf_cont="y","N/A",IF(INPUT!D111=0,0,INPUT!E111/((1.5*INPUT!D111)*12))))</f>
        <v>4.4802867383512544E-2</v>
      </c>
      <c r="W236" s="137">
        <f t="shared" ref="W236:W267" si="77">IF(A236="---","---",IF(V236="N/A","---",IF(Type_Reinf="g",L236,J236)*phi_Tensile_Static*V236))</f>
        <v>1.0166129032258067</v>
      </c>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c r="A237" s="435">
        <f>IF(INPUT!B112="---","---",INPUT!A112)</f>
        <v>2</v>
      </c>
      <c r="B237" s="309">
        <f>IF(A237="---","---",IF(A237=1,Z_1,INPUT!B112))</f>
        <v>4</v>
      </c>
      <c r="C237" s="309">
        <f>IF(A237="---","---",INPUT!G112)</f>
        <v>0.16300000000000001</v>
      </c>
      <c r="D237" s="309">
        <f t="shared" si="70"/>
        <v>8.4040000000000017E-2</v>
      </c>
      <c r="E237" s="337">
        <f>IF(A237="---","---",INPUT!H112-2*$F$228)</f>
        <v>-7.8959999999999989E-2</v>
      </c>
      <c r="F237" s="309">
        <f>IF(A237="---","---",IF(INPUT!K112&gt;0,INPUT!K112,IF(INPUT!H112&gt;0,INPUT!F112*E237^2*PI()/4,D237*INPUT!E112)))</f>
        <v>0.16808000000000003</v>
      </c>
      <c r="G237" s="309">
        <f>IF(A237="---","---",IF(INPUT!K112&gt;0,INPUT!K112,INPUT!E112*INPUT!G112))</f>
        <v>0.32600000000000001</v>
      </c>
      <c r="H237" s="309">
        <f t="shared" si="71"/>
        <v>0.16808000000000003</v>
      </c>
      <c r="I237" s="436">
        <f>IF(A237="---","---",IF(Reinf_cont="y",1,IF(INPUT!D112=0,0,INPUT!E112/(INPUT!D112*12))))</f>
        <v>6.7204301075268827E-2</v>
      </c>
      <c r="J237" s="309">
        <f>IF(A237="---","---",IF(Type_Reinf="g","---",IF(INPUT!D112=0,0,H237*(Fy/2)/(INPUT!E112/12))))</f>
        <v>30.254400000000004</v>
      </c>
      <c r="K237" s="309" t="str">
        <f>IF(A237="---","---",IF(Type_Reinf="g",(INPUT!M112+INPUT!N112),"---"))</f>
        <v>---</v>
      </c>
      <c r="L237" s="309" t="str">
        <f t="shared" si="72"/>
        <v>---</v>
      </c>
      <c r="M237" s="309">
        <f t="shared" si="73"/>
        <v>1.5249193548387101</v>
      </c>
      <c r="N237" s="309">
        <f t="shared" si="74"/>
        <v>2.0332258064516133</v>
      </c>
      <c r="O237" s="309" t="str">
        <f>IF(A237="---","---",IF(Type_Reinf="g",K237*INPUT!L112/MAX(RF_D,1.1),"---"))</f>
        <v>---</v>
      </c>
      <c r="P237" s="309" t="str">
        <f t="shared" si="75"/>
        <v>---</v>
      </c>
      <c r="Q237" s="309" t="str">
        <f t="shared" si="76"/>
        <v>---</v>
      </c>
      <c r="R237" s="309">
        <f>IF($A237="---","---",IF(Type_Reinf="g","---",INPUT!O112))</f>
        <v>5</v>
      </c>
      <c r="S237" s="309">
        <f>IF($A237="---","---",IF(Type_Reinf="g","---",INPUT!P112))</f>
        <v>6</v>
      </c>
      <c r="T237" s="309" t="str">
        <f>IF(Type_Reinf="g",IF(A237="---","---",phi_Tensile_Static*I237*INPUT!M112/$D$231),"---")</f>
        <v>---</v>
      </c>
      <c r="U237" s="337" t="str">
        <f>IF(Type_Reinf="g",IF(A237="---","---",phi_Tensile_Combined*I237*INPUT!N112/(MAX(RF_ID,1.1)*MAX(RF_D,1.1))),"---")</f>
        <v>---</v>
      </c>
      <c r="V237" s="437">
        <f>IF(A237="---","---",IF(Reinf_cont="y","N/A",IF(INPUT!D112=0,0,INPUT!E112/((1.5*INPUT!D112)*12))))</f>
        <v>4.4802867383512544E-2</v>
      </c>
      <c r="W237" s="137">
        <f t="shared" si="77"/>
        <v>1.0166129032258067</v>
      </c>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c r="A238" s="435">
        <f>IF(INPUT!B113="---","---",INPUT!A113)</f>
        <v>3</v>
      </c>
      <c r="B238" s="309">
        <f>IF(A238="---","---",IF(A238=1,Z_1,INPUT!B113))</f>
        <v>6.5</v>
      </c>
      <c r="C238" s="309">
        <f>IF(A238="---","---",INPUT!G113)</f>
        <v>0.16300000000000001</v>
      </c>
      <c r="D238" s="309">
        <f t="shared" si="70"/>
        <v>8.4040000000000017E-2</v>
      </c>
      <c r="E238" s="337">
        <f>IF(A238="---","---",INPUT!H113-2*$F$228)</f>
        <v>-7.8959999999999989E-2</v>
      </c>
      <c r="F238" s="309">
        <f>IF(A238="---","---",IF(INPUT!K113&gt;0,INPUT!K113,IF(INPUT!H113&gt;0,INPUT!F113*E238^2*PI()/4,D238*INPUT!E113)))</f>
        <v>0.16808000000000003</v>
      </c>
      <c r="G238" s="309">
        <f>IF(A238="---","---",IF(INPUT!K113&gt;0,INPUT!K113,INPUT!E113*INPUT!G113))</f>
        <v>0.32600000000000001</v>
      </c>
      <c r="H238" s="309">
        <f t="shared" si="71"/>
        <v>0.16808000000000003</v>
      </c>
      <c r="I238" s="436">
        <f>IF(A238="---","---",IF(Reinf_cont="y",1,IF(INPUT!D113=0,0,INPUT!E113/(INPUT!D113*12))))</f>
        <v>6.7204301075268827E-2</v>
      </c>
      <c r="J238" s="309">
        <f>IF(A238="---","---",IF(Type_Reinf="g","---",IF(INPUT!D113=0,0,H238*(Fy/2)/(INPUT!E113/12))))</f>
        <v>30.254400000000004</v>
      </c>
      <c r="K238" s="309" t="str">
        <f>IF(A238="---","---",IF(Type_Reinf="g",(INPUT!M113+INPUT!N113),"---"))</f>
        <v>---</v>
      </c>
      <c r="L238" s="309" t="str">
        <f t="shared" si="72"/>
        <v>---</v>
      </c>
      <c r="M238" s="309">
        <f t="shared" si="73"/>
        <v>1.5249193548387101</v>
      </c>
      <c r="N238" s="309">
        <f t="shared" si="74"/>
        <v>2.0332258064516133</v>
      </c>
      <c r="O238" s="309" t="str">
        <f>IF(A238="---","---",IF(Type_Reinf="g",K238*INPUT!L113/MAX(RF_D,1.1),"---"))</f>
        <v>---</v>
      </c>
      <c r="P238" s="309" t="str">
        <f t="shared" si="75"/>
        <v>---</v>
      </c>
      <c r="Q238" s="309" t="str">
        <f t="shared" si="76"/>
        <v>---</v>
      </c>
      <c r="R238" s="309">
        <f>IF($A238="---","---",IF(Type_Reinf="g","---",INPUT!O113))</f>
        <v>5</v>
      </c>
      <c r="S238" s="309">
        <f>IF($A238="---","---",IF(Type_Reinf="g","---",INPUT!P113))</f>
        <v>6</v>
      </c>
      <c r="T238" s="309" t="str">
        <f>IF(Type_Reinf="g",IF(A238="---","---",phi_Tensile_Static*I238*INPUT!M113/$D$231),"---")</f>
        <v>---</v>
      </c>
      <c r="U238" s="337" t="str">
        <f>IF(Type_Reinf="g",IF(A238="---","---",phi_Tensile_Combined*I238*INPUT!N113/(MAX(RF_ID,1.1)*MAX(RF_D,1.1))),"---")</f>
        <v>---</v>
      </c>
      <c r="V238" s="437">
        <f>IF(A238="---","---",IF(Reinf_cont="y","N/A",IF(INPUT!D113=0,0,INPUT!E113/((1.5*INPUT!D113)*12))))</f>
        <v>4.4802867383512544E-2</v>
      </c>
      <c r="W238" s="137">
        <f t="shared" si="77"/>
        <v>1.0166129032258067</v>
      </c>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c r="A239" s="435">
        <f>IF(INPUT!B114="---","---",INPUT!A114)</f>
        <v>4</v>
      </c>
      <c r="B239" s="309">
        <f>IF(A239="---","---",IF(A239=1,Z_1,INPUT!B114))</f>
        <v>9</v>
      </c>
      <c r="C239" s="309">
        <f>IF(A239="---","---",INPUT!G114)</f>
        <v>0.16300000000000001</v>
      </c>
      <c r="D239" s="309">
        <f t="shared" si="70"/>
        <v>8.4040000000000017E-2</v>
      </c>
      <c r="E239" s="337">
        <f>IF(A239="---","---",INPUT!H114-2*$F$228)</f>
        <v>-7.8959999999999989E-2</v>
      </c>
      <c r="F239" s="309">
        <f>IF(A239="---","---",IF(INPUT!K114&gt;0,INPUT!K114,IF(INPUT!H114&gt;0,INPUT!F114*E239^2*PI()/4,D239*INPUT!E114)))</f>
        <v>0.16808000000000003</v>
      </c>
      <c r="G239" s="309">
        <f>IF(A239="---","---",IF(INPUT!K114&gt;0,INPUT!K114,INPUT!E114*INPUT!G114))</f>
        <v>0.32600000000000001</v>
      </c>
      <c r="H239" s="309">
        <f t="shared" si="71"/>
        <v>0.16808000000000003</v>
      </c>
      <c r="I239" s="436">
        <f>IF(A239="---","---",IF(Reinf_cont="y",1,IF(INPUT!D114=0,0,INPUT!E114/(INPUT!D114*12))))</f>
        <v>6.7204301075268827E-2</v>
      </c>
      <c r="J239" s="309">
        <f>IF(A239="---","---",IF(Type_Reinf="g","---",IF(INPUT!D114=0,0,H239*(Fy/2)/(INPUT!E114/12))))</f>
        <v>30.254400000000004</v>
      </c>
      <c r="K239" s="309" t="str">
        <f>IF(A239="---","---",IF(Type_Reinf="g",(INPUT!M114+INPUT!N114),"---"))</f>
        <v>---</v>
      </c>
      <c r="L239" s="309" t="str">
        <f t="shared" si="72"/>
        <v>---</v>
      </c>
      <c r="M239" s="309">
        <f t="shared" si="73"/>
        <v>1.5249193548387101</v>
      </c>
      <c r="N239" s="309">
        <f t="shared" si="74"/>
        <v>2.0332258064516133</v>
      </c>
      <c r="O239" s="309" t="str">
        <f>IF(A239="---","---",IF(Type_Reinf="g",K239*INPUT!L114/MAX(RF_D,1.1),"---"))</f>
        <v>---</v>
      </c>
      <c r="P239" s="309" t="str">
        <f t="shared" si="75"/>
        <v>---</v>
      </c>
      <c r="Q239" s="309" t="str">
        <f t="shared" si="76"/>
        <v>---</v>
      </c>
      <c r="R239" s="309">
        <f>IF($A239="---","---",IF(Type_Reinf="g","---",INPUT!O114))</f>
        <v>5</v>
      </c>
      <c r="S239" s="309">
        <f>IF($A239="---","---",IF(Type_Reinf="g","---",INPUT!P114))</f>
        <v>6</v>
      </c>
      <c r="T239" s="309" t="str">
        <f>IF(Type_Reinf="g",IF(A239="---","---",phi_Tensile_Static*I239*INPUT!M114/$D$231),"---")</f>
        <v>---</v>
      </c>
      <c r="U239" s="337" t="str">
        <f>IF(Type_Reinf="g",IF(A239="---","---",phi_Tensile_Combined*I239*INPUT!N114/(MAX(RF_ID,1.1)*MAX(RF_D,1.1))),"---")</f>
        <v>---</v>
      </c>
      <c r="V239" s="437">
        <f>IF(A239="---","---",IF(Reinf_cont="y","N/A",IF(INPUT!D114=0,0,INPUT!E114/((1.5*INPUT!D114)*12))))</f>
        <v>4.4802867383512544E-2</v>
      </c>
      <c r="W239" s="137">
        <f t="shared" si="77"/>
        <v>1.0166129032258067</v>
      </c>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c r="A240" s="435">
        <f>IF(INPUT!B115="---","---",INPUT!A115)</f>
        <v>5</v>
      </c>
      <c r="B240" s="309">
        <f>IF(A240="---","---",IF(A240=1,Z_1,INPUT!B115))</f>
        <v>11.5</v>
      </c>
      <c r="C240" s="309">
        <f>IF(A240="---","---",INPUT!G115)</f>
        <v>0.16300000000000001</v>
      </c>
      <c r="D240" s="309">
        <f t="shared" si="70"/>
        <v>8.4040000000000017E-2</v>
      </c>
      <c r="E240" s="337">
        <f>IF(A240="---","---",INPUT!H115-2*$F$228)</f>
        <v>-7.8959999999999989E-2</v>
      </c>
      <c r="F240" s="309">
        <f>IF(A240="---","---",IF(INPUT!K115&gt;0,INPUT!K115,IF(INPUT!H115&gt;0,INPUT!F115*E240^2*PI()/4,D240*INPUT!E115)))</f>
        <v>0.16808000000000003</v>
      </c>
      <c r="G240" s="309">
        <f>IF(A240="---","---",IF(INPUT!K115&gt;0,INPUT!K115,INPUT!E115*INPUT!G115))</f>
        <v>0.32600000000000001</v>
      </c>
      <c r="H240" s="309">
        <f t="shared" si="71"/>
        <v>0.16808000000000003</v>
      </c>
      <c r="I240" s="436">
        <f>IF(A240="---","---",IF(Reinf_cont="y",1,IF(INPUT!D115=0,0,INPUT!E115/(INPUT!D115*12))))</f>
        <v>6.7204301075268827E-2</v>
      </c>
      <c r="J240" s="309">
        <f>IF(A240="---","---",IF(Type_Reinf="g","---",IF(INPUT!D115=0,0,H240*(Fy/2)/(INPUT!E115/12))))</f>
        <v>30.254400000000004</v>
      </c>
      <c r="K240" s="309" t="str">
        <f>IF(A240="---","---",IF(Type_Reinf="g",(INPUT!M115+INPUT!N115),"---"))</f>
        <v>---</v>
      </c>
      <c r="L240" s="309" t="str">
        <f t="shared" si="72"/>
        <v>---</v>
      </c>
      <c r="M240" s="309">
        <f t="shared" si="73"/>
        <v>1.5249193548387101</v>
      </c>
      <c r="N240" s="309">
        <f t="shared" si="74"/>
        <v>2.0332258064516133</v>
      </c>
      <c r="O240" s="309" t="str">
        <f>IF(A240="---","---",IF(Type_Reinf="g",K240*INPUT!L115/MAX(RF_D,1.1),"---"))</f>
        <v>---</v>
      </c>
      <c r="P240" s="309" t="str">
        <f t="shared" si="75"/>
        <v>---</v>
      </c>
      <c r="Q240" s="309" t="str">
        <f t="shared" si="76"/>
        <v>---</v>
      </c>
      <c r="R240" s="309">
        <f>IF($A240="---","---",IF(Type_Reinf="g","---",INPUT!O115))</f>
        <v>5</v>
      </c>
      <c r="S240" s="309">
        <f>IF($A240="---","---",IF(Type_Reinf="g","---",INPUT!P115))</f>
        <v>6</v>
      </c>
      <c r="T240" s="309" t="str">
        <f>IF(Type_Reinf="g",IF(A240="---","---",phi_Tensile_Static*I240*INPUT!M115/$D$231),"---")</f>
        <v>---</v>
      </c>
      <c r="U240" s="337" t="str">
        <f>IF(Type_Reinf="g",IF(A240="---","---",phi_Tensile_Combined*I240*INPUT!N115/(MAX(RF_ID,1.1)*MAX(RF_D,1.1))),"---")</f>
        <v>---</v>
      </c>
      <c r="V240" s="437">
        <f>IF(A240="---","---",IF(Reinf_cont="y","N/A",IF(INPUT!D115=0,0,INPUT!E115/((1.5*INPUT!D115)*12))))</f>
        <v>4.4802867383512544E-2</v>
      </c>
      <c r="W240" s="137">
        <f t="shared" si="77"/>
        <v>1.0166129032258067</v>
      </c>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c r="A241" s="435">
        <f>IF(INPUT!B116="---","---",INPUT!A116)</f>
        <v>6</v>
      </c>
      <c r="B241" s="309">
        <f>IF(A241="---","---",IF(A241=1,Z_1,INPUT!B116))</f>
        <v>14</v>
      </c>
      <c r="C241" s="309">
        <f>IF(A241="---","---",INPUT!G116)</f>
        <v>0.16300000000000001</v>
      </c>
      <c r="D241" s="309">
        <f t="shared" si="70"/>
        <v>8.4040000000000017E-2</v>
      </c>
      <c r="E241" s="337">
        <f>IF(A241="---","---",INPUT!H116-2*$F$228)</f>
        <v>-7.8959999999999989E-2</v>
      </c>
      <c r="F241" s="309">
        <f>IF(A241="---","---",IF(INPUT!K116&gt;0,INPUT!K116,IF(INPUT!H116&gt;0,INPUT!F116*E241^2*PI()/4,D241*INPUT!E116)))</f>
        <v>0.16808000000000003</v>
      </c>
      <c r="G241" s="309">
        <f>IF(A241="---","---",IF(INPUT!K116&gt;0,INPUT!K116,INPUT!E116*INPUT!G116))</f>
        <v>0.32600000000000001</v>
      </c>
      <c r="H241" s="309">
        <f t="shared" si="71"/>
        <v>0.16808000000000003</v>
      </c>
      <c r="I241" s="436">
        <f>IF(A241="---","---",IF(Reinf_cont="y",1,IF(INPUT!D116=0,0,INPUT!E116/(INPUT!D116*12))))</f>
        <v>6.7204301075268827E-2</v>
      </c>
      <c r="J241" s="309">
        <f>IF(A241="---","---",IF(Type_Reinf="g","---",IF(INPUT!D116=0,0,H241*(Fy/2)/(INPUT!E116/12))))</f>
        <v>30.254400000000004</v>
      </c>
      <c r="K241" s="309" t="str">
        <f>IF(A241="---","---",IF(Type_Reinf="g",(INPUT!M116+INPUT!N116),"---"))</f>
        <v>---</v>
      </c>
      <c r="L241" s="309" t="str">
        <f t="shared" si="72"/>
        <v>---</v>
      </c>
      <c r="M241" s="309">
        <f t="shared" si="73"/>
        <v>1.5249193548387101</v>
      </c>
      <c r="N241" s="309">
        <f t="shared" si="74"/>
        <v>2.0332258064516133</v>
      </c>
      <c r="O241" s="309" t="str">
        <f>IF(A241="---","---",IF(Type_Reinf="g",K241*INPUT!L116/MAX(RF_D,1.1),"---"))</f>
        <v>---</v>
      </c>
      <c r="P241" s="309" t="str">
        <f t="shared" si="75"/>
        <v>---</v>
      </c>
      <c r="Q241" s="309" t="str">
        <f t="shared" si="76"/>
        <v>---</v>
      </c>
      <c r="R241" s="309">
        <f>IF($A241="---","---",IF(Type_Reinf="g","---",INPUT!O116))</f>
        <v>5</v>
      </c>
      <c r="S241" s="309">
        <f>IF($A241="---","---",IF(Type_Reinf="g","---",INPUT!P116))</f>
        <v>6</v>
      </c>
      <c r="T241" s="309" t="str">
        <f>IF(Type_Reinf="g",IF(A241="---","---",phi_Tensile_Static*I241*INPUT!M116/$D$231),"---")</f>
        <v>---</v>
      </c>
      <c r="U241" s="337" t="str">
        <f>IF(Type_Reinf="g",IF(A241="---","---",phi_Tensile_Combined*I241*INPUT!N116/(MAX(RF_ID,1.1)*MAX(RF_D,1.1))),"---")</f>
        <v>---</v>
      </c>
      <c r="V241" s="437">
        <f>IF(A241="---","---",IF(Reinf_cont="y","N/A",IF(INPUT!D116=0,0,INPUT!E116/((1.5*INPUT!D116)*12))))</f>
        <v>4.4802867383512544E-2</v>
      </c>
      <c r="W241" s="137">
        <f t="shared" si="77"/>
        <v>1.0166129032258067</v>
      </c>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c r="A242" s="435" t="str">
        <f>IF(INPUT!B117="---","---",INPUT!A117)</f>
        <v>---</v>
      </c>
      <c r="B242" s="309" t="str">
        <f>IF(A242="---","---",IF(A242=1,Z_1,INPUT!B117))</f>
        <v>---</v>
      </c>
      <c r="C242" s="309" t="str">
        <f>IF(A242="---","---",INPUT!G117)</f>
        <v>---</v>
      </c>
      <c r="D242" s="309" t="str">
        <f t="shared" si="70"/>
        <v>---</v>
      </c>
      <c r="E242" s="337" t="str">
        <f>IF(A242="---","---",INPUT!H117-2*$F$228)</f>
        <v>---</v>
      </c>
      <c r="F242" s="309" t="str">
        <f>IF(A242="---","---",IF(INPUT!K117&gt;0,INPUT!K117,IF(INPUT!H117&gt;0,INPUT!F117*E242^2*PI()/4,D242*INPUT!E117)))</f>
        <v>---</v>
      </c>
      <c r="G242" s="309" t="str">
        <f>IF(A242="---","---",IF(INPUT!K117&gt;0,INPUT!K117,INPUT!E117*INPUT!G117))</f>
        <v>---</v>
      </c>
      <c r="H242" s="309" t="str">
        <f t="shared" si="71"/>
        <v>---</v>
      </c>
      <c r="I242" s="436" t="str">
        <f>IF(A242="---","---",IF(Reinf_cont="y",1,IF(INPUT!D117=0,0,INPUT!E117/(INPUT!D117*12))))</f>
        <v>---</v>
      </c>
      <c r="J242" s="309" t="str">
        <f>IF(A242="---","---",IF(Type_Reinf="g","---",IF(INPUT!D117=0,0,H242*(Fy/2)/(INPUT!E117/12))))</f>
        <v>---</v>
      </c>
      <c r="K242" s="309" t="str">
        <f>IF(A242="---","---",IF(Type_Reinf="g",(INPUT!M117+INPUT!N117),"---"))</f>
        <v>---</v>
      </c>
      <c r="L242" s="309" t="str">
        <f t="shared" si="72"/>
        <v>---</v>
      </c>
      <c r="M242" s="309" t="str">
        <f t="shared" si="73"/>
        <v>---</v>
      </c>
      <c r="N242" s="309" t="str">
        <f t="shared" si="74"/>
        <v>---</v>
      </c>
      <c r="O242" s="309" t="str">
        <f>IF(A242="---","---",IF(Type_Reinf="g",K242*INPUT!L117/MAX(RF_D,1.1),"---"))</f>
        <v>---</v>
      </c>
      <c r="P242" s="309" t="str">
        <f t="shared" si="75"/>
        <v>---</v>
      </c>
      <c r="Q242" s="309" t="str">
        <f t="shared" si="76"/>
        <v>---</v>
      </c>
      <c r="R242" s="309" t="str">
        <f>IF($A242="---","---",IF(Type_Reinf="g","---",INPUT!O117))</f>
        <v>---</v>
      </c>
      <c r="S242" s="309" t="str">
        <f>IF($A242="---","---",IF(Type_Reinf="g","---",INPUT!P117))</f>
        <v>---</v>
      </c>
      <c r="T242" s="309" t="str">
        <f>IF(Type_Reinf="g",IF(A242="---","---",phi_Tensile_Static*I242*INPUT!M117/$D$231),"---")</f>
        <v>---</v>
      </c>
      <c r="U242" s="337" t="str">
        <f>IF(Type_Reinf="g",IF(A242="---","---",phi_Tensile_Combined*I242*INPUT!N117/(MAX(RF_ID,1.1)*MAX(RF_D,1.1))),"---")</f>
        <v>---</v>
      </c>
      <c r="V242" s="437" t="str">
        <f>IF(A242="---","---",IF(Reinf_cont="y","N/A",IF(INPUT!D117=0,0,INPUT!E117/((1.5*INPUT!D117)*12))))</f>
        <v>---</v>
      </c>
      <c r="W242" s="137" t="str">
        <f t="shared" si="77"/>
        <v>---</v>
      </c>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c r="A243" s="435" t="str">
        <f>IF(INPUT!B118="---","---",INPUT!A118)</f>
        <v>---</v>
      </c>
      <c r="B243" s="309" t="str">
        <f>IF(A243="---","---",IF(A243=1,Z_1,INPUT!B118))</f>
        <v>---</v>
      </c>
      <c r="C243" s="309" t="str">
        <f>IF(A243="---","---",INPUT!G118)</f>
        <v>---</v>
      </c>
      <c r="D243" s="309" t="str">
        <f t="shared" si="70"/>
        <v>---</v>
      </c>
      <c r="E243" s="337" t="str">
        <f>IF(A243="---","---",INPUT!H118-2*$F$228)</f>
        <v>---</v>
      </c>
      <c r="F243" s="309" t="str">
        <f>IF(A243="---","---",IF(INPUT!K118&gt;0,INPUT!K118,IF(INPUT!H118&gt;0,INPUT!F118*E243^2*PI()/4,D243*INPUT!E118)))</f>
        <v>---</v>
      </c>
      <c r="G243" s="309" t="str">
        <f>IF(A243="---","---",IF(INPUT!K118&gt;0,INPUT!K118,INPUT!E118*INPUT!G118))</f>
        <v>---</v>
      </c>
      <c r="H243" s="309" t="str">
        <f t="shared" si="71"/>
        <v>---</v>
      </c>
      <c r="I243" s="436" t="str">
        <f>IF(A243="---","---",IF(Reinf_cont="y",1,IF(INPUT!D118=0,0,INPUT!E118/(INPUT!D118*12))))</f>
        <v>---</v>
      </c>
      <c r="J243" s="309" t="str">
        <f>IF(A243="---","---",IF(Type_Reinf="g","---",IF(INPUT!D118=0,0,H243*(Fy/2)/(INPUT!E118/12))))</f>
        <v>---</v>
      </c>
      <c r="K243" s="309" t="str">
        <f>IF(A243="---","---",IF(Type_Reinf="g",(INPUT!M118+INPUT!N118),"---"))</f>
        <v>---</v>
      </c>
      <c r="L243" s="309" t="str">
        <f t="shared" si="72"/>
        <v>---</v>
      </c>
      <c r="M243" s="309" t="str">
        <f t="shared" si="73"/>
        <v>---</v>
      </c>
      <c r="N243" s="309" t="str">
        <f t="shared" si="74"/>
        <v>---</v>
      </c>
      <c r="O243" s="309" t="str">
        <f>IF(A243="---","---",IF(Type_Reinf="g",K243*INPUT!L118/MAX(RF_D,1.1),"---"))</f>
        <v>---</v>
      </c>
      <c r="P243" s="309" t="str">
        <f t="shared" si="75"/>
        <v>---</v>
      </c>
      <c r="Q243" s="309" t="str">
        <f t="shared" si="76"/>
        <v>---</v>
      </c>
      <c r="R243" s="309" t="str">
        <f>IF($A243="---","---",IF(Type_Reinf="g","---",INPUT!O118))</f>
        <v>---</v>
      </c>
      <c r="S243" s="309" t="str">
        <f>IF($A243="---","---",IF(Type_Reinf="g","---",INPUT!P118))</f>
        <v>---</v>
      </c>
      <c r="T243" s="309" t="str">
        <f>IF(Type_Reinf="g",IF(A243="---","---",phi_Tensile_Static*I243*INPUT!M118/$D$231),"---")</f>
        <v>---</v>
      </c>
      <c r="U243" s="337" t="str">
        <f>IF(Type_Reinf="g",IF(A243="---","---",phi_Tensile_Combined*I243*INPUT!N118/(MAX(RF_ID,1.1)*MAX(RF_D,1.1))),"---")</f>
        <v>---</v>
      </c>
      <c r="V243" s="437" t="str">
        <f>IF(A243="---","---",IF(Reinf_cont="y","N/A",IF(INPUT!D118=0,0,INPUT!E118/((1.5*INPUT!D118)*12))))</f>
        <v>---</v>
      </c>
      <c r="W243" s="137" t="str">
        <f t="shared" si="77"/>
        <v>---</v>
      </c>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c r="A244" s="435" t="str">
        <f>IF(INPUT!B119="---","---",INPUT!A119)</f>
        <v>---</v>
      </c>
      <c r="B244" s="309" t="str">
        <f>IF(A244="---","---",IF(A244=1,Z_1,INPUT!B119))</f>
        <v>---</v>
      </c>
      <c r="C244" s="309" t="str">
        <f>IF(A244="---","---",INPUT!G119)</f>
        <v>---</v>
      </c>
      <c r="D244" s="309" t="str">
        <f t="shared" si="70"/>
        <v>---</v>
      </c>
      <c r="E244" s="337" t="str">
        <f>IF(A244="---","---",INPUT!H119-2*$F$228)</f>
        <v>---</v>
      </c>
      <c r="F244" s="309" t="str">
        <f>IF(A244="---","---",IF(INPUT!K119&gt;0,INPUT!K119,IF(INPUT!H119&gt;0,INPUT!F119*E244^2*PI()/4,D244*INPUT!E119)))</f>
        <v>---</v>
      </c>
      <c r="G244" s="309" t="str">
        <f>IF(A244="---","---",IF(INPUT!K119&gt;0,INPUT!K119,INPUT!E119*INPUT!G119))</f>
        <v>---</v>
      </c>
      <c r="H244" s="309" t="str">
        <f t="shared" si="71"/>
        <v>---</v>
      </c>
      <c r="I244" s="436" t="str">
        <f>IF(A244="---","---",IF(Reinf_cont="y",1,IF(INPUT!D119=0,0,INPUT!E119/(INPUT!D119*12))))</f>
        <v>---</v>
      </c>
      <c r="J244" s="309" t="str">
        <f>IF(A244="---","---",IF(Type_Reinf="g","---",IF(INPUT!D119=0,0,H244*(Fy/2)/(INPUT!E119/12))))</f>
        <v>---</v>
      </c>
      <c r="K244" s="309" t="str">
        <f>IF(A244="---","---",IF(Type_Reinf="g",(INPUT!M119+INPUT!N119),"---"))</f>
        <v>---</v>
      </c>
      <c r="L244" s="309" t="str">
        <f t="shared" si="72"/>
        <v>---</v>
      </c>
      <c r="M244" s="309" t="str">
        <f t="shared" si="73"/>
        <v>---</v>
      </c>
      <c r="N244" s="309" t="str">
        <f t="shared" si="74"/>
        <v>---</v>
      </c>
      <c r="O244" s="309" t="str">
        <f>IF(A244="---","---",IF(Type_Reinf="g",K244*INPUT!L119/MAX(RF_D,1.1),"---"))</f>
        <v>---</v>
      </c>
      <c r="P244" s="309" t="str">
        <f t="shared" si="75"/>
        <v>---</v>
      </c>
      <c r="Q244" s="309" t="str">
        <f t="shared" si="76"/>
        <v>---</v>
      </c>
      <c r="R244" s="309" t="str">
        <f>IF($A244="---","---",IF(Type_Reinf="g","---",INPUT!O119))</f>
        <v>---</v>
      </c>
      <c r="S244" s="309" t="str">
        <f>IF($A244="---","---",IF(Type_Reinf="g","---",INPUT!P119))</f>
        <v>---</v>
      </c>
      <c r="T244" s="309" t="str">
        <f>IF(Type_Reinf="g",IF(A244="---","---",phi_Tensile_Static*I244*INPUT!M119/$D$231),"---")</f>
        <v>---</v>
      </c>
      <c r="U244" s="337" t="str">
        <f>IF(Type_Reinf="g",IF(A244="---","---",phi_Tensile_Combined*I244*INPUT!N119/(MAX(RF_ID,1.1)*MAX(RF_D,1.1))),"---")</f>
        <v>---</v>
      </c>
      <c r="V244" s="437" t="str">
        <f>IF(A244="---","---",IF(Reinf_cont="y","N/A",IF(INPUT!D119=0,0,INPUT!E119/((1.5*INPUT!D119)*12))))</f>
        <v>---</v>
      </c>
      <c r="W244" s="137" t="str">
        <f t="shared" si="77"/>
        <v>---</v>
      </c>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c r="A245" s="435" t="str">
        <f>IF(INPUT!B120="---","---",INPUT!A120)</f>
        <v>---</v>
      </c>
      <c r="B245" s="309" t="str">
        <f>IF(A245="---","---",IF(A245=1,Z_1,INPUT!B120))</f>
        <v>---</v>
      </c>
      <c r="C245" s="309" t="str">
        <f>IF(A245="---","---",INPUT!G120)</f>
        <v>---</v>
      </c>
      <c r="D245" s="309" t="str">
        <f t="shared" si="70"/>
        <v>---</v>
      </c>
      <c r="E245" s="337" t="str">
        <f>IF(A245="---","---",INPUT!H120-2*$F$228)</f>
        <v>---</v>
      </c>
      <c r="F245" s="309" t="str">
        <f>IF(A245="---","---",IF(INPUT!K120&gt;0,INPUT!K120,IF(INPUT!H120&gt;0,INPUT!F120*E245^2*PI()/4,D245*INPUT!E120)))</f>
        <v>---</v>
      </c>
      <c r="G245" s="309" t="str">
        <f>IF(A245="---","---",IF(INPUT!K120&gt;0,INPUT!K120,INPUT!E120*INPUT!G120))</f>
        <v>---</v>
      </c>
      <c r="H245" s="309" t="str">
        <f t="shared" si="71"/>
        <v>---</v>
      </c>
      <c r="I245" s="436" t="str">
        <f>IF(A245="---","---",IF(Reinf_cont="y",1,IF(INPUT!D120=0,0,INPUT!E120/(INPUT!D120*12))))</f>
        <v>---</v>
      </c>
      <c r="J245" s="309" t="str">
        <f>IF(A245="---","---",IF(Type_Reinf="g","---",IF(INPUT!D120=0,0,H245*(Fy/2)/(INPUT!E120/12))))</f>
        <v>---</v>
      </c>
      <c r="K245" s="309" t="str">
        <f>IF(A245="---","---",IF(Type_Reinf="g",(INPUT!M120+INPUT!N120),"---"))</f>
        <v>---</v>
      </c>
      <c r="L245" s="309" t="str">
        <f t="shared" si="72"/>
        <v>---</v>
      </c>
      <c r="M245" s="309" t="str">
        <f t="shared" si="73"/>
        <v>---</v>
      </c>
      <c r="N245" s="309" t="str">
        <f t="shared" si="74"/>
        <v>---</v>
      </c>
      <c r="O245" s="309" t="str">
        <f>IF(A245="---","---",IF(Type_Reinf="g",K245*INPUT!L120/MAX(RF_D,1.1),"---"))</f>
        <v>---</v>
      </c>
      <c r="P245" s="309" t="str">
        <f t="shared" si="75"/>
        <v>---</v>
      </c>
      <c r="Q245" s="309" t="str">
        <f t="shared" si="76"/>
        <v>---</v>
      </c>
      <c r="R245" s="309" t="str">
        <f>IF($A245="---","---",IF(Type_Reinf="g","---",INPUT!O120))</f>
        <v>---</v>
      </c>
      <c r="S245" s="309" t="str">
        <f>IF($A245="---","---",IF(Type_Reinf="g","---",INPUT!P120))</f>
        <v>---</v>
      </c>
      <c r="T245" s="309" t="str">
        <f>IF(Type_Reinf="g",IF(A245="---","---",phi_Tensile_Static*I245*INPUT!M120/$D$231),"---")</f>
        <v>---</v>
      </c>
      <c r="U245" s="337" t="str">
        <f>IF(Type_Reinf="g",IF(A245="---","---",phi_Tensile_Combined*I245*INPUT!N120/(MAX(RF_ID,1.1)*MAX(RF_D,1.1))),"---")</f>
        <v>---</v>
      </c>
      <c r="V245" s="437" t="str">
        <f>IF(A245="---","---",IF(Reinf_cont="y","N/A",IF(INPUT!D120=0,0,INPUT!E120/((1.5*INPUT!D120)*12))))</f>
        <v>---</v>
      </c>
      <c r="W245" s="137" t="str">
        <f t="shared" si="77"/>
        <v>---</v>
      </c>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c r="A246" s="435" t="str">
        <f>IF(INPUT!B121="---","---",INPUT!A121)</f>
        <v>---</v>
      </c>
      <c r="B246" s="309" t="str">
        <f>IF(A246="---","---",IF(A246=1,Z_1,INPUT!B121))</f>
        <v>---</v>
      </c>
      <c r="C246" s="309" t="str">
        <f>IF(A246="---","---",INPUT!G121)</f>
        <v>---</v>
      </c>
      <c r="D246" s="309" t="str">
        <f t="shared" si="70"/>
        <v>---</v>
      </c>
      <c r="E246" s="337" t="str">
        <f>IF(A246="---","---",INPUT!H121-2*$F$228)</f>
        <v>---</v>
      </c>
      <c r="F246" s="309" t="str">
        <f>IF(A246="---","---",IF(INPUT!K121&gt;0,INPUT!K121,IF(INPUT!H121&gt;0,INPUT!F121*E246^2*PI()/4,D246*INPUT!E121)))</f>
        <v>---</v>
      </c>
      <c r="G246" s="309" t="str">
        <f>IF(A246="---","---",IF(INPUT!K121&gt;0,INPUT!K121,INPUT!E121*INPUT!G121))</f>
        <v>---</v>
      </c>
      <c r="H246" s="309" t="str">
        <f t="shared" si="71"/>
        <v>---</v>
      </c>
      <c r="I246" s="436" t="str">
        <f>IF(A246="---","---",IF(Reinf_cont="y",1,IF(INPUT!D121=0,0,INPUT!E121/(INPUT!D121*12))))</f>
        <v>---</v>
      </c>
      <c r="J246" s="309" t="str">
        <f>IF(A246="---","---",IF(Type_Reinf="g","---",IF(INPUT!D121=0,0,H246*(Fy/2)/(INPUT!E121/12))))</f>
        <v>---</v>
      </c>
      <c r="K246" s="309" t="str">
        <f>IF(A246="---","---",IF(Type_Reinf="g",(INPUT!M121+INPUT!N121),"---"))</f>
        <v>---</v>
      </c>
      <c r="L246" s="309" t="str">
        <f t="shared" si="72"/>
        <v>---</v>
      </c>
      <c r="M246" s="309" t="str">
        <f t="shared" si="73"/>
        <v>---</v>
      </c>
      <c r="N246" s="309" t="str">
        <f t="shared" si="74"/>
        <v>---</v>
      </c>
      <c r="O246" s="309" t="str">
        <f>IF(A246="---","---",IF(Type_Reinf="g",K246*INPUT!L121/MAX(RF_D,1.1),"---"))</f>
        <v>---</v>
      </c>
      <c r="P246" s="309" t="str">
        <f t="shared" si="75"/>
        <v>---</v>
      </c>
      <c r="Q246" s="309" t="str">
        <f t="shared" si="76"/>
        <v>---</v>
      </c>
      <c r="R246" s="309" t="str">
        <f>IF($A246="---","---",IF(Type_Reinf="g","---",INPUT!O121))</f>
        <v>---</v>
      </c>
      <c r="S246" s="309" t="str">
        <f>IF($A246="---","---",IF(Type_Reinf="g","---",INPUT!P121))</f>
        <v>---</v>
      </c>
      <c r="T246" s="309" t="str">
        <f>IF(Type_Reinf="g",IF(A246="---","---",phi_Tensile_Static*I246*INPUT!M121/$D$231),"---")</f>
        <v>---</v>
      </c>
      <c r="U246" s="337" t="str">
        <f>IF(Type_Reinf="g",IF(A246="---","---",phi_Tensile_Combined*I246*INPUT!N121/(MAX(RF_ID,1.1)*MAX(RF_D,1.1))),"---")</f>
        <v>---</v>
      </c>
      <c r="V246" s="437" t="str">
        <f>IF(A246="---","---",IF(Reinf_cont="y","N/A",IF(INPUT!D121=0,0,INPUT!E121/((1.5*INPUT!D121)*12))))</f>
        <v>---</v>
      </c>
      <c r="W246" s="137" t="str">
        <f t="shared" si="77"/>
        <v>---</v>
      </c>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c r="A247" s="435" t="str">
        <f>IF(INPUT!B122="---","---",INPUT!A122)</f>
        <v>---</v>
      </c>
      <c r="B247" s="309" t="str">
        <f>IF(A247="---","---",IF(A247=1,Z_1,INPUT!B122))</f>
        <v>---</v>
      </c>
      <c r="C247" s="309" t="str">
        <f>IF(A247="---","---",INPUT!G122)</f>
        <v>---</v>
      </c>
      <c r="D247" s="309" t="str">
        <f t="shared" si="70"/>
        <v>---</v>
      </c>
      <c r="E247" s="337" t="str">
        <f>IF(A247="---","---",INPUT!H122-2*$F$228)</f>
        <v>---</v>
      </c>
      <c r="F247" s="309" t="str">
        <f>IF(A247="---","---",IF(INPUT!K122&gt;0,INPUT!K122,IF(INPUT!H122&gt;0,INPUT!F122*E247^2*PI()/4,D247*INPUT!E122)))</f>
        <v>---</v>
      </c>
      <c r="G247" s="309" t="str">
        <f>IF(A247="---","---",IF(INPUT!K122&gt;0,INPUT!K122,INPUT!E122*INPUT!G122))</f>
        <v>---</v>
      </c>
      <c r="H247" s="309" t="str">
        <f t="shared" si="71"/>
        <v>---</v>
      </c>
      <c r="I247" s="436" t="str">
        <f>IF(A247="---","---",IF(Reinf_cont="y",1,IF(INPUT!D122=0,0,INPUT!E122/(INPUT!D122*12))))</f>
        <v>---</v>
      </c>
      <c r="J247" s="309" t="str">
        <f>IF(A247="---","---",IF(Type_Reinf="g","---",IF(INPUT!D122=0,0,H247*(Fy/2)/(INPUT!E122/12))))</f>
        <v>---</v>
      </c>
      <c r="K247" s="309" t="str">
        <f>IF(A247="---","---",IF(Type_Reinf="g",(INPUT!M122+INPUT!N122),"---"))</f>
        <v>---</v>
      </c>
      <c r="L247" s="309" t="str">
        <f t="shared" si="72"/>
        <v>---</v>
      </c>
      <c r="M247" s="309" t="str">
        <f t="shared" si="73"/>
        <v>---</v>
      </c>
      <c r="N247" s="309" t="str">
        <f t="shared" si="74"/>
        <v>---</v>
      </c>
      <c r="O247" s="309" t="str">
        <f>IF(A247="---","---",IF(Type_Reinf="g",K247*INPUT!L122/MAX(RF_D,1.1),"---"))</f>
        <v>---</v>
      </c>
      <c r="P247" s="309" t="str">
        <f t="shared" si="75"/>
        <v>---</v>
      </c>
      <c r="Q247" s="309" t="str">
        <f t="shared" si="76"/>
        <v>---</v>
      </c>
      <c r="R247" s="309" t="str">
        <f>IF($A247="---","---",IF(Type_Reinf="g","---",INPUT!O122))</f>
        <v>---</v>
      </c>
      <c r="S247" s="309" t="str">
        <f>IF($A247="---","---",IF(Type_Reinf="g","---",INPUT!P122))</f>
        <v>---</v>
      </c>
      <c r="T247" s="309" t="str">
        <f>IF(Type_Reinf="g",IF(A247="---","---",phi_Tensile_Static*I247*INPUT!M122/$D$231),"---")</f>
        <v>---</v>
      </c>
      <c r="U247" s="337" t="str">
        <f>IF(Type_Reinf="g",IF(A247="---","---",phi_Tensile_Combined*I247*INPUT!N122/(MAX(RF_ID,1.1)*MAX(RF_D,1.1))),"---")</f>
        <v>---</v>
      </c>
      <c r="V247" s="437" t="str">
        <f>IF(A247="---","---",IF(Reinf_cont="y","N/A",IF(INPUT!D122=0,0,INPUT!E122/((1.5*INPUT!D122)*12))))</f>
        <v>---</v>
      </c>
      <c r="W247" s="137" t="str">
        <f t="shared" si="77"/>
        <v>---</v>
      </c>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c r="A248" s="435" t="str">
        <f>IF(INPUT!B123="---","---",INPUT!A123)</f>
        <v>---</v>
      </c>
      <c r="B248" s="309" t="str">
        <f>IF(A248="---","---",IF(A248=1,Z_1,INPUT!B123))</f>
        <v>---</v>
      </c>
      <c r="C248" s="309" t="str">
        <f>IF(A248="---","---",INPUT!G123)</f>
        <v>---</v>
      </c>
      <c r="D248" s="309" t="str">
        <f t="shared" si="70"/>
        <v>---</v>
      </c>
      <c r="E248" s="337" t="str">
        <f>IF(A248="---","---",INPUT!H123-2*$F$228)</f>
        <v>---</v>
      </c>
      <c r="F248" s="309" t="str">
        <f>IF(A248="---","---",IF(INPUT!K123&gt;0,INPUT!K123,IF(INPUT!H123&gt;0,INPUT!F123*E248^2*PI()/4,D248*INPUT!E123)))</f>
        <v>---</v>
      </c>
      <c r="G248" s="309" t="str">
        <f>IF(A248="---","---",IF(INPUT!K123&gt;0,INPUT!K123,INPUT!E123*INPUT!G123))</f>
        <v>---</v>
      </c>
      <c r="H248" s="309" t="str">
        <f t="shared" si="71"/>
        <v>---</v>
      </c>
      <c r="I248" s="436" t="str">
        <f>IF(A248="---","---",IF(Reinf_cont="y",1,IF(INPUT!D123=0,0,INPUT!E123/(INPUT!D123*12))))</f>
        <v>---</v>
      </c>
      <c r="J248" s="309" t="str">
        <f>IF(A248="---","---",IF(Type_Reinf="g","---",IF(INPUT!D123=0,0,H248*(Fy/2)/(INPUT!E123/12))))</f>
        <v>---</v>
      </c>
      <c r="K248" s="309" t="str">
        <f>IF(A248="---","---",IF(Type_Reinf="g",(INPUT!M123+INPUT!N123),"---"))</f>
        <v>---</v>
      </c>
      <c r="L248" s="309" t="str">
        <f t="shared" si="72"/>
        <v>---</v>
      </c>
      <c r="M248" s="309" t="str">
        <f t="shared" si="73"/>
        <v>---</v>
      </c>
      <c r="N248" s="309" t="str">
        <f t="shared" si="74"/>
        <v>---</v>
      </c>
      <c r="O248" s="309" t="str">
        <f>IF(A248="---","---",IF(Type_Reinf="g",K248*INPUT!L123/MAX(RF_D,1.1),"---"))</f>
        <v>---</v>
      </c>
      <c r="P248" s="309" t="str">
        <f t="shared" si="75"/>
        <v>---</v>
      </c>
      <c r="Q248" s="309" t="str">
        <f t="shared" si="76"/>
        <v>---</v>
      </c>
      <c r="R248" s="309" t="str">
        <f>IF($A248="---","---",IF(Type_Reinf="g","---",INPUT!O123))</f>
        <v>---</v>
      </c>
      <c r="S248" s="309" t="str">
        <f>IF($A248="---","---",IF(Type_Reinf="g","---",INPUT!P123))</f>
        <v>---</v>
      </c>
      <c r="T248" s="309" t="str">
        <f>IF(Type_Reinf="g",IF(A248="---","---",phi_Tensile_Static*I248*INPUT!M123/$D$231),"---")</f>
        <v>---</v>
      </c>
      <c r="U248" s="337" t="str">
        <f>IF(Type_Reinf="g",IF(A248="---","---",phi_Tensile_Combined*I248*INPUT!N123/(MAX(RF_ID,1.1)*MAX(RF_D,1.1))),"---")</f>
        <v>---</v>
      </c>
      <c r="V248" s="437" t="str">
        <f>IF(A248="---","---",IF(Reinf_cont="y","N/A",IF(INPUT!D123=0,0,INPUT!E123/((1.5*INPUT!D123)*12))))</f>
        <v>---</v>
      </c>
      <c r="W248" s="137" t="str">
        <f t="shared" si="77"/>
        <v>---</v>
      </c>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c r="A249" s="435" t="str">
        <f>IF(INPUT!B124="---","---",INPUT!A124)</f>
        <v>---</v>
      </c>
      <c r="B249" s="309" t="str">
        <f>IF(A249="---","---",IF(A249=1,Z_1,INPUT!B124))</f>
        <v>---</v>
      </c>
      <c r="C249" s="309" t="str">
        <f>IF(A249="---","---",INPUT!G124)</f>
        <v>---</v>
      </c>
      <c r="D249" s="309" t="str">
        <f t="shared" si="70"/>
        <v>---</v>
      </c>
      <c r="E249" s="337" t="str">
        <f>IF(A249="---","---",INPUT!H124-2*$F$228)</f>
        <v>---</v>
      </c>
      <c r="F249" s="309" t="str">
        <f>IF(A249="---","---",IF(INPUT!K124&gt;0,INPUT!K124,IF(INPUT!H124&gt;0,INPUT!F124*E249^2*PI()/4,D249*INPUT!E124)))</f>
        <v>---</v>
      </c>
      <c r="G249" s="309" t="str">
        <f>IF(A249="---","---",IF(INPUT!K124&gt;0,INPUT!K124,INPUT!E124*INPUT!G124))</f>
        <v>---</v>
      </c>
      <c r="H249" s="309" t="str">
        <f t="shared" si="71"/>
        <v>---</v>
      </c>
      <c r="I249" s="436" t="str">
        <f>IF(A249="---","---",IF(Reinf_cont="y",1,IF(INPUT!D124=0,0,INPUT!E124/(INPUT!D124*12))))</f>
        <v>---</v>
      </c>
      <c r="J249" s="309" t="str">
        <f>IF(A249="---","---",IF(Type_Reinf="g","---",IF(INPUT!D124=0,0,H249*(Fy/2)/(INPUT!E124/12))))</f>
        <v>---</v>
      </c>
      <c r="K249" s="309" t="str">
        <f>IF(A249="---","---",IF(Type_Reinf="g",(INPUT!M124+INPUT!N124),"---"))</f>
        <v>---</v>
      </c>
      <c r="L249" s="309" t="str">
        <f t="shared" si="72"/>
        <v>---</v>
      </c>
      <c r="M249" s="309" t="str">
        <f t="shared" si="73"/>
        <v>---</v>
      </c>
      <c r="N249" s="309" t="str">
        <f t="shared" si="74"/>
        <v>---</v>
      </c>
      <c r="O249" s="309" t="str">
        <f>IF(A249="---","---",IF(Type_Reinf="g",K249*INPUT!L124/MAX(RF_D,1.1),"---"))</f>
        <v>---</v>
      </c>
      <c r="P249" s="309" t="str">
        <f t="shared" si="75"/>
        <v>---</v>
      </c>
      <c r="Q249" s="309" t="str">
        <f t="shared" si="76"/>
        <v>---</v>
      </c>
      <c r="R249" s="309" t="str">
        <f>IF($A249="---","---",IF(Type_Reinf="g","---",INPUT!O124))</f>
        <v>---</v>
      </c>
      <c r="S249" s="309" t="str">
        <f>IF($A249="---","---",IF(Type_Reinf="g","---",INPUT!P124))</f>
        <v>---</v>
      </c>
      <c r="T249" s="309" t="str">
        <f>IF(Type_Reinf="g",IF(A249="---","---",phi_Tensile_Static*I249*INPUT!M124/$D$231),"---")</f>
        <v>---</v>
      </c>
      <c r="U249" s="337" t="str">
        <f>IF(Type_Reinf="g",IF(A249="---","---",phi_Tensile_Combined*I249*INPUT!N124/(MAX(RF_ID,1.1)*MAX(RF_D,1.1))),"---")</f>
        <v>---</v>
      </c>
      <c r="V249" s="437" t="str">
        <f>IF(A249="---","---",IF(Reinf_cont="y","N/A",IF(INPUT!D124=0,0,INPUT!E124/((1.5*INPUT!D124)*12))))</f>
        <v>---</v>
      </c>
      <c r="W249" s="137" t="str">
        <f t="shared" si="77"/>
        <v>---</v>
      </c>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c r="A250" s="435" t="str">
        <f>IF(INPUT!B125="---","---",INPUT!A125)</f>
        <v>---</v>
      </c>
      <c r="B250" s="309" t="str">
        <f>IF(A250="---","---",IF(A250=1,Z_1,INPUT!B125))</f>
        <v>---</v>
      </c>
      <c r="C250" s="309" t="str">
        <f>IF(A250="---","---",INPUT!G125)</f>
        <v>---</v>
      </c>
      <c r="D250" s="309" t="str">
        <f t="shared" si="70"/>
        <v>---</v>
      </c>
      <c r="E250" s="337" t="str">
        <f>IF(A250="---","---",INPUT!H125-2*$F$228)</f>
        <v>---</v>
      </c>
      <c r="F250" s="309" t="str">
        <f>IF(A250="---","---",IF(INPUT!K125&gt;0,INPUT!K125,IF(INPUT!H125&gt;0,INPUT!F125*E250^2*PI()/4,D250*INPUT!E125)))</f>
        <v>---</v>
      </c>
      <c r="G250" s="309" t="str">
        <f>IF(A250="---","---",IF(INPUT!K125&gt;0,INPUT!K125,INPUT!E125*INPUT!G125))</f>
        <v>---</v>
      </c>
      <c r="H250" s="309" t="str">
        <f t="shared" si="71"/>
        <v>---</v>
      </c>
      <c r="I250" s="436" t="str">
        <f>IF(A250="---","---",IF(Reinf_cont="y",1,IF(INPUT!D125=0,0,INPUT!E125/(INPUT!D125*12))))</f>
        <v>---</v>
      </c>
      <c r="J250" s="309" t="str">
        <f>IF(A250="---","---",IF(Type_Reinf="g","---",IF(INPUT!D125=0,0,H250*(Fy/2)/(INPUT!E125/12))))</f>
        <v>---</v>
      </c>
      <c r="K250" s="309" t="str">
        <f>IF(A250="---","---",IF(Type_Reinf="g",(INPUT!M125+INPUT!N125),"---"))</f>
        <v>---</v>
      </c>
      <c r="L250" s="309" t="str">
        <f t="shared" si="72"/>
        <v>---</v>
      </c>
      <c r="M250" s="309" t="str">
        <f t="shared" si="73"/>
        <v>---</v>
      </c>
      <c r="N250" s="309" t="str">
        <f t="shared" si="74"/>
        <v>---</v>
      </c>
      <c r="O250" s="309" t="str">
        <f>IF(A250="---","---",IF(Type_Reinf="g",K250*INPUT!L125/MAX(RF_D,1.1),"---"))</f>
        <v>---</v>
      </c>
      <c r="P250" s="309" t="str">
        <f t="shared" si="75"/>
        <v>---</v>
      </c>
      <c r="Q250" s="309" t="str">
        <f t="shared" si="76"/>
        <v>---</v>
      </c>
      <c r="R250" s="309" t="str">
        <f>IF($A250="---","---",IF(Type_Reinf="g","---",INPUT!O125))</f>
        <v>---</v>
      </c>
      <c r="S250" s="309" t="str">
        <f>IF($A250="---","---",IF(Type_Reinf="g","---",INPUT!P125))</f>
        <v>---</v>
      </c>
      <c r="T250" s="309" t="str">
        <f>IF(Type_Reinf="g",IF(A250="---","---",phi_Tensile_Static*I250*INPUT!M125/$D$231),"---")</f>
        <v>---</v>
      </c>
      <c r="U250" s="337" t="str">
        <f>IF(Type_Reinf="g",IF(A250="---","---",phi_Tensile_Combined*I250*INPUT!N125/(MAX(RF_ID,1.1)*MAX(RF_D,1.1))),"---")</f>
        <v>---</v>
      </c>
      <c r="V250" s="437" t="str">
        <f>IF(A250="---","---",IF(Reinf_cont="y","N/A",IF(INPUT!D125=0,0,INPUT!E125/((1.5*INPUT!D125)*12))))</f>
        <v>---</v>
      </c>
      <c r="W250" s="137" t="str">
        <f t="shared" si="77"/>
        <v>---</v>
      </c>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c r="A251" s="435" t="str">
        <f>IF(INPUT!B126="---","---",INPUT!A126)</f>
        <v>---</v>
      </c>
      <c r="B251" s="309" t="str">
        <f>IF(A251="---","---",IF(A251=1,Z_1,INPUT!B126))</f>
        <v>---</v>
      </c>
      <c r="C251" s="309" t="str">
        <f>IF(A251="---","---",INPUT!G126)</f>
        <v>---</v>
      </c>
      <c r="D251" s="309" t="str">
        <f t="shared" si="70"/>
        <v>---</v>
      </c>
      <c r="E251" s="337" t="str">
        <f>IF(A251="---","---",INPUT!H126-2*$F$228)</f>
        <v>---</v>
      </c>
      <c r="F251" s="309" t="str">
        <f>IF(A251="---","---",IF(INPUT!K126&gt;0,INPUT!K126,IF(INPUT!H126&gt;0,INPUT!F126*E251^2*PI()/4,D251*INPUT!E126)))</f>
        <v>---</v>
      </c>
      <c r="G251" s="309" t="str">
        <f>IF(A251="---","---",IF(INPUT!K126&gt;0,INPUT!K126,INPUT!E126*INPUT!G126))</f>
        <v>---</v>
      </c>
      <c r="H251" s="309" t="str">
        <f t="shared" si="71"/>
        <v>---</v>
      </c>
      <c r="I251" s="436" t="str">
        <f>IF(A251="---","---",IF(Reinf_cont="y",1,IF(INPUT!D126=0,0,INPUT!E126/(INPUT!D126*12))))</f>
        <v>---</v>
      </c>
      <c r="J251" s="309" t="str">
        <f>IF(A251="---","---",IF(Type_Reinf="g","---",IF(INPUT!D126=0,0,H251*(Fy/2)/(INPUT!E126/12))))</f>
        <v>---</v>
      </c>
      <c r="K251" s="309" t="str">
        <f>IF(A251="---","---",IF(Type_Reinf="g",(INPUT!M126+INPUT!N126),"---"))</f>
        <v>---</v>
      </c>
      <c r="L251" s="309" t="str">
        <f t="shared" si="72"/>
        <v>---</v>
      </c>
      <c r="M251" s="309" t="str">
        <f t="shared" si="73"/>
        <v>---</v>
      </c>
      <c r="N251" s="309" t="str">
        <f t="shared" si="74"/>
        <v>---</v>
      </c>
      <c r="O251" s="309" t="str">
        <f>IF(A251="---","---",IF(Type_Reinf="g",K251*INPUT!L126/MAX(RF_D,1.1),"---"))</f>
        <v>---</v>
      </c>
      <c r="P251" s="309" t="str">
        <f t="shared" si="75"/>
        <v>---</v>
      </c>
      <c r="Q251" s="309" t="str">
        <f t="shared" si="76"/>
        <v>---</v>
      </c>
      <c r="R251" s="309" t="str">
        <f>IF($A251="---","---",IF(Type_Reinf="g","---",INPUT!O126))</f>
        <v>---</v>
      </c>
      <c r="S251" s="309" t="str">
        <f>IF($A251="---","---",IF(Type_Reinf="g","---",INPUT!P126))</f>
        <v>---</v>
      </c>
      <c r="T251" s="309" t="str">
        <f>IF(Type_Reinf="g",IF(A251="---","---",phi_Tensile_Static*I251*INPUT!M126/$D$231),"---")</f>
        <v>---</v>
      </c>
      <c r="U251" s="337" t="str">
        <f>IF(Type_Reinf="g",IF(A251="---","---",phi_Tensile_Combined*I251*INPUT!N126/(MAX(RF_ID,1.1)*MAX(RF_D,1.1))),"---")</f>
        <v>---</v>
      </c>
      <c r="V251" s="437" t="str">
        <f>IF(A251="---","---",IF(Reinf_cont="y","N/A",IF(INPUT!D126=0,0,INPUT!E126/((1.5*INPUT!D126)*12))))</f>
        <v>---</v>
      </c>
      <c r="W251" s="137" t="str">
        <f t="shared" si="77"/>
        <v>---</v>
      </c>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c r="A252" s="435" t="str">
        <f>IF(INPUT!B127="---","---",INPUT!A127)</f>
        <v>---</v>
      </c>
      <c r="B252" s="309" t="str">
        <f>IF(A252="---","---",IF(A252=1,Z_1,INPUT!B127))</f>
        <v>---</v>
      </c>
      <c r="C252" s="309" t="str">
        <f>IF(A252="---","---",INPUT!G127)</f>
        <v>---</v>
      </c>
      <c r="D252" s="309" t="str">
        <f t="shared" si="70"/>
        <v>---</v>
      </c>
      <c r="E252" s="337" t="str">
        <f>IF(A252="---","---",INPUT!H127-2*$F$228)</f>
        <v>---</v>
      </c>
      <c r="F252" s="309" t="str">
        <f>IF(A252="---","---",IF(INPUT!K127&gt;0,INPUT!K127,IF(INPUT!H127&gt;0,INPUT!F127*E252^2*PI()/4,D252*INPUT!E127)))</f>
        <v>---</v>
      </c>
      <c r="G252" s="309" t="str">
        <f>IF(A252="---","---",IF(INPUT!K127&gt;0,INPUT!K127,INPUT!E127*INPUT!G127))</f>
        <v>---</v>
      </c>
      <c r="H252" s="309" t="str">
        <f t="shared" si="71"/>
        <v>---</v>
      </c>
      <c r="I252" s="436" t="str">
        <f>IF(A252="---","---",IF(Reinf_cont="y",1,IF(INPUT!D127=0,0,INPUT!E127/(INPUT!D127*12))))</f>
        <v>---</v>
      </c>
      <c r="J252" s="309" t="str">
        <f>IF(A252="---","---",IF(Type_Reinf="g","---",IF(INPUT!D127=0,0,H252*(Fy/2)/(INPUT!E127/12))))</f>
        <v>---</v>
      </c>
      <c r="K252" s="309" t="str">
        <f>IF(A252="---","---",IF(Type_Reinf="g",(INPUT!M127+INPUT!N127),"---"))</f>
        <v>---</v>
      </c>
      <c r="L252" s="309" t="str">
        <f t="shared" si="72"/>
        <v>---</v>
      </c>
      <c r="M252" s="309" t="str">
        <f t="shared" si="73"/>
        <v>---</v>
      </c>
      <c r="N252" s="309" t="str">
        <f t="shared" si="74"/>
        <v>---</v>
      </c>
      <c r="O252" s="309" t="str">
        <f>IF(A252="---","---",IF(Type_Reinf="g",K252*INPUT!L127/MAX(RF_D,1.1),"---"))</f>
        <v>---</v>
      </c>
      <c r="P252" s="309" t="str">
        <f t="shared" si="75"/>
        <v>---</v>
      </c>
      <c r="Q252" s="309" t="str">
        <f t="shared" si="76"/>
        <v>---</v>
      </c>
      <c r="R252" s="309" t="str">
        <f>IF($A252="---","---",IF(Type_Reinf="g","---",INPUT!O127))</f>
        <v>---</v>
      </c>
      <c r="S252" s="309" t="str">
        <f>IF($A252="---","---",IF(Type_Reinf="g","---",INPUT!P127))</f>
        <v>---</v>
      </c>
      <c r="T252" s="309" t="str">
        <f>IF(Type_Reinf="g",IF(A252="---","---",phi_Tensile_Static*I252*INPUT!M127/$D$231),"---")</f>
        <v>---</v>
      </c>
      <c r="U252" s="337" t="str">
        <f>IF(Type_Reinf="g",IF(A252="---","---",phi_Tensile_Combined*I252*INPUT!N127/(MAX(RF_ID,1.1)*MAX(RF_D,1.1))),"---")</f>
        <v>---</v>
      </c>
      <c r="V252" s="437" t="str">
        <f>IF(A252="---","---",IF(Reinf_cont="y","N/A",IF(INPUT!D127=0,0,INPUT!E127/((1.5*INPUT!D127)*12))))</f>
        <v>---</v>
      </c>
      <c r="W252" s="137" t="str">
        <f t="shared" si="77"/>
        <v>---</v>
      </c>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c r="A253" s="435" t="str">
        <f>IF(INPUT!B128="---","---",INPUT!A128)</f>
        <v>---</v>
      </c>
      <c r="B253" s="309" t="str">
        <f>IF(A253="---","---",IF(A253=1,Z_1,INPUT!B128))</f>
        <v>---</v>
      </c>
      <c r="C253" s="309" t="str">
        <f>IF(A253="---","---",INPUT!G128)</f>
        <v>---</v>
      </c>
      <c r="D253" s="309" t="str">
        <f t="shared" si="70"/>
        <v>---</v>
      </c>
      <c r="E253" s="337" t="str">
        <f>IF(A253="---","---",INPUT!H128-2*$F$228)</f>
        <v>---</v>
      </c>
      <c r="F253" s="309" t="str">
        <f>IF(A253="---","---",IF(INPUT!K128&gt;0,INPUT!K128,IF(INPUT!H128&gt;0,INPUT!F128*E253^2*PI()/4,D253*INPUT!E128)))</f>
        <v>---</v>
      </c>
      <c r="G253" s="309" t="str">
        <f>IF(A253="---","---",IF(INPUT!K128&gt;0,INPUT!K128,INPUT!E128*INPUT!G128))</f>
        <v>---</v>
      </c>
      <c r="H253" s="309" t="str">
        <f t="shared" si="71"/>
        <v>---</v>
      </c>
      <c r="I253" s="436" t="str">
        <f>IF(A253="---","---",IF(Reinf_cont="y",1,IF(INPUT!D128=0,0,INPUT!E128/(INPUT!D128*12))))</f>
        <v>---</v>
      </c>
      <c r="J253" s="309" t="str">
        <f>IF(A253="---","---",IF(Type_Reinf="g","---",IF(INPUT!D128=0,0,H253*(Fy/2)/(INPUT!E128/12))))</f>
        <v>---</v>
      </c>
      <c r="K253" s="309" t="str">
        <f>IF(A253="---","---",IF(Type_Reinf="g",(INPUT!M128+INPUT!N128),"---"))</f>
        <v>---</v>
      </c>
      <c r="L253" s="309" t="str">
        <f t="shared" si="72"/>
        <v>---</v>
      </c>
      <c r="M253" s="309" t="str">
        <f t="shared" si="73"/>
        <v>---</v>
      </c>
      <c r="N253" s="309" t="str">
        <f t="shared" si="74"/>
        <v>---</v>
      </c>
      <c r="O253" s="309" t="str">
        <f>IF(A253="---","---",IF(Type_Reinf="g",K253*INPUT!L128/MAX(RF_D,1.1),"---"))</f>
        <v>---</v>
      </c>
      <c r="P253" s="309" t="str">
        <f t="shared" si="75"/>
        <v>---</v>
      </c>
      <c r="Q253" s="309" t="str">
        <f t="shared" si="76"/>
        <v>---</v>
      </c>
      <c r="R253" s="309" t="str">
        <f>IF($A253="---","---",IF(Type_Reinf="g","---",INPUT!O128))</f>
        <v>---</v>
      </c>
      <c r="S253" s="309" t="str">
        <f>IF($A253="---","---",IF(Type_Reinf="g","---",INPUT!P128))</f>
        <v>---</v>
      </c>
      <c r="T253" s="309" t="str">
        <f>IF(Type_Reinf="g",IF(A253="---","---",phi_Tensile_Static*I253*INPUT!M128/$D$231),"---")</f>
        <v>---</v>
      </c>
      <c r="U253" s="337" t="str">
        <f>IF(Type_Reinf="g",IF(A253="---","---",phi_Tensile_Combined*I253*INPUT!N128/(MAX(RF_ID,1.1)*MAX(RF_D,1.1))),"---")</f>
        <v>---</v>
      </c>
      <c r="V253" s="437" t="str">
        <f>IF(A253="---","---",IF(Reinf_cont="y","N/A",IF(INPUT!D128=0,0,INPUT!E128/((1.5*INPUT!D128)*12))))</f>
        <v>---</v>
      </c>
      <c r="W253" s="137" t="str">
        <f t="shared" si="77"/>
        <v>---</v>
      </c>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c r="A254" s="435" t="str">
        <f>IF(INPUT!B129="---","---",INPUT!A129)</f>
        <v>---</v>
      </c>
      <c r="B254" s="309" t="str">
        <f>IF(A254="---","---",IF(A254=1,Z_1,INPUT!B129))</f>
        <v>---</v>
      </c>
      <c r="C254" s="309" t="str">
        <f>IF(A254="---","---",INPUT!G129)</f>
        <v>---</v>
      </c>
      <c r="D254" s="309" t="str">
        <f t="shared" si="70"/>
        <v>---</v>
      </c>
      <c r="E254" s="337" t="str">
        <f>IF(A254="---","---",INPUT!H129-2*$F$228)</f>
        <v>---</v>
      </c>
      <c r="F254" s="309" t="str">
        <f>IF(A254="---","---",IF(INPUT!K129&gt;0,INPUT!K129,IF(INPUT!H129&gt;0,INPUT!F129*E254^2*PI()/4,D254*INPUT!E129)))</f>
        <v>---</v>
      </c>
      <c r="G254" s="309" t="str">
        <f>IF(A254="---","---",IF(INPUT!K129&gt;0,INPUT!K129,INPUT!E129*INPUT!G129))</f>
        <v>---</v>
      </c>
      <c r="H254" s="309" t="str">
        <f t="shared" si="71"/>
        <v>---</v>
      </c>
      <c r="I254" s="436" t="str">
        <f>IF(A254="---","---",IF(Reinf_cont="y",1,IF(INPUT!D129=0,0,INPUT!E129/(INPUT!D129*12))))</f>
        <v>---</v>
      </c>
      <c r="J254" s="309" t="str">
        <f>IF(A254="---","---",IF(Type_Reinf="g","---",IF(INPUT!D129=0,0,H254*(Fy/2)/(INPUT!E129/12))))</f>
        <v>---</v>
      </c>
      <c r="K254" s="309" t="str">
        <f>IF(A254="---","---",IF(Type_Reinf="g",(INPUT!M129+INPUT!N129),"---"))</f>
        <v>---</v>
      </c>
      <c r="L254" s="309" t="str">
        <f t="shared" si="72"/>
        <v>---</v>
      </c>
      <c r="M254" s="309" t="str">
        <f t="shared" si="73"/>
        <v>---</v>
      </c>
      <c r="N254" s="309" t="str">
        <f t="shared" si="74"/>
        <v>---</v>
      </c>
      <c r="O254" s="309" t="str">
        <f>IF(A254="---","---",IF(Type_Reinf="g",K254*INPUT!L129/MAX(RF_D,1.1),"---"))</f>
        <v>---</v>
      </c>
      <c r="P254" s="309" t="str">
        <f t="shared" si="75"/>
        <v>---</v>
      </c>
      <c r="Q254" s="309" t="str">
        <f t="shared" si="76"/>
        <v>---</v>
      </c>
      <c r="R254" s="309" t="str">
        <f>IF($A254="---","---",IF(Type_Reinf="g","---",INPUT!O129))</f>
        <v>---</v>
      </c>
      <c r="S254" s="309" t="str">
        <f>IF($A254="---","---",IF(Type_Reinf="g","---",INPUT!P129))</f>
        <v>---</v>
      </c>
      <c r="T254" s="309" t="str">
        <f>IF(Type_Reinf="g",IF(A254="---","---",phi_Tensile_Static*I254*INPUT!M129/$D$231),"---")</f>
        <v>---</v>
      </c>
      <c r="U254" s="337" t="str">
        <f>IF(Type_Reinf="g",IF(A254="---","---",phi_Tensile_Combined*I254*INPUT!N129/(MAX(RF_ID,1.1)*MAX(RF_D,1.1))),"---")</f>
        <v>---</v>
      </c>
      <c r="V254" s="437" t="str">
        <f>IF(A254="---","---",IF(Reinf_cont="y","N/A",IF(INPUT!D129=0,0,INPUT!E129/((1.5*INPUT!D129)*12))))</f>
        <v>---</v>
      </c>
      <c r="W254" s="137" t="str">
        <f t="shared" si="77"/>
        <v>---</v>
      </c>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c r="A255" s="435" t="str">
        <f>IF(INPUT!B130="---","---",INPUT!A130)</f>
        <v>---</v>
      </c>
      <c r="B255" s="309" t="str">
        <f>IF(A255="---","---",IF(A255=1,Z_1,INPUT!B130))</f>
        <v>---</v>
      </c>
      <c r="C255" s="309" t="str">
        <f>IF(A255="---","---",INPUT!G130)</f>
        <v>---</v>
      </c>
      <c r="D255" s="309" t="str">
        <f t="shared" si="70"/>
        <v>---</v>
      </c>
      <c r="E255" s="337" t="str">
        <f>IF(A255="---","---",INPUT!H130-2*$F$228)</f>
        <v>---</v>
      </c>
      <c r="F255" s="309" t="str">
        <f>IF(A255="---","---",IF(INPUT!K130&gt;0,INPUT!K130,IF(INPUT!H130&gt;0,INPUT!F130*E255^2*PI()/4,D255*INPUT!E130)))</f>
        <v>---</v>
      </c>
      <c r="G255" s="309" t="str">
        <f>IF(A255="---","---",IF(INPUT!K130&gt;0,INPUT!K130,INPUT!E130*INPUT!G130))</f>
        <v>---</v>
      </c>
      <c r="H255" s="309" t="str">
        <f t="shared" si="71"/>
        <v>---</v>
      </c>
      <c r="I255" s="436" t="str">
        <f>IF(A255="---","---",IF(Reinf_cont="y",1,IF(INPUT!D130=0,0,INPUT!E130/(INPUT!D130*12))))</f>
        <v>---</v>
      </c>
      <c r="J255" s="309" t="str">
        <f>IF(A255="---","---",IF(Type_Reinf="g","---",IF(INPUT!D130=0,0,H255*(Fy/2)/(INPUT!E130/12))))</f>
        <v>---</v>
      </c>
      <c r="K255" s="309" t="str">
        <f>IF(A255="---","---",IF(Type_Reinf="g",(INPUT!M130+INPUT!N130),"---"))</f>
        <v>---</v>
      </c>
      <c r="L255" s="309" t="str">
        <f t="shared" si="72"/>
        <v>---</v>
      </c>
      <c r="M255" s="309" t="str">
        <f t="shared" si="73"/>
        <v>---</v>
      </c>
      <c r="N255" s="309" t="str">
        <f t="shared" si="74"/>
        <v>---</v>
      </c>
      <c r="O255" s="309" t="str">
        <f>IF(A255="---","---",IF(Type_Reinf="g",K255*INPUT!L130/MAX(RF_D,1.1),"---"))</f>
        <v>---</v>
      </c>
      <c r="P255" s="309" t="str">
        <f t="shared" si="75"/>
        <v>---</v>
      </c>
      <c r="Q255" s="309" t="str">
        <f t="shared" si="76"/>
        <v>---</v>
      </c>
      <c r="R255" s="309" t="str">
        <f>IF($A255="---","---",IF(Type_Reinf="g","---",INPUT!O130))</f>
        <v>---</v>
      </c>
      <c r="S255" s="309" t="str">
        <f>IF($A255="---","---",IF(Type_Reinf="g","---",INPUT!P130))</f>
        <v>---</v>
      </c>
      <c r="T255" s="309" t="str">
        <f>IF(Type_Reinf="g",IF(A255="---","---",phi_Tensile_Static*I255*INPUT!M130/$D$231),"---")</f>
        <v>---</v>
      </c>
      <c r="U255" s="337" t="str">
        <f>IF(Type_Reinf="g",IF(A255="---","---",phi_Tensile_Combined*I255*INPUT!N130/(MAX(RF_ID,1.1)*MAX(RF_D,1.1))),"---")</f>
        <v>---</v>
      </c>
      <c r="V255" s="437" t="str">
        <f>IF(A255="---","---",IF(Reinf_cont="y","N/A",IF(INPUT!D130=0,0,INPUT!E130/((1.5*INPUT!D130)*12))))</f>
        <v>---</v>
      </c>
      <c r="W255" s="137" t="str">
        <f t="shared" si="77"/>
        <v>---</v>
      </c>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c r="A256" s="435" t="str">
        <f>IF(INPUT!B131="---","---",INPUT!A131)</f>
        <v>---</v>
      </c>
      <c r="B256" s="309" t="str">
        <f>IF(A256="---","---",IF(A256=1,Z_1,INPUT!B131))</f>
        <v>---</v>
      </c>
      <c r="C256" s="309" t="str">
        <f>IF(A256="---","---",INPUT!G131)</f>
        <v>---</v>
      </c>
      <c r="D256" s="309" t="str">
        <f t="shared" si="70"/>
        <v>---</v>
      </c>
      <c r="E256" s="337" t="str">
        <f>IF(A256="---","---",INPUT!H131-2*$F$228)</f>
        <v>---</v>
      </c>
      <c r="F256" s="309" t="str">
        <f>IF(A256="---","---",IF(INPUT!K131&gt;0,INPUT!K131,IF(INPUT!H131&gt;0,INPUT!F131*E256^2*PI()/4,D256*INPUT!E131)))</f>
        <v>---</v>
      </c>
      <c r="G256" s="309" t="str">
        <f>IF(A256="---","---",IF(INPUT!K131&gt;0,INPUT!K131,INPUT!E131*INPUT!G131))</f>
        <v>---</v>
      </c>
      <c r="H256" s="309" t="str">
        <f t="shared" si="71"/>
        <v>---</v>
      </c>
      <c r="I256" s="436" t="str">
        <f>IF(A256="---","---",IF(Reinf_cont="y",1,IF(INPUT!D131=0,0,INPUT!E131/(INPUT!D131*12))))</f>
        <v>---</v>
      </c>
      <c r="J256" s="309" t="str">
        <f>IF(A256="---","---",IF(Type_Reinf="g","---",IF(INPUT!D131=0,0,H256*(Fy/2)/(INPUT!E131/12))))</f>
        <v>---</v>
      </c>
      <c r="K256" s="309" t="str">
        <f>IF(A256="---","---",IF(Type_Reinf="g",(INPUT!M131+INPUT!N131),"---"))</f>
        <v>---</v>
      </c>
      <c r="L256" s="309" t="str">
        <f t="shared" si="72"/>
        <v>---</v>
      </c>
      <c r="M256" s="309" t="str">
        <f t="shared" si="73"/>
        <v>---</v>
      </c>
      <c r="N256" s="309" t="str">
        <f t="shared" si="74"/>
        <v>---</v>
      </c>
      <c r="O256" s="309" t="str">
        <f>IF(A256="---","---",IF(Type_Reinf="g",K256*INPUT!L131/MAX(RF_D,1.1),"---"))</f>
        <v>---</v>
      </c>
      <c r="P256" s="309" t="str">
        <f t="shared" si="75"/>
        <v>---</v>
      </c>
      <c r="Q256" s="309" t="str">
        <f t="shared" si="76"/>
        <v>---</v>
      </c>
      <c r="R256" s="309" t="str">
        <f>IF($A256="---","---",IF(Type_Reinf="g","---",INPUT!O131))</f>
        <v>---</v>
      </c>
      <c r="S256" s="309" t="str">
        <f>IF($A256="---","---",IF(Type_Reinf="g","---",INPUT!P131))</f>
        <v>---</v>
      </c>
      <c r="T256" s="309" t="str">
        <f>IF(Type_Reinf="g",IF(A256="---","---",phi_Tensile_Static*I256*INPUT!M131/$D$231),"---")</f>
        <v>---</v>
      </c>
      <c r="U256" s="337" t="str">
        <f>IF(Type_Reinf="g",IF(A256="---","---",phi_Tensile_Combined*I256*INPUT!N131/(MAX(RF_ID,1.1)*MAX(RF_D,1.1))),"---")</f>
        <v>---</v>
      </c>
      <c r="V256" s="437" t="str">
        <f>IF(A256="---","---",IF(Reinf_cont="y","N/A",IF(INPUT!D131=0,0,INPUT!E131/((1.5*INPUT!D131)*12))))</f>
        <v>---</v>
      </c>
      <c r="W256" s="137" t="str">
        <f t="shared" si="77"/>
        <v>---</v>
      </c>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c r="A257" s="435" t="str">
        <f>IF(INPUT!B132="---","---",INPUT!A132)</f>
        <v>---</v>
      </c>
      <c r="B257" s="309" t="str">
        <f>IF(A257="---","---",IF(A257=1,Z_1,INPUT!B132))</f>
        <v>---</v>
      </c>
      <c r="C257" s="309" t="str">
        <f>IF(A257="---","---",INPUT!G132)</f>
        <v>---</v>
      </c>
      <c r="D257" s="309" t="str">
        <f t="shared" si="70"/>
        <v>---</v>
      </c>
      <c r="E257" s="337" t="str">
        <f>IF(A257="---","---",INPUT!H132-2*$F$228)</f>
        <v>---</v>
      </c>
      <c r="F257" s="309" t="str">
        <f>IF(A257="---","---",IF(INPUT!K132&gt;0,INPUT!K132,IF(INPUT!H132&gt;0,INPUT!F132*E257^2*PI()/4,D257*INPUT!E132)))</f>
        <v>---</v>
      </c>
      <c r="G257" s="309" t="str">
        <f>IF(A257="---","---",IF(INPUT!K132&gt;0,INPUT!K132,INPUT!E132*INPUT!G132))</f>
        <v>---</v>
      </c>
      <c r="H257" s="309" t="str">
        <f t="shared" si="71"/>
        <v>---</v>
      </c>
      <c r="I257" s="436" t="str">
        <f>IF(A257="---","---",IF(Reinf_cont="y",1,IF(INPUT!D132=0,0,INPUT!E132/(INPUT!D132*12))))</f>
        <v>---</v>
      </c>
      <c r="J257" s="309" t="str">
        <f>IF(A257="---","---",IF(Type_Reinf="g","---",IF(INPUT!D132=0,0,H257*(Fy/2)/(INPUT!E132/12))))</f>
        <v>---</v>
      </c>
      <c r="K257" s="309" t="str">
        <f>IF(A257="---","---",IF(Type_Reinf="g",(INPUT!M132+INPUT!N132),"---"))</f>
        <v>---</v>
      </c>
      <c r="L257" s="309" t="str">
        <f t="shared" si="72"/>
        <v>---</v>
      </c>
      <c r="M257" s="309" t="str">
        <f t="shared" si="73"/>
        <v>---</v>
      </c>
      <c r="N257" s="309" t="str">
        <f t="shared" si="74"/>
        <v>---</v>
      </c>
      <c r="O257" s="309" t="str">
        <f>IF(A257="---","---",IF(Type_Reinf="g",K257*INPUT!L132/MAX(RF_D,1.1),"---"))</f>
        <v>---</v>
      </c>
      <c r="P257" s="309" t="str">
        <f t="shared" si="75"/>
        <v>---</v>
      </c>
      <c r="Q257" s="309" t="str">
        <f t="shared" si="76"/>
        <v>---</v>
      </c>
      <c r="R257" s="309" t="str">
        <f>IF($A257="---","---",IF(Type_Reinf="g","---",INPUT!O132))</f>
        <v>---</v>
      </c>
      <c r="S257" s="309" t="str">
        <f>IF($A257="---","---",IF(Type_Reinf="g","---",INPUT!P132))</f>
        <v>---</v>
      </c>
      <c r="T257" s="309" t="str">
        <f>IF(Type_Reinf="g",IF(A257="---","---",phi_Tensile_Static*I257*INPUT!M132/$D$231),"---")</f>
        <v>---</v>
      </c>
      <c r="U257" s="337" t="str">
        <f>IF(Type_Reinf="g",IF(A257="---","---",phi_Tensile_Combined*I257*INPUT!N132/(MAX(RF_ID,1.1)*MAX(RF_D,1.1))),"---")</f>
        <v>---</v>
      </c>
      <c r="V257" s="437" t="str">
        <f>IF(A257="---","---",IF(Reinf_cont="y","N/A",IF(INPUT!D132=0,0,INPUT!E132/((1.5*INPUT!D132)*12))))</f>
        <v>---</v>
      </c>
      <c r="W257" s="137" t="str">
        <f t="shared" si="77"/>
        <v>---</v>
      </c>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c r="A258" s="435" t="str">
        <f>IF(INPUT!B133="---","---",INPUT!A133)</f>
        <v>---</v>
      </c>
      <c r="B258" s="309" t="str">
        <f>IF(A258="---","---",IF(A258=1,Z_1,INPUT!B133))</f>
        <v>---</v>
      </c>
      <c r="C258" s="309" t="str">
        <f>IF(A258="---","---",INPUT!G133)</f>
        <v>---</v>
      </c>
      <c r="D258" s="309" t="str">
        <f t="shared" si="70"/>
        <v>---</v>
      </c>
      <c r="E258" s="337" t="str">
        <f>IF(A258="---","---",INPUT!H133-2*$F$228)</f>
        <v>---</v>
      </c>
      <c r="F258" s="309" t="str">
        <f>IF(A258="---","---",IF(INPUT!K133&gt;0,INPUT!K133,IF(INPUT!H133&gt;0,INPUT!F133*E258^2*PI()/4,D258*INPUT!E133)))</f>
        <v>---</v>
      </c>
      <c r="G258" s="309" t="str">
        <f>IF(A258="---","---",IF(INPUT!K133&gt;0,INPUT!K133,INPUT!E133*INPUT!G133))</f>
        <v>---</v>
      </c>
      <c r="H258" s="309" t="str">
        <f t="shared" si="71"/>
        <v>---</v>
      </c>
      <c r="I258" s="436" t="str">
        <f>IF(A258="---","---",IF(Reinf_cont="y",1,IF(INPUT!D133=0,0,INPUT!E133/(INPUT!D133*12))))</f>
        <v>---</v>
      </c>
      <c r="J258" s="309" t="str">
        <f>IF(A258="---","---",IF(Type_Reinf="g","---",IF(INPUT!D133=0,0,H258*(Fy/2)/(INPUT!E133/12))))</f>
        <v>---</v>
      </c>
      <c r="K258" s="309" t="str">
        <f>IF(A258="---","---",IF(Type_Reinf="g",(INPUT!M133+INPUT!N133),"---"))</f>
        <v>---</v>
      </c>
      <c r="L258" s="309" t="str">
        <f t="shared" si="72"/>
        <v>---</v>
      </c>
      <c r="M258" s="309" t="str">
        <f t="shared" si="73"/>
        <v>---</v>
      </c>
      <c r="N258" s="309" t="str">
        <f t="shared" si="74"/>
        <v>---</v>
      </c>
      <c r="O258" s="309" t="str">
        <f>IF(A258="---","---",IF(Type_Reinf="g",K258*INPUT!L133/MAX(RF_D,1.1),"---"))</f>
        <v>---</v>
      </c>
      <c r="P258" s="309" t="str">
        <f t="shared" si="75"/>
        <v>---</v>
      </c>
      <c r="Q258" s="309" t="str">
        <f t="shared" si="76"/>
        <v>---</v>
      </c>
      <c r="R258" s="309" t="str">
        <f>IF($A258="---","---",IF(Type_Reinf="g","---",INPUT!O133))</f>
        <v>---</v>
      </c>
      <c r="S258" s="309" t="str">
        <f>IF($A258="---","---",IF(Type_Reinf="g","---",INPUT!P133))</f>
        <v>---</v>
      </c>
      <c r="T258" s="309" t="str">
        <f>IF(Type_Reinf="g",IF(A258="---","---",phi_Tensile_Static*I258*INPUT!M133/$D$231),"---")</f>
        <v>---</v>
      </c>
      <c r="U258" s="337" t="str">
        <f>IF(Type_Reinf="g",IF(A258="---","---",phi_Tensile_Combined*I258*INPUT!N133/(MAX(RF_ID,1.1)*MAX(RF_D,1.1))),"---")</f>
        <v>---</v>
      </c>
      <c r="V258" s="437" t="str">
        <f>IF(A258="---","---",IF(Reinf_cont="y","N/A",IF(INPUT!D133=0,0,INPUT!E133/((1.5*INPUT!D133)*12))))</f>
        <v>---</v>
      </c>
      <c r="W258" s="137" t="str">
        <f t="shared" si="77"/>
        <v>---</v>
      </c>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c r="A259" s="435" t="str">
        <f>IF(INPUT!B134="---","---",INPUT!A134)</f>
        <v>---</v>
      </c>
      <c r="B259" s="309" t="str">
        <f>IF(A259="---","---",IF(A259=1,Z_1,INPUT!B134))</f>
        <v>---</v>
      </c>
      <c r="C259" s="309" t="str">
        <f>IF(A259="---","---",INPUT!G134)</f>
        <v>---</v>
      </c>
      <c r="D259" s="309" t="str">
        <f t="shared" si="70"/>
        <v>---</v>
      </c>
      <c r="E259" s="337" t="str">
        <f>IF(A259="---","---",INPUT!H134-2*$F$228)</f>
        <v>---</v>
      </c>
      <c r="F259" s="309" t="str">
        <f>IF(A259="---","---",IF(INPUT!K134&gt;0,INPUT!K134,IF(INPUT!H134&gt;0,INPUT!F134*E259^2*PI()/4,D259*INPUT!E134)))</f>
        <v>---</v>
      </c>
      <c r="G259" s="309" t="str">
        <f>IF(A259="---","---",IF(INPUT!K134&gt;0,INPUT!K134,INPUT!E134*INPUT!G134))</f>
        <v>---</v>
      </c>
      <c r="H259" s="309" t="str">
        <f t="shared" si="71"/>
        <v>---</v>
      </c>
      <c r="I259" s="436" t="str">
        <f>IF(A259="---","---",IF(Reinf_cont="y",1,IF(INPUT!D134=0,0,INPUT!E134/(INPUT!D134*12))))</f>
        <v>---</v>
      </c>
      <c r="J259" s="309" t="str">
        <f>IF(A259="---","---",IF(Type_Reinf="g","---",IF(INPUT!D134=0,0,H259*(Fy/2)/(INPUT!E134/12))))</f>
        <v>---</v>
      </c>
      <c r="K259" s="309" t="str">
        <f>IF(A259="---","---",IF(Type_Reinf="g",(INPUT!M134+INPUT!N134),"---"))</f>
        <v>---</v>
      </c>
      <c r="L259" s="309" t="str">
        <f t="shared" si="72"/>
        <v>---</v>
      </c>
      <c r="M259" s="309" t="str">
        <f t="shared" si="73"/>
        <v>---</v>
      </c>
      <c r="N259" s="309" t="str">
        <f t="shared" si="74"/>
        <v>---</v>
      </c>
      <c r="O259" s="309" t="str">
        <f>IF(A259="---","---",IF(Type_Reinf="g",K259*INPUT!L134/MAX(RF_D,1.1),"---"))</f>
        <v>---</v>
      </c>
      <c r="P259" s="309" t="str">
        <f t="shared" si="75"/>
        <v>---</v>
      </c>
      <c r="Q259" s="309" t="str">
        <f t="shared" si="76"/>
        <v>---</v>
      </c>
      <c r="R259" s="309" t="str">
        <f>IF($A259="---","---",IF(Type_Reinf="g","---",INPUT!O134))</f>
        <v>---</v>
      </c>
      <c r="S259" s="309" t="str">
        <f>IF($A259="---","---",IF(Type_Reinf="g","---",INPUT!P134))</f>
        <v>---</v>
      </c>
      <c r="T259" s="309" t="str">
        <f>IF(Type_Reinf="g",IF(A259="---","---",phi_Tensile_Static*I259*INPUT!M134/$D$231),"---")</f>
        <v>---</v>
      </c>
      <c r="U259" s="337" t="str">
        <f>IF(Type_Reinf="g",IF(A259="---","---",phi_Tensile_Combined*I259*INPUT!N134/(MAX(RF_ID,1.1)*MAX(RF_D,1.1))),"---")</f>
        <v>---</v>
      </c>
      <c r="V259" s="437" t="str">
        <f>IF(A259="---","---",IF(Reinf_cont="y","N/A",IF(INPUT!D134=0,0,INPUT!E134/((1.5*INPUT!D134)*12))))</f>
        <v>---</v>
      </c>
      <c r="W259" s="137" t="str">
        <f t="shared" si="77"/>
        <v>---</v>
      </c>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c r="A260" s="435" t="str">
        <f>IF(INPUT!B135="---","---",INPUT!A135)</f>
        <v>---</v>
      </c>
      <c r="B260" s="309" t="str">
        <f>IF(A260="---","---",IF(A260=1,Z_1,INPUT!B135))</f>
        <v>---</v>
      </c>
      <c r="C260" s="309" t="str">
        <f>IF(A260="---","---",INPUT!G135)</f>
        <v>---</v>
      </c>
      <c r="D260" s="309" t="str">
        <f t="shared" si="70"/>
        <v>---</v>
      </c>
      <c r="E260" s="337" t="str">
        <f>IF(A260="---","---",INPUT!H135-2*$F$228)</f>
        <v>---</v>
      </c>
      <c r="F260" s="309" t="str">
        <f>IF(A260="---","---",IF(INPUT!K135&gt;0,INPUT!K135,IF(INPUT!H135&gt;0,INPUT!F135*E260^2*PI()/4,D260*INPUT!E135)))</f>
        <v>---</v>
      </c>
      <c r="G260" s="309" t="str">
        <f>IF(A260="---","---",IF(INPUT!K135&gt;0,INPUT!K135,INPUT!E135*INPUT!G135))</f>
        <v>---</v>
      </c>
      <c r="H260" s="309" t="str">
        <f t="shared" si="71"/>
        <v>---</v>
      </c>
      <c r="I260" s="436" t="str">
        <f>IF(A260="---","---",IF(Reinf_cont="y",1,IF(INPUT!D135=0,0,INPUT!E135/(INPUT!D135*12))))</f>
        <v>---</v>
      </c>
      <c r="J260" s="309" t="str">
        <f>IF(A260="---","---",IF(Type_Reinf="g","---",IF(INPUT!D135=0,0,H260*(Fy/2)/(INPUT!E135/12))))</f>
        <v>---</v>
      </c>
      <c r="K260" s="309" t="str">
        <f>IF(A260="---","---",IF(Type_Reinf="g",(INPUT!M135+INPUT!N135),"---"))</f>
        <v>---</v>
      </c>
      <c r="L260" s="309" t="str">
        <f t="shared" si="72"/>
        <v>---</v>
      </c>
      <c r="M260" s="309" t="str">
        <f t="shared" si="73"/>
        <v>---</v>
      </c>
      <c r="N260" s="309" t="str">
        <f t="shared" si="74"/>
        <v>---</v>
      </c>
      <c r="O260" s="309" t="str">
        <f>IF(A260="---","---",IF(Type_Reinf="g",K260*INPUT!L135/MAX(RF_D,1.1),"---"))</f>
        <v>---</v>
      </c>
      <c r="P260" s="309" t="str">
        <f t="shared" si="75"/>
        <v>---</v>
      </c>
      <c r="Q260" s="309" t="str">
        <f t="shared" si="76"/>
        <v>---</v>
      </c>
      <c r="R260" s="309" t="str">
        <f>IF($A260="---","---",IF(Type_Reinf="g","---",INPUT!O135))</f>
        <v>---</v>
      </c>
      <c r="S260" s="309" t="str">
        <f>IF($A260="---","---",IF(Type_Reinf="g","---",INPUT!P135))</f>
        <v>---</v>
      </c>
      <c r="T260" s="309" t="str">
        <f>IF(Type_Reinf="g",IF(A260="---","---",phi_Tensile_Static*I260*INPUT!M135/$D$231),"---")</f>
        <v>---</v>
      </c>
      <c r="U260" s="337" t="str">
        <f>IF(Type_Reinf="g",IF(A260="---","---",phi_Tensile_Combined*I260*INPUT!N135/(MAX(RF_ID,1.1)*MAX(RF_D,1.1))),"---")</f>
        <v>---</v>
      </c>
      <c r="V260" s="437" t="str">
        <f>IF(A260="---","---",IF(Reinf_cont="y","N/A",IF(INPUT!D135=0,0,INPUT!E135/((1.5*INPUT!D135)*12))))</f>
        <v>---</v>
      </c>
      <c r="W260" s="137" t="str">
        <f t="shared" si="77"/>
        <v>---</v>
      </c>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c r="A261" s="435" t="str">
        <f>IF(INPUT!B136="---","---",INPUT!A136)</f>
        <v>---</v>
      </c>
      <c r="B261" s="309" t="str">
        <f>IF(A261="---","---",IF(A261=1,Z_1,INPUT!B136))</f>
        <v>---</v>
      </c>
      <c r="C261" s="309" t="str">
        <f>IF(A261="---","---",INPUT!G136)</f>
        <v>---</v>
      </c>
      <c r="D261" s="309" t="str">
        <f t="shared" si="70"/>
        <v>---</v>
      </c>
      <c r="E261" s="337" t="str">
        <f>IF(A261="---","---",INPUT!H136-2*$F$228)</f>
        <v>---</v>
      </c>
      <c r="F261" s="309" t="str">
        <f>IF(A261="---","---",IF(INPUT!K136&gt;0,INPUT!K136,IF(INPUT!H136&gt;0,INPUT!F136*E261^2*PI()/4,D261*INPUT!E136)))</f>
        <v>---</v>
      </c>
      <c r="G261" s="309" t="str">
        <f>IF(A261="---","---",IF(INPUT!K136&gt;0,INPUT!K136,INPUT!E136*INPUT!G136))</f>
        <v>---</v>
      </c>
      <c r="H261" s="309" t="str">
        <f t="shared" si="71"/>
        <v>---</v>
      </c>
      <c r="I261" s="436" t="str">
        <f>IF(A261="---","---",IF(Reinf_cont="y",1,IF(INPUT!D136=0,0,INPUT!E136/(INPUT!D136*12))))</f>
        <v>---</v>
      </c>
      <c r="J261" s="309" t="str">
        <f>IF(A261="---","---",IF(Type_Reinf="g","---",IF(INPUT!D136=0,0,H261*(Fy/2)/(INPUT!E136/12))))</f>
        <v>---</v>
      </c>
      <c r="K261" s="309" t="str">
        <f>IF(A261="---","---",IF(Type_Reinf="g",(INPUT!M136+INPUT!N136),"---"))</f>
        <v>---</v>
      </c>
      <c r="L261" s="309" t="str">
        <f t="shared" si="72"/>
        <v>---</v>
      </c>
      <c r="M261" s="309" t="str">
        <f t="shared" si="73"/>
        <v>---</v>
      </c>
      <c r="N261" s="309" t="str">
        <f t="shared" si="74"/>
        <v>---</v>
      </c>
      <c r="O261" s="309" t="str">
        <f>IF(A261="---","---",IF(Type_Reinf="g",K261*INPUT!L136/MAX(RF_D,1.1),"---"))</f>
        <v>---</v>
      </c>
      <c r="P261" s="309" t="str">
        <f t="shared" si="75"/>
        <v>---</v>
      </c>
      <c r="Q261" s="309" t="str">
        <f t="shared" si="76"/>
        <v>---</v>
      </c>
      <c r="R261" s="309" t="str">
        <f>IF($A261="---","---",IF(Type_Reinf="g","---",INPUT!O136))</f>
        <v>---</v>
      </c>
      <c r="S261" s="309" t="str">
        <f>IF($A261="---","---",IF(Type_Reinf="g","---",INPUT!P136))</f>
        <v>---</v>
      </c>
      <c r="T261" s="309" t="str">
        <f>IF(Type_Reinf="g",IF(A261="---","---",phi_Tensile_Static*I261*INPUT!M136/$D$231),"---")</f>
        <v>---</v>
      </c>
      <c r="U261" s="337" t="str">
        <f>IF(Type_Reinf="g",IF(A261="---","---",phi_Tensile_Combined*I261*INPUT!N136/(MAX(RF_ID,1.1)*MAX(RF_D,1.1))),"---")</f>
        <v>---</v>
      </c>
      <c r="V261" s="437" t="str">
        <f>IF(A261="---","---",IF(Reinf_cont="y","N/A",IF(INPUT!D136=0,0,INPUT!E136/((1.5*INPUT!D136)*12))))</f>
        <v>---</v>
      </c>
      <c r="W261" s="137" t="str">
        <f t="shared" si="77"/>
        <v>---</v>
      </c>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c r="A262" s="435" t="str">
        <f>IF(INPUT!B137="---","---",INPUT!A137)</f>
        <v>---</v>
      </c>
      <c r="B262" s="309" t="str">
        <f>IF(A262="---","---",IF(A262=1,Z_1,INPUT!B137))</f>
        <v>---</v>
      </c>
      <c r="C262" s="309" t="str">
        <f>IF(A262="---","---",INPUT!G137)</f>
        <v>---</v>
      </c>
      <c r="D262" s="309" t="str">
        <f t="shared" si="70"/>
        <v>---</v>
      </c>
      <c r="E262" s="337" t="str">
        <f>IF(A262="---","---",INPUT!H137-2*$F$228)</f>
        <v>---</v>
      </c>
      <c r="F262" s="309" t="str">
        <f>IF(A262="---","---",IF(INPUT!K137&gt;0,INPUT!K137,IF(INPUT!H137&gt;0,INPUT!F137*E262^2*PI()/4,D262*INPUT!E137)))</f>
        <v>---</v>
      </c>
      <c r="G262" s="309" t="str">
        <f>IF(A262="---","---",IF(INPUT!K137&gt;0,INPUT!K137,INPUT!E137*INPUT!G137))</f>
        <v>---</v>
      </c>
      <c r="H262" s="309" t="str">
        <f t="shared" si="71"/>
        <v>---</v>
      </c>
      <c r="I262" s="436" t="str">
        <f>IF(A262="---","---",IF(Reinf_cont="y",1,IF(INPUT!D137=0,0,INPUT!E137/(INPUT!D137*12))))</f>
        <v>---</v>
      </c>
      <c r="J262" s="309" t="str">
        <f>IF(A262="---","---",IF(Type_Reinf="g","---",IF(INPUT!D137=0,0,H262*(Fy/2)/(INPUT!E137/12))))</f>
        <v>---</v>
      </c>
      <c r="K262" s="309" t="str">
        <f>IF(A262="---","---",IF(Type_Reinf="g",(INPUT!M137+INPUT!N137),"---"))</f>
        <v>---</v>
      </c>
      <c r="L262" s="309" t="str">
        <f t="shared" si="72"/>
        <v>---</v>
      </c>
      <c r="M262" s="309" t="str">
        <f t="shared" si="73"/>
        <v>---</v>
      </c>
      <c r="N262" s="309" t="str">
        <f t="shared" si="74"/>
        <v>---</v>
      </c>
      <c r="O262" s="309" t="str">
        <f>IF(A262="---","---",IF(Type_Reinf="g",K262*INPUT!L137/MAX(RF_D,1.1),"---"))</f>
        <v>---</v>
      </c>
      <c r="P262" s="309" t="str">
        <f t="shared" si="75"/>
        <v>---</v>
      </c>
      <c r="Q262" s="309" t="str">
        <f t="shared" si="76"/>
        <v>---</v>
      </c>
      <c r="R262" s="309" t="str">
        <f>IF($A262="---","---",IF(Type_Reinf="g","---",INPUT!O137))</f>
        <v>---</v>
      </c>
      <c r="S262" s="309" t="str">
        <f>IF($A262="---","---",IF(Type_Reinf="g","---",INPUT!P137))</f>
        <v>---</v>
      </c>
      <c r="T262" s="309" t="str">
        <f>IF(Type_Reinf="g",IF(A262="---","---",phi_Tensile_Static*I262*INPUT!M137/$D$231),"---")</f>
        <v>---</v>
      </c>
      <c r="U262" s="337" t="str">
        <f>IF(Type_Reinf="g",IF(A262="---","---",phi_Tensile_Combined*I262*INPUT!N137/(MAX(RF_ID,1.1)*MAX(RF_D,1.1))),"---")</f>
        <v>---</v>
      </c>
      <c r="V262" s="437" t="str">
        <f>IF(A262="---","---",IF(Reinf_cont="y","N/A",IF(INPUT!D137=0,0,INPUT!E137/((1.5*INPUT!D137)*12))))</f>
        <v>---</v>
      </c>
      <c r="W262" s="137" t="str">
        <f t="shared" si="77"/>
        <v>---</v>
      </c>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c r="A263" s="435" t="str">
        <f>IF(INPUT!B138="---","---",INPUT!A138)</f>
        <v>---</v>
      </c>
      <c r="B263" s="309" t="str">
        <f>IF(A263="---","---",IF(A263=1,Z_1,INPUT!B138))</f>
        <v>---</v>
      </c>
      <c r="C263" s="309" t="str">
        <f>IF(A263="---","---",INPUT!G138)</f>
        <v>---</v>
      </c>
      <c r="D263" s="309" t="str">
        <f t="shared" si="70"/>
        <v>---</v>
      </c>
      <c r="E263" s="337" t="str">
        <f>IF(A263="---","---",INPUT!H138-2*$F$228)</f>
        <v>---</v>
      </c>
      <c r="F263" s="309" t="str">
        <f>IF(A263="---","---",IF(INPUT!K138&gt;0,INPUT!K138,IF(INPUT!H138&gt;0,INPUT!F138*E263^2*PI()/4,D263*INPUT!E138)))</f>
        <v>---</v>
      </c>
      <c r="G263" s="309" t="str">
        <f>IF(A263="---","---",IF(INPUT!K138&gt;0,INPUT!K138,INPUT!E138*INPUT!G138))</f>
        <v>---</v>
      </c>
      <c r="H263" s="309" t="str">
        <f t="shared" si="71"/>
        <v>---</v>
      </c>
      <c r="I263" s="436" t="str">
        <f>IF(A263="---","---",IF(Reinf_cont="y",1,IF(INPUT!D138=0,0,INPUT!E138/(INPUT!D138*12))))</f>
        <v>---</v>
      </c>
      <c r="J263" s="309" t="str">
        <f>IF(A263="---","---",IF(Type_Reinf="g","---",IF(INPUT!D138=0,0,H263*(Fy/2)/(INPUT!E138/12))))</f>
        <v>---</v>
      </c>
      <c r="K263" s="309" t="str">
        <f>IF(A263="---","---",IF(Type_Reinf="g",(INPUT!M138+INPUT!N138),"---"))</f>
        <v>---</v>
      </c>
      <c r="L263" s="309" t="str">
        <f t="shared" si="72"/>
        <v>---</v>
      </c>
      <c r="M263" s="309" t="str">
        <f t="shared" si="73"/>
        <v>---</v>
      </c>
      <c r="N263" s="309" t="str">
        <f t="shared" si="74"/>
        <v>---</v>
      </c>
      <c r="O263" s="309" t="str">
        <f>IF(A263="---","---",IF(Type_Reinf="g",K263*INPUT!L138/MAX(RF_D,1.1),"---"))</f>
        <v>---</v>
      </c>
      <c r="P263" s="309" t="str">
        <f t="shared" si="75"/>
        <v>---</v>
      </c>
      <c r="Q263" s="309" t="str">
        <f t="shared" si="76"/>
        <v>---</v>
      </c>
      <c r="R263" s="309" t="str">
        <f>IF($A263="---","---",IF(Type_Reinf="g","---",INPUT!O138))</f>
        <v>---</v>
      </c>
      <c r="S263" s="309" t="str">
        <f>IF($A263="---","---",IF(Type_Reinf="g","---",INPUT!P138))</f>
        <v>---</v>
      </c>
      <c r="T263" s="309" t="str">
        <f>IF(Type_Reinf="g",IF(A263="---","---",phi_Tensile_Static*I263*INPUT!M138/$D$231),"---")</f>
        <v>---</v>
      </c>
      <c r="U263" s="337" t="str">
        <f>IF(Type_Reinf="g",IF(A263="---","---",phi_Tensile_Combined*I263*INPUT!N138/(MAX(RF_ID,1.1)*MAX(RF_D,1.1))),"---")</f>
        <v>---</v>
      </c>
      <c r="V263" s="437" t="str">
        <f>IF(A263="---","---",IF(Reinf_cont="y","N/A",IF(INPUT!D138=0,0,INPUT!E138/((1.5*INPUT!D138)*12))))</f>
        <v>---</v>
      </c>
      <c r="W263" s="137" t="str">
        <f t="shared" si="77"/>
        <v>---</v>
      </c>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c r="A264" s="435" t="str">
        <f>IF(INPUT!B139="---","---",INPUT!A139)</f>
        <v>---</v>
      </c>
      <c r="B264" s="309" t="str">
        <f>IF(A264="---","---",IF(A264=1,Z_1,INPUT!B139))</f>
        <v>---</v>
      </c>
      <c r="C264" s="309" t="str">
        <f>IF(A264="---","---",INPUT!G139)</f>
        <v>---</v>
      </c>
      <c r="D264" s="309" t="str">
        <f t="shared" si="70"/>
        <v>---</v>
      </c>
      <c r="E264" s="337" t="str">
        <f>IF(A264="---","---",INPUT!H139-2*$F$228)</f>
        <v>---</v>
      </c>
      <c r="F264" s="309" t="str">
        <f>IF(A264="---","---",IF(INPUT!K139&gt;0,INPUT!K139,IF(INPUT!H139&gt;0,INPUT!F139*E264^2*PI()/4,D264*INPUT!E139)))</f>
        <v>---</v>
      </c>
      <c r="G264" s="309" t="str">
        <f>IF(A264="---","---",IF(INPUT!K139&gt;0,INPUT!K139,INPUT!E139*INPUT!G139))</f>
        <v>---</v>
      </c>
      <c r="H264" s="309" t="str">
        <f t="shared" si="71"/>
        <v>---</v>
      </c>
      <c r="I264" s="436" t="str">
        <f>IF(A264="---","---",IF(Reinf_cont="y",1,IF(INPUT!D139=0,0,INPUT!E139/(INPUT!D139*12))))</f>
        <v>---</v>
      </c>
      <c r="J264" s="309" t="str">
        <f>IF(A264="---","---",IF(Type_Reinf="g","---",IF(INPUT!D139=0,0,H264*(Fy/2)/(INPUT!E139/12))))</f>
        <v>---</v>
      </c>
      <c r="K264" s="309" t="str">
        <f>IF(A264="---","---",IF(Type_Reinf="g",(INPUT!M139+INPUT!N139),"---"))</f>
        <v>---</v>
      </c>
      <c r="L264" s="309" t="str">
        <f t="shared" si="72"/>
        <v>---</v>
      </c>
      <c r="M264" s="309" t="str">
        <f t="shared" si="73"/>
        <v>---</v>
      </c>
      <c r="N264" s="309" t="str">
        <f t="shared" si="74"/>
        <v>---</v>
      </c>
      <c r="O264" s="309" t="str">
        <f>IF(A264="---","---",IF(Type_Reinf="g",K264*INPUT!L139/MAX(RF_D,1.1),"---"))</f>
        <v>---</v>
      </c>
      <c r="P264" s="309" t="str">
        <f t="shared" si="75"/>
        <v>---</v>
      </c>
      <c r="Q264" s="309" t="str">
        <f t="shared" si="76"/>
        <v>---</v>
      </c>
      <c r="R264" s="309" t="str">
        <f>IF($A264="---","---",IF(Type_Reinf="g","---",INPUT!O139))</f>
        <v>---</v>
      </c>
      <c r="S264" s="309" t="str">
        <f>IF($A264="---","---",IF(Type_Reinf="g","---",INPUT!P139))</f>
        <v>---</v>
      </c>
      <c r="T264" s="309" t="str">
        <f>IF(Type_Reinf="g",IF(A264="---","---",phi_Tensile_Static*I264*INPUT!M139/$D$231),"---")</f>
        <v>---</v>
      </c>
      <c r="U264" s="337" t="str">
        <f>IF(Type_Reinf="g",IF(A264="---","---",phi_Tensile_Combined*I264*INPUT!N139/(MAX(RF_ID,1.1)*MAX(RF_D,1.1))),"---")</f>
        <v>---</v>
      </c>
      <c r="V264" s="437" t="str">
        <f>IF(A264="---","---",IF(Reinf_cont="y","N/A",IF(INPUT!D139=0,0,INPUT!E139/((1.5*INPUT!D139)*12))))</f>
        <v>---</v>
      </c>
      <c r="W264" s="137" t="str">
        <f t="shared" si="77"/>
        <v>---</v>
      </c>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c r="A265" s="435" t="str">
        <f>IF(INPUT!B140="---","---",INPUT!A140)</f>
        <v>---</v>
      </c>
      <c r="B265" s="309" t="str">
        <f>IF(A265="---","---",IF(A265=1,Z_1,INPUT!B140))</f>
        <v>---</v>
      </c>
      <c r="C265" s="309" t="str">
        <f>IF(A265="---","---",INPUT!G140)</f>
        <v>---</v>
      </c>
      <c r="D265" s="309" t="str">
        <f t="shared" si="70"/>
        <v>---</v>
      </c>
      <c r="E265" s="337" t="str">
        <f>IF(A265="---","---",INPUT!H140-2*$F$228)</f>
        <v>---</v>
      </c>
      <c r="F265" s="309" t="str">
        <f>IF(A265="---","---",IF(INPUT!K140&gt;0,INPUT!K140,IF(INPUT!H140&gt;0,INPUT!F140*E265^2*PI()/4,D265*INPUT!E140)))</f>
        <v>---</v>
      </c>
      <c r="G265" s="309" t="str">
        <f>IF(A265="---","---",IF(INPUT!K140&gt;0,INPUT!K140,INPUT!E140*INPUT!G140))</f>
        <v>---</v>
      </c>
      <c r="H265" s="309" t="str">
        <f t="shared" si="71"/>
        <v>---</v>
      </c>
      <c r="I265" s="436" t="str">
        <f>IF(A265="---","---",IF(Reinf_cont="y",1,IF(INPUT!D140=0,0,INPUT!E140/(INPUT!D140*12))))</f>
        <v>---</v>
      </c>
      <c r="J265" s="309" t="str">
        <f>IF(A265="---","---",IF(Type_Reinf="g","---",IF(INPUT!D140=0,0,H265*(Fy/2)/(INPUT!E140/12))))</f>
        <v>---</v>
      </c>
      <c r="K265" s="309" t="str">
        <f>IF(A265="---","---",IF(Type_Reinf="g",(INPUT!M140+INPUT!N140),"---"))</f>
        <v>---</v>
      </c>
      <c r="L265" s="309" t="str">
        <f t="shared" si="72"/>
        <v>---</v>
      </c>
      <c r="M265" s="309" t="str">
        <f t="shared" si="73"/>
        <v>---</v>
      </c>
      <c r="N265" s="309" t="str">
        <f t="shared" si="74"/>
        <v>---</v>
      </c>
      <c r="O265" s="309" t="str">
        <f>IF(A265="---","---",IF(Type_Reinf="g",K265*INPUT!L140/MAX(RF_D,1.1),"---"))</f>
        <v>---</v>
      </c>
      <c r="P265" s="309" t="str">
        <f t="shared" si="75"/>
        <v>---</v>
      </c>
      <c r="Q265" s="309" t="str">
        <f t="shared" si="76"/>
        <v>---</v>
      </c>
      <c r="R265" s="309" t="str">
        <f>IF($A265="---","---",IF(Type_Reinf="g","---",INPUT!O140))</f>
        <v>---</v>
      </c>
      <c r="S265" s="309" t="str">
        <f>IF($A265="---","---",IF(Type_Reinf="g","---",INPUT!P140))</f>
        <v>---</v>
      </c>
      <c r="T265" s="309" t="str">
        <f>IF(Type_Reinf="g",IF(A265="---","---",phi_Tensile_Static*I265*INPUT!M140/$D$231),"---")</f>
        <v>---</v>
      </c>
      <c r="U265" s="337" t="str">
        <f>IF(Type_Reinf="g",IF(A265="---","---",phi_Tensile_Combined*I265*INPUT!N140/(MAX(RF_ID,1.1)*MAX(RF_D,1.1))),"---")</f>
        <v>---</v>
      </c>
      <c r="V265" s="437" t="str">
        <f>IF(A265="---","---",IF(Reinf_cont="y","N/A",IF(INPUT!D140=0,0,INPUT!E140/((1.5*INPUT!D140)*12))))</f>
        <v>---</v>
      </c>
      <c r="W265" s="137" t="str">
        <f t="shared" si="77"/>
        <v>---</v>
      </c>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c r="A266" s="435" t="str">
        <f>IF(INPUT!B141="---","---",INPUT!A141)</f>
        <v>---</v>
      </c>
      <c r="B266" s="309" t="str">
        <f>IF(A266="---","---",IF(A266=1,Z_1,INPUT!B141))</f>
        <v>---</v>
      </c>
      <c r="C266" s="309" t="str">
        <f>IF(A266="---","---",INPUT!G141)</f>
        <v>---</v>
      </c>
      <c r="D266" s="309" t="str">
        <f t="shared" si="70"/>
        <v>---</v>
      </c>
      <c r="E266" s="337" t="str">
        <f>IF(A266="---","---",INPUT!H141-2*$F$228)</f>
        <v>---</v>
      </c>
      <c r="F266" s="309" t="str">
        <f>IF(A266="---","---",IF(INPUT!K141&gt;0,INPUT!K141,IF(INPUT!H141&gt;0,INPUT!F141*E266^2*PI()/4,D266*INPUT!E141)))</f>
        <v>---</v>
      </c>
      <c r="G266" s="309" t="str">
        <f>IF(A266="---","---",IF(INPUT!K141&gt;0,INPUT!K141,INPUT!E141*INPUT!G141))</f>
        <v>---</v>
      </c>
      <c r="H266" s="309" t="str">
        <f t="shared" si="71"/>
        <v>---</v>
      </c>
      <c r="I266" s="436" t="str">
        <f>IF(A266="---","---",IF(Reinf_cont="y",1,IF(INPUT!D141=0,0,INPUT!E141/(INPUT!D141*12))))</f>
        <v>---</v>
      </c>
      <c r="J266" s="309" t="str">
        <f>IF(A266="---","---",IF(Type_Reinf="g","---",IF(INPUT!D141=0,0,H266*(Fy/2)/(INPUT!E141/12))))</f>
        <v>---</v>
      </c>
      <c r="K266" s="309" t="str">
        <f>IF(A266="---","---",IF(Type_Reinf="g",(INPUT!M141+INPUT!N141),"---"))</f>
        <v>---</v>
      </c>
      <c r="L266" s="309" t="str">
        <f t="shared" si="72"/>
        <v>---</v>
      </c>
      <c r="M266" s="309" t="str">
        <f t="shared" si="73"/>
        <v>---</v>
      </c>
      <c r="N266" s="309" t="str">
        <f t="shared" si="74"/>
        <v>---</v>
      </c>
      <c r="O266" s="309" t="str">
        <f>IF(A266="---","---",IF(Type_Reinf="g",K266*INPUT!L141/MAX(RF_D,1.1),"---"))</f>
        <v>---</v>
      </c>
      <c r="P266" s="309" t="str">
        <f t="shared" si="75"/>
        <v>---</v>
      </c>
      <c r="Q266" s="309" t="str">
        <f t="shared" si="76"/>
        <v>---</v>
      </c>
      <c r="R266" s="309" t="str">
        <f>IF($A266="---","---",IF(Type_Reinf="g","---",INPUT!O141))</f>
        <v>---</v>
      </c>
      <c r="S266" s="309" t="str">
        <f>IF($A266="---","---",IF(Type_Reinf="g","---",INPUT!P141))</f>
        <v>---</v>
      </c>
      <c r="T266" s="309" t="str">
        <f>IF(Type_Reinf="g",IF(A266="---","---",phi_Tensile_Static*I266*INPUT!M141/$D$231),"---")</f>
        <v>---</v>
      </c>
      <c r="U266" s="337" t="str">
        <f>IF(Type_Reinf="g",IF(A266="---","---",phi_Tensile_Combined*I266*INPUT!N141/(MAX(RF_ID,1.1)*MAX(RF_D,1.1))),"---")</f>
        <v>---</v>
      </c>
      <c r="V266" s="437" t="str">
        <f>IF(A266="---","---",IF(Reinf_cont="y","N/A",IF(INPUT!D141=0,0,INPUT!E141/((1.5*INPUT!D141)*12))))</f>
        <v>---</v>
      </c>
      <c r="W266" s="137" t="str">
        <f t="shared" si="77"/>
        <v>---</v>
      </c>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c r="A267" s="435" t="str">
        <f>IF(INPUT!B142="---","---",INPUT!A142)</f>
        <v>---</v>
      </c>
      <c r="B267" s="309" t="str">
        <f>IF(A267="---","---",IF(A267=1,Z_1,INPUT!B142))</f>
        <v>---</v>
      </c>
      <c r="C267" s="309" t="str">
        <f>IF(A267="---","---",INPUT!G142)</f>
        <v>---</v>
      </c>
      <c r="D267" s="309" t="str">
        <f t="shared" si="70"/>
        <v>---</v>
      </c>
      <c r="E267" s="337" t="str">
        <f>IF(A267="---","---",INPUT!H142-2*$F$228)</f>
        <v>---</v>
      </c>
      <c r="F267" s="309" t="str">
        <f>IF(A267="---","---",IF(INPUT!K142&gt;0,INPUT!K142,IF(INPUT!H142&gt;0,INPUT!F142*E267^2*PI()/4,D267*INPUT!E142)))</f>
        <v>---</v>
      </c>
      <c r="G267" s="309" t="str">
        <f>IF(A267="---","---",IF(INPUT!K142&gt;0,INPUT!K142,INPUT!E142*INPUT!G142))</f>
        <v>---</v>
      </c>
      <c r="H267" s="309" t="str">
        <f t="shared" si="71"/>
        <v>---</v>
      </c>
      <c r="I267" s="436" t="str">
        <f>IF(A267="---","---",IF(Reinf_cont="y",1,IF(INPUT!D142=0,0,INPUT!E142/(INPUT!D142*12))))</f>
        <v>---</v>
      </c>
      <c r="J267" s="309" t="str">
        <f>IF(A267="---","---",IF(Type_Reinf="g","---",IF(INPUT!D142=0,0,H267*(Fy/2)/(INPUT!E142/12))))</f>
        <v>---</v>
      </c>
      <c r="K267" s="309" t="str">
        <f>IF(A267="---","---",IF(Type_Reinf="g",(INPUT!M142+INPUT!N142),"---"))</f>
        <v>---</v>
      </c>
      <c r="L267" s="309" t="str">
        <f t="shared" si="72"/>
        <v>---</v>
      </c>
      <c r="M267" s="309" t="str">
        <f t="shared" si="73"/>
        <v>---</v>
      </c>
      <c r="N267" s="309" t="str">
        <f t="shared" si="74"/>
        <v>---</v>
      </c>
      <c r="O267" s="309" t="str">
        <f>IF(A267="---","---",IF(Type_Reinf="g",K267*INPUT!L142/MAX(RF_D,1.1),"---"))</f>
        <v>---</v>
      </c>
      <c r="P267" s="309" t="str">
        <f t="shared" si="75"/>
        <v>---</v>
      </c>
      <c r="Q267" s="309" t="str">
        <f t="shared" si="76"/>
        <v>---</v>
      </c>
      <c r="R267" s="309" t="str">
        <f>IF($A267="---","---",IF(Type_Reinf="g","---",INPUT!O142))</f>
        <v>---</v>
      </c>
      <c r="S267" s="309" t="str">
        <f>IF($A267="---","---",IF(Type_Reinf="g","---",INPUT!P142))</f>
        <v>---</v>
      </c>
      <c r="T267" s="309" t="str">
        <f>IF(Type_Reinf="g",IF(A267="---","---",phi_Tensile_Static*I267*INPUT!M142/$D$231),"---")</f>
        <v>---</v>
      </c>
      <c r="U267" s="337" t="str">
        <f>IF(Type_Reinf="g",IF(A267="---","---",phi_Tensile_Combined*I267*INPUT!N142/(MAX(RF_ID,1.1)*MAX(RF_D,1.1))),"---")</f>
        <v>---</v>
      </c>
      <c r="V267" s="437" t="str">
        <f>IF(A267="---","---",IF(Reinf_cont="y","N/A",IF(INPUT!D142=0,0,INPUT!E142/((1.5*INPUT!D142)*12))))</f>
        <v>---</v>
      </c>
      <c r="W267" s="137" t="str">
        <f t="shared" si="77"/>
        <v>---</v>
      </c>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c r="A268" s="435" t="str">
        <f>IF(INPUT!B143="---","---",INPUT!A143)</f>
        <v>---</v>
      </c>
      <c r="B268" s="309" t="str">
        <f>IF(A268="---","---",IF(A268=1,Z_1,INPUT!B143))</f>
        <v>---</v>
      </c>
      <c r="C268" s="309" t="str">
        <f>IF(A268="---","---",INPUT!G143)</f>
        <v>---</v>
      </c>
      <c r="D268" s="309" t="str">
        <f t="shared" ref="D268:D285" si="78">IF(A268="---","---",IF(C268=0,0,C268-2*$F$228))</f>
        <v>---</v>
      </c>
      <c r="E268" s="337" t="str">
        <f>IF(A268="---","---",INPUT!H143-2*$F$228)</f>
        <v>---</v>
      </c>
      <c r="F268" s="309" t="str">
        <f>IF(A268="---","---",IF(INPUT!K143&gt;0,INPUT!K143,IF(INPUT!H143&gt;0,INPUT!F143*E268^2*PI()/4,D268*INPUT!E143)))</f>
        <v>---</v>
      </c>
      <c r="G268" s="309" t="str">
        <f>IF(A268="---","---",IF(INPUT!K143&gt;0,INPUT!K143,INPUT!E143*INPUT!G143))</f>
        <v>---</v>
      </c>
      <c r="H268" s="309" t="str">
        <f t="shared" ref="H268:H285" si="79">IF(A268="---","---",IF(Type_Reinf="g",G268,F268))</f>
        <v>---</v>
      </c>
      <c r="I268" s="436" t="str">
        <f>IF(A268="---","---",IF(Reinf_cont="y",1,IF(INPUT!D143=0,0,INPUT!E143/(INPUT!D143*12))))</f>
        <v>---</v>
      </c>
      <c r="J268" s="309" t="str">
        <f>IF(A268="---","---",IF(Type_Reinf="g","---",IF(INPUT!D143=0,0,H268*(Fy/2)/(INPUT!E143/12))))</f>
        <v>---</v>
      </c>
      <c r="K268" s="309" t="str">
        <f>IF(A268="---","---",IF(Type_Reinf="g",(INPUT!M143+INPUT!N143),"---"))</f>
        <v>---</v>
      </c>
      <c r="L268" s="309" t="str">
        <f t="shared" ref="L268:L285" si="80">IF(A268="---","---",IF(Type_Reinf="g",K268/$D$231,"---"))</f>
        <v>---</v>
      </c>
      <c r="M268" s="309" t="str">
        <f t="shared" ref="M268:M285" si="81">IF(A268="---","---",IF(Type_Reinf="g",L268,J268)*phi_Tensile_Static*I268)</f>
        <v>---</v>
      </c>
      <c r="N268" s="309" t="str">
        <f t="shared" ref="N268:N285" si="82">IF(M268="---","---",M268*phi_Tensile_Combined/phi_Tensile_Static)</f>
        <v>---</v>
      </c>
      <c r="O268" s="309" t="str">
        <f>IF(A268="---","---",IF(Type_Reinf="g",K268*INPUT!L143/MAX(RF_D,1.1),"---"))</f>
        <v>---</v>
      </c>
      <c r="P268" s="309" t="str">
        <f t="shared" ref="P268:P285" si="83">IF(A268="---","---",IF(Type_Reinf="g",phi_Tensile_Static*O268*I268,"---"))</f>
        <v>---</v>
      </c>
      <c r="Q268" s="309" t="str">
        <f t="shared" ref="Q268:Q285" si="84">IF(P268="---","---",P268*phi_Tensile_Combined/phi_Tensile_Static)</f>
        <v>---</v>
      </c>
      <c r="R268" s="309" t="str">
        <f>IF($A268="---","---",IF(Type_Reinf="g","---",INPUT!O143))</f>
        <v>---</v>
      </c>
      <c r="S268" s="309" t="str">
        <f>IF($A268="---","---",IF(Type_Reinf="g","---",INPUT!P143))</f>
        <v>---</v>
      </c>
      <c r="T268" s="309" t="str">
        <f>IF(Type_Reinf="g",IF(A268="---","---",phi_Tensile_Static*I268*INPUT!M143/$D$231),"---")</f>
        <v>---</v>
      </c>
      <c r="U268" s="337" t="str">
        <f>IF(Type_Reinf="g",IF(A268="---","---",phi_Tensile_Combined*I268*INPUT!N143/(MAX(RF_ID,1.1)*MAX(RF_D,1.1))),"---")</f>
        <v>---</v>
      </c>
      <c r="V268" s="437" t="str">
        <f>IF(A268="---","---",IF(Reinf_cont="y","N/A",IF(INPUT!D143=0,0,INPUT!E143/((1.5*INPUT!D143)*12))))</f>
        <v>---</v>
      </c>
      <c r="W268" s="137" t="str">
        <f t="shared" ref="W268:W285" si="85">IF(A268="---","---",IF(V268="N/A","---",IF(Type_Reinf="g",L268,J268)*phi_Tensile_Static*V268))</f>
        <v>---</v>
      </c>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c r="A269" s="435" t="str">
        <f>IF(INPUT!B144="---","---",INPUT!A144)</f>
        <v>---</v>
      </c>
      <c r="B269" s="309" t="str">
        <f>IF(A269="---","---",IF(A269=1,Z_1,INPUT!B144))</f>
        <v>---</v>
      </c>
      <c r="C269" s="309" t="str">
        <f>IF(A269="---","---",INPUT!G144)</f>
        <v>---</v>
      </c>
      <c r="D269" s="309" t="str">
        <f t="shared" si="78"/>
        <v>---</v>
      </c>
      <c r="E269" s="337" t="str">
        <f>IF(A269="---","---",INPUT!H144-2*$F$228)</f>
        <v>---</v>
      </c>
      <c r="F269" s="309" t="str">
        <f>IF(A269="---","---",IF(INPUT!K144&gt;0,INPUT!K144,IF(INPUT!H144&gt;0,INPUT!F144*E269^2*PI()/4,D269*INPUT!E144)))</f>
        <v>---</v>
      </c>
      <c r="G269" s="309" t="str">
        <f>IF(A269="---","---",IF(INPUT!K144&gt;0,INPUT!K144,INPUT!E144*INPUT!G144))</f>
        <v>---</v>
      </c>
      <c r="H269" s="309" t="str">
        <f t="shared" si="79"/>
        <v>---</v>
      </c>
      <c r="I269" s="436" t="str">
        <f>IF(A269="---","---",IF(Reinf_cont="y",1,IF(INPUT!D144=0,0,INPUT!E144/(INPUT!D144*12))))</f>
        <v>---</v>
      </c>
      <c r="J269" s="309" t="str">
        <f>IF(A269="---","---",IF(Type_Reinf="g","---",IF(INPUT!D144=0,0,H269*(Fy/2)/(INPUT!E144/12))))</f>
        <v>---</v>
      </c>
      <c r="K269" s="309" t="str">
        <f>IF(A269="---","---",IF(Type_Reinf="g",(INPUT!M144+INPUT!N144),"---"))</f>
        <v>---</v>
      </c>
      <c r="L269" s="309" t="str">
        <f t="shared" si="80"/>
        <v>---</v>
      </c>
      <c r="M269" s="309" t="str">
        <f t="shared" si="81"/>
        <v>---</v>
      </c>
      <c r="N269" s="309" t="str">
        <f t="shared" si="82"/>
        <v>---</v>
      </c>
      <c r="O269" s="309" t="str">
        <f>IF(A269="---","---",IF(Type_Reinf="g",K269*INPUT!L144/MAX(RF_D,1.1),"---"))</f>
        <v>---</v>
      </c>
      <c r="P269" s="309" t="str">
        <f t="shared" si="83"/>
        <v>---</v>
      </c>
      <c r="Q269" s="309" t="str">
        <f t="shared" si="84"/>
        <v>---</v>
      </c>
      <c r="R269" s="309" t="str">
        <f>IF($A269="---","---",IF(Type_Reinf="g","---",INPUT!O144))</f>
        <v>---</v>
      </c>
      <c r="S269" s="309" t="str">
        <f>IF($A269="---","---",IF(Type_Reinf="g","---",INPUT!P144))</f>
        <v>---</v>
      </c>
      <c r="T269" s="309" t="str">
        <f>IF(Type_Reinf="g",IF(A269="---","---",phi_Tensile_Static*I269*INPUT!M144/$D$231),"---")</f>
        <v>---</v>
      </c>
      <c r="U269" s="337" t="str">
        <f>IF(Type_Reinf="g",IF(A269="---","---",phi_Tensile_Combined*I269*INPUT!N144/(MAX(RF_ID,1.1)*MAX(RF_D,1.1))),"---")</f>
        <v>---</v>
      </c>
      <c r="V269" s="437" t="str">
        <f>IF(A269="---","---",IF(Reinf_cont="y","N/A",IF(INPUT!D144=0,0,INPUT!E144/((1.5*INPUT!D144)*12))))</f>
        <v>---</v>
      </c>
      <c r="W269" s="137" t="str">
        <f t="shared" si="85"/>
        <v>---</v>
      </c>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c r="A270" s="435" t="str">
        <f>IF(INPUT!B145="---","---",INPUT!A145)</f>
        <v>---</v>
      </c>
      <c r="B270" s="309" t="str">
        <f>IF(A270="---","---",IF(A270=1,Z_1,INPUT!B145))</f>
        <v>---</v>
      </c>
      <c r="C270" s="309" t="str">
        <f>IF(A270="---","---",INPUT!G145)</f>
        <v>---</v>
      </c>
      <c r="D270" s="309" t="str">
        <f t="shared" si="78"/>
        <v>---</v>
      </c>
      <c r="E270" s="337" t="str">
        <f>IF(A270="---","---",INPUT!H145-2*$F$228)</f>
        <v>---</v>
      </c>
      <c r="F270" s="309" t="str">
        <f>IF(A270="---","---",IF(INPUT!K145&gt;0,INPUT!K145,IF(INPUT!H145&gt;0,INPUT!F145*E270^2*PI()/4,D270*INPUT!E145)))</f>
        <v>---</v>
      </c>
      <c r="G270" s="309" t="str">
        <f>IF(A270="---","---",IF(INPUT!K145&gt;0,INPUT!K145,INPUT!E145*INPUT!G145))</f>
        <v>---</v>
      </c>
      <c r="H270" s="309" t="str">
        <f t="shared" si="79"/>
        <v>---</v>
      </c>
      <c r="I270" s="436" t="str">
        <f>IF(A270="---","---",IF(Reinf_cont="y",1,IF(INPUT!D145=0,0,INPUT!E145/(INPUT!D145*12))))</f>
        <v>---</v>
      </c>
      <c r="J270" s="309" t="str">
        <f>IF(A270="---","---",IF(Type_Reinf="g","---",IF(INPUT!D145=0,0,H270*(Fy/2)/(INPUT!E145/12))))</f>
        <v>---</v>
      </c>
      <c r="K270" s="309" t="str">
        <f>IF(A270="---","---",IF(Type_Reinf="g",(INPUT!M145+INPUT!N145),"---"))</f>
        <v>---</v>
      </c>
      <c r="L270" s="309" t="str">
        <f t="shared" si="80"/>
        <v>---</v>
      </c>
      <c r="M270" s="309" t="str">
        <f t="shared" si="81"/>
        <v>---</v>
      </c>
      <c r="N270" s="309" t="str">
        <f t="shared" si="82"/>
        <v>---</v>
      </c>
      <c r="O270" s="309" t="str">
        <f>IF(A270="---","---",IF(Type_Reinf="g",K270*INPUT!L145/MAX(RF_D,1.1),"---"))</f>
        <v>---</v>
      </c>
      <c r="P270" s="309" t="str">
        <f t="shared" si="83"/>
        <v>---</v>
      </c>
      <c r="Q270" s="309" t="str">
        <f t="shared" si="84"/>
        <v>---</v>
      </c>
      <c r="R270" s="309" t="str">
        <f>IF($A270="---","---",IF(Type_Reinf="g","---",INPUT!O145))</f>
        <v>---</v>
      </c>
      <c r="S270" s="309" t="str">
        <f>IF($A270="---","---",IF(Type_Reinf="g","---",INPUT!P145))</f>
        <v>---</v>
      </c>
      <c r="T270" s="309" t="str">
        <f>IF(Type_Reinf="g",IF(A270="---","---",phi_Tensile_Static*I270*INPUT!M145/$D$231),"---")</f>
        <v>---</v>
      </c>
      <c r="U270" s="337" t="str">
        <f>IF(Type_Reinf="g",IF(A270="---","---",phi_Tensile_Combined*I270*INPUT!N145/(MAX(RF_ID,1.1)*MAX(RF_D,1.1))),"---")</f>
        <v>---</v>
      </c>
      <c r="V270" s="437" t="str">
        <f>IF(A270="---","---",IF(Reinf_cont="y","N/A",IF(INPUT!D145=0,0,INPUT!E145/((1.5*INPUT!D145)*12))))</f>
        <v>---</v>
      </c>
      <c r="W270" s="137" t="str">
        <f t="shared" si="85"/>
        <v>---</v>
      </c>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c r="A271" s="435" t="str">
        <f>IF(INPUT!B146="---","---",INPUT!A146)</f>
        <v>---</v>
      </c>
      <c r="B271" s="309" t="str">
        <f>IF(A271="---","---",IF(A271=1,Z_1,INPUT!B146))</f>
        <v>---</v>
      </c>
      <c r="C271" s="309" t="str">
        <f>IF(A271="---","---",INPUT!G146)</f>
        <v>---</v>
      </c>
      <c r="D271" s="309" t="str">
        <f t="shared" si="78"/>
        <v>---</v>
      </c>
      <c r="E271" s="337" t="str">
        <f>IF(A271="---","---",INPUT!H146-2*$F$228)</f>
        <v>---</v>
      </c>
      <c r="F271" s="309" t="str">
        <f>IF(A271="---","---",IF(INPUT!K146&gt;0,INPUT!K146,IF(INPUT!H146&gt;0,INPUT!F146*E271^2*PI()/4,D271*INPUT!E146)))</f>
        <v>---</v>
      </c>
      <c r="G271" s="309" t="str">
        <f>IF(A271="---","---",IF(INPUT!K146&gt;0,INPUT!K146,INPUT!E146*INPUT!G146))</f>
        <v>---</v>
      </c>
      <c r="H271" s="309" t="str">
        <f t="shared" si="79"/>
        <v>---</v>
      </c>
      <c r="I271" s="436" t="str">
        <f>IF(A271="---","---",IF(Reinf_cont="y",1,IF(INPUT!D146=0,0,INPUT!E146/(INPUT!D146*12))))</f>
        <v>---</v>
      </c>
      <c r="J271" s="309" t="str">
        <f>IF(A271="---","---",IF(Type_Reinf="g","---",IF(INPUT!D146=0,0,H271*(Fy/2)/(INPUT!E146/12))))</f>
        <v>---</v>
      </c>
      <c r="K271" s="309" t="str">
        <f>IF(A271="---","---",IF(Type_Reinf="g",(INPUT!M146+INPUT!N146),"---"))</f>
        <v>---</v>
      </c>
      <c r="L271" s="309" t="str">
        <f t="shared" si="80"/>
        <v>---</v>
      </c>
      <c r="M271" s="309" t="str">
        <f t="shared" si="81"/>
        <v>---</v>
      </c>
      <c r="N271" s="309" t="str">
        <f t="shared" si="82"/>
        <v>---</v>
      </c>
      <c r="O271" s="309" t="str">
        <f>IF(A271="---","---",IF(Type_Reinf="g",K271*INPUT!L146/MAX(RF_D,1.1),"---"))</f>
        <v>---</v>
      </c>
      <c r="P271" s="309" t="str">
        <f t="shared" si="83"/>
        <v>---</v>
      </c>
      <c r="Q271" s="309" t="str">
        <f t="shared" si="84"/>
        <v>---</v>
      </c>
      <c r="R271" s="309" t="str">
        <f>IF($A271="---","---",IF(Type_Reinf="g","---",INPUT!O146))</f>
        <v>---</v>
      </c>
      <c r="S271" s="309" t="str">
        <f>IF($A271="---","---",IF(Type_Reinf="g","---",INPUT!P146))</f>
        <v>---</v>
      </c>
      <c r="T271" s="309" t="str">
        <f>IF(Type_Reinf="g",IF(A271="---","---",phi_Tensile_Static*I271*INPUT!M146/$D$231),"---")</f>
        <v>---</v>
      </c>
      <c r="U271" s="337" t="str">
        <f>IF(Type_Reinf="g",IF(A271="---","---",phi_Tensile_Combined*I271*INPUT!N146/(MAX(RF_ID,1.1)*MAX(RF_D,1.1))),"---")</f>
        <v>---</v>
      </c>
      <c r="V271" s="437" t="str">
        <f>IF(A271="---","---",IF(Reinf_cont="y","N/A",IF(INPUT!D146=0,0,INPUT!E146/((1.5*INPUT!D146)*12))))</f>
        <v>---</v>
      </c>
      <c r="W271" s="137" t="str">
        <f t="shared" si="85"/>
        <v>---</v>
      </c>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c r="A272" s="435" t="str">
        <f>IF(INPUT!B147="---","---",INPUT!A147)</f>
        <v>---</v>
      </c>
      <c r="B272" s="309" t="str">
        <f>IF(A272="---","---",IF(A272=1,Z_1,INPUT!B147))</f>
        <v>---</v>
      </c>
      <c r="C272" s="309" t="str">
        <f>IF(A272="---","---",INPUT!G147)</f>
        <v>---</v>
      </c>
      <c r="D272" s="309" t="str">
        <f t="shared" si="78"/>
        <v>---</v>
      </c>
      <c r="E272" s="337" t="str">
        <f>IF(A272="---","---",INPUT!H147-2*$F$228)</f>
        <v>---</v>
      </c>
      <c r="F272" s="309" t="str">
        <f>IF(A272="---","---",IF(INPUT!K147&gt;0,INPUT!K147,IF(INPUT!H147&gt;0,INPUT!F147*E272^2*PI()/4,D272*INPUT!E147)))</f>
        <v>---</v>
      </c>
      <c r="G272" s="309" t="str">
        <f>IF(A272="---","---",IF(INPUT!K147&gt;0,INPUT!K147,INPUT!E147*INPUT!G147))</f>
        <v>---</v>
      </c>
      <c r="H272" s="309" t="str">
        <f t="shared" si="79"/>
        <v>---</v>
      </c>
      <c r="I272" s="436" t="str">
        <f>IF(A272="---","---",IF(Reinf_cont="y",1,IF(INPUT!D147=0,0,INPUT!E147/(INPUT!D147*12))))</f>
        <v>---</v>
      </c>
      <c r="J272" s="309" t="str">
        <f>IF(A272="---","---",IF(Type_Reinf="g","---",IF(INPUT!D147=0,0,H272*(Fy/2)/(INPUT!E147/12))))</f>
        <v>---</v>
      </c>
      <c r="K272" s="309" t="str">
        <f>IF(A272="---","---",IF(Type_Reinf="g",(INPUT!M147+INPUT!N147),"---"))</f>
        <v>---</v>
      </c>
      <c r="L272" s="309" t="str">
        <f t="shared" si="80"/>
        <v>---</v>
      </c>
      <c r="M272" s="309" t="str">
        <f t="shared" si="81"/>
        <v>---</v>
      </c>
      <c r="N272" s="309" t="str">
        <f t="shared" si="82"/>
        <v>---</v>
      </c>
      <c r="O272" s="309" t="str">
        <f>IF(A272="---","---",IF(Type_Reinf="g",K272*INPUT!L147/MAX(RF_D,1.1),"---"))</f>
        <v>---</v>
      </c>
      <c r="P272" s="309" t="str">
        <f t="shared" si="83"/>
        <v>---</v>
      </c>
      <c r="Q272" s="309" t="str">
        <f t="shared" si="84"/>
        <v>---</v>
      </c>
      <c r="R272" s="309" t="str">
        <f>IF($A272="---","---",IF(Type_Reinf="g","---",INPUT!O147))</f>
        <v>---</v>
      </c>
      <c r="S272" s="309" t="str">
        <f>IF($A272="---","---",IF(Type_Reinf="g","---",INPUT!P147))</f>
        <v>---</v>
      </c>
      <c r="T272" s="309" t="str">
        <f>IF(Type_Reinf="g",IF(A272="---","---",phi_Tensile_Static*I272*INPUT!M147/$D$231),"---")</f>
        <v>---</v>
      </c>
      <c r="U272" s="337" t="str">
        <f>IF(Type_Reinf="g",IF(A272="---","---",phi_Tensile_Combined*I272*INPUT!N147/(MAX(RF_ID,1.1)*MAX(RF_D,1.1))),"---")</f>
        <v>---</v>
      </c>
      <c r="V272" s="437" t="str">
        <f>IF(A272="---","---",IF(Reinf_cont="y","N/A",IF(INPUT!D147=0,0,INPUT!E147/((1.5*INPUT!D147)*12))))</f>
        <v>---</v>
      </c>
      <c r="W272" s="137" t="str">
        <f t="shared" si="85"/>
        <v>---</v>
      </c>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c r="A273" s="435" t="str">
        <f>IF(INPUT!B148="---","---",INPUT!A148)</f>
        <v>---</v>
      </c>
      <c r="B273" s="309" t="str">
        <f>IF(A273="---","---",IF(A273=1,Z_1,INPUT!B148))</f>
        <v>---</v>
      </c>
      <c r="C273" s="309" t="str">
        <f>IF(A273="---","---",INPUT!G148)</f>
        <v>---</v>
      </c>
      <c r="D273" s="309" t="str">
        <f t="shared" si="78"/>
        <v>---</v>
      </c>
      <c r="E273" s="337" t="str">
        <f>IF(A273="---","---",INPUT!H148-2*$F$228)</f>
        <v>---</v>
      </c>
      <c r="F273" s="309" t="str">
        <f>IF(A273="---","---",IF(INPUT!K148&gt;0,INPUT!K148,IF(INPUT!H148&gt;0,INPUT!F148*E273^2*PI()/4,D273*INPUT!E148)))</f>
        <v>---</v>
      </c>
      <c r="G273" s="309" t="str">
        <f>IF(A273="---","---",IF(INPUT!K148&gt;0,INPUT!K148,INPUT!E148*INPUT!G148))</f>
        <v>---</v>
      </c>
      <c r="H273" s="309" t="str">
        <f t="shared" si="79"/>
        <v>---</v>
      </c>
      <c r="I273" s="436" t="str">
        <f>IF(A273="---","---",IF(Reinf_cont="y",1,IF(INPUT!D148=0,0,INPUT!E148/(INPUT!D148*12))))</f>
        <v>---</v>
      </c>
      <c r="J273" s="309" t="str">
        <f>IF(A273="---","---",IF(Type_Reinf="g","---",IF(INPUT!D148=0,0,H273*(Fy/2)/(INPUT!E148/12))))</f>
        <v>---</v>
      </c>
      <c r="K273" s="309" t="str">
        <f>IF(A273="---","---",IF(Type_Reinf="g",(INPUT!M148+INPUT!N148),"---"))</f>
        <v>---</v>
      </c>
      <c r="L273" s="309" t="str">
        <f t="shared" si="80"/>
        <v>---</v>
      </c>
      <c r="M273" s="309" t="str">
        <f t="shared" si="81"/>
        <v>---</v>
      </c>
      <c r="N273" s="309" t="str">
        <f t="shared" si="82"/>
        <v>---</v>
      </c>
      <c r="O273" s="309" t="str">
        <f>IF(A273="---","---",IF(Type_Reinf="g",K273*INPUT!L148/MAX(RF_D,1.1),"---"))</f>
        <v>---</v>
      </c>
      <c r="P273" s="309" t="str">
        <f t="shared" si="83"/>
        <v>---</v>
      </c>
      <c r="Q273" s="309" t="str">
        <f t="shared" si="84"/>
        <v>---</v>
      </c>
      <c r="R273" s="309" t="str">
        <f>IF($A273="---","---",IF(Type_Reinf="g","---",INPUT!O148))</f>
        <v>---</v>
      </c>
      <c r="S273" s="309" t="str">
        <f>IF($A273="---","---",IF(Type_Reinf="g","---",INPUT!P148))</f>
        <v>---</v>
      </c>
      <c r="T273" s="309" t="str">
        <f>IF(Type_Reinf="g",IF(A273="---","---",phi_Tensile_Static*I273*INPUT!M148/$D$231),"---")</f>
        <v>---</v>
      </c>
      <c r="U273" s="337" t="str">
        <f>IF(Type_Reinf="g",IF(A273="---","---",phi_Tensile_Combined*I273*INPUT!N148/(MAX(RF_ID,1.1)*MAX(RF_D,1.1))),"---")</f>
        <v>---</v>
      </c>
      <c r="V273" s="437" t="str">
        <f>IF(A273="---","---",IF(Reinf_cont="y","N/A",IF(INPUT!D148=0,0,INPUT!E148/((1.5*INPUT!D148)*12))))</f>
        <v>---</v>
      </c>
      <c r="W273" s="137" t="str">
        <f t="shared" si="85"/>
        <v>---</v>
      </c>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c r="A274" s="435" t="str">
        <f>IF(INPUT!B149="---","---",INPUT!A149)</f>
        <v>---</v>
      </c>
      <c r="B274" s="309" t="str">
        <f>IF(A274="---","---",IF(A274=1,Z_1,INPUT!B149))</f>
        <v>---</v>
      </c>
      <c r="C274" s="309" t="str">
        <f>IF(A274="---","---",INPUT!G149)</f>
        <v>---</v>
      </c>
      <c r="D274" s="309" t="str">
        <f t="shared" si="78"/>
        <v>---</v>
      </c>
      <c r="E274" s="337" t="str">
        <f>IF(A274="---","---",INPUT!H149-2*$F$228)</f>
        <v>---</v>
      </c>
      <c r="F274" s="309" t="str">
        <f>IF(A274="---","---",IF(INPUT!K149&gt;0,INPUT!K149,IF(INPUT!H149&gt;0,INPUT!F149*E274^2*PI()/4,D274*INPUT!E149)))</f>
        <v>---</v>
      </c>
      <c r="G274" s="309" t="str">
        <f>IF(A274="---","---",IF(INPUT!K149&gt;0,INPUT!K149,INPUT!E149*INPUT!G149))</f>
        <v>---</v>
      </c>
      <c r="H274" s="309" t="str">
        <f t="shared" si="79"/>
        <v>---</v>
      </c>
      <c r="I274" s="436" t="str">
        <f>IF(A274="---","---",IF(Reinf_cont="y",1,IF(INPUT!D149=0,0,INPUT!E149/(INPUT!D149*12))))</f>
        <v>---</v>
      </c>
      <c r="J274" s="309" t="str">
        <f>IF(A274="---","---",IF(Type_Reinf="g","---",IF(INPUT!D149=0,0,H274*(Fy/2)/(INPUT!E149/12))))</f>
        <v>---</v>
      </c>
      <c r="K274" s="309" t="str">
        <f>IF(A274="---","---",IF(Type_Reinf="g",(INPUT!M149+INPUT!N149),"---"))</f>
        <v>---</v>
      </c>
      <c r="L274" s="309" t="str">
        <f t="shared" si="80"/>
        <v>---</v>
      </c>
      <c r="M274" s="309" t="str">
        <f t="shared" si="81"/>
        <v>---</v>
      </c>
      <c r="N274" s="309" t="str">
        <f t="shared" si="82"/>
        <v>---</v>
      </c>
      <c r="O274" s="309" t="str">
        <f>IF(A274="---","---",IF(Type_Reinf="g",K274*INPUT!L149/MAX(RF_D,1.1),"---"))</f>
        <v>---</v>
      </c>
      <c r="P274" s="309" t="str">
        <f t="shared" si="83"/>
        <v>---</v>
      </c>
      <c r="Q274" s="309" t="str">
        <f t="shared" si="84"/>
        <v>---</v>
      </c>
      <c r="R274" s="309" t="str">
        <f>IF($A274="---","---",IF(Type_Reinf="g","---",INPUT!O149))</f>
        <v>---</v>
      </c>
      <c r="S274" s="309" t="str">
        <f>IF($A274="---","---",IF(Type_Reinf="g","---",INPUT!P149))</f>
        <v>---</v>
      </c>
      <c r="T274" s="309" t="str">
        <f>IF(Type_Reinf="g",IF(A274="---","---",phi_Tensile_Static*I274*INPUT!M149/$D$231),"---")</f>
        <v>---</v>
      </c>
      <c r="U274" s="337" t="str">
        <f>IF(Type_Reinf="g",IF(A274="---","---",phi_Tensile_Combined*I274*INPUT!N149/(MAX(RF_ID,1.1)*MAX(RF_D,1.1))),"---")</f>
        <v>---</v>
      </c>
      <c r="V274" s="437" t="str">
        <f>IF(A274="---","---",IF(Reinf_cont="y","N/A",IF(INPUT!D149=0,0,INPUT!E149/((1.5*INPUT!D149)*12))))</f>
        <v>---</v>
      </c>
      <c r="W274" s="137" t="str">
        <f t="shared" si="85"/>
        <v>---</v>
      </c>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c r="A275" s="435" t="str">
        <f>IF(INPUT!B150="---","---",INPUT!A150)</f>
        <v>---</v>
      </c>
      <c r="B275" s="309" t="str">
        <f>IF(A275="---","---",IF(A275=1,Z_1,INPUT!B150))</f>
        <v>---</v>
      </c>
      <c r="C275" s="309" t="str">
        <f>IF(A275="---","---",INPUT!G150)</f>
        <v>---</v>
      </c>
      <c r="D275" s="309" t="str">
        <f t="shared" si="78"/>
        <v>---</v>
      </c>
      <c r="E275" s="337" t="str">
        <f>IF(A275="---","---",INPUT!H150-2*$F$228)</f>
        <v>---</v>
      </c>
      <c r="F275" s="309" t="str">
        <f>IF(A275="---","---",IF(INPUT!K150&gt;0,INPUT!K150,IF(INPUT!H150&gt;0,INPUT!F150*E275^2*PI()/4,D275*INPUT!E150)))</f>
        <v>---</v>
      </c>
      <c r="G275" s="309" t="str">
        <f>IF(A275="---","---",IF(INPUT!K150&gt;0,INPUT!K150,INPUT!E150*INPUT!G150))</f>
        <v>---</v>
      </c>
      <c r="H275" s="309" t="str">
        <f t="shared" si="79"/>
        <v>---</v>
      </c>
      <c r="I275" s="436" t="str">
        <f>IF(A275="---","---",IF(Reinf_cont="y",1,IF(INPUT!D150=0,0,INPUT!E150/(INPUT!D150*12))))</f>
        <v>---</v>
      </c>
      <c r="J275" s="309" t="str">
        <f>IF(A275="---","---",IF(Type_Reinf="g","---",IF(INPUT!D150=0,0,H275*(Fy/2)/(INPUT!E150/12))))</f>
        <v>---</v>
      </c>
      <c r="K275" s="309" t="str">
        <f>IF(A275="---","---",IF(Type_Reinf="g",(INPUT!M150+INPUT!N150),"---"))</f>
        <v>---</v>
      </c>
      <c r="L275" s="309" t="str">
        <f t="shared" si="80"/>
        <v>---</v>
      </c>
      <c r="M275" s="309" t="str">
        <f t="shared" si="81"/>
        <v>---</v>
      </c>
      <c r="N275" s="309" t="str">
        <f t="shared" si="82"/>
        <v>---</v>
      </c>
      <c r="O275" s="309" t="str">
        <f>IF(A275="---","---",IF(Type_Reinf="g",K275*INPUT!L150/MAX(RF_D,1.1),"---"))</f>
        <v>---</v>
      </c>
      <c r="P275" s="309" t="str">
        <f t="shared" si="83"/>
        <v>---</v>
      </c>
      <c r="Q275" s="309" t="str">
        <f t="shared" si="84"/>
        <v>---</v>
      </c>
      <c r="R275" s="309" t="str">
        <f>IF($A275="---","---",IF(Type_Reinf="g","---",INPUT!O150))</f>
        <v>---</v>
      </c>
      <c r="S275" s="309" t="str">
        <f>IF($A275="---","---",IF(Type_Reinf="g","---",INPUT!P150))</f>
        <v>---</v>
      </c>
      <c r="T275" s="309" t="str">
        <f>IF(Type_Reinf="g",IF(A275="---","---",phi_Tensile_Static*I275*INPUT!M150/$D$231),"---")</f>
        <v>---</v>
      </c>
      <c r="U275" s="337" t="str">
        <f>IF(Type_Reinf="g",IF(A275="---","---",phi_Tensile_Combined*I275*INPUT!N150/(MAX(RF_ID,1.1)*MAX(RF_D,1.1))),"---")</f>
        <v>---</v>
      </c>
      <c r="V275" s="437" t="str">
        <f>IF(A275="---","---",IF(Reinf_cont="y","N/A",IF(INPUT!D150=0,0,INPUT!E150/((1.5*INPUT!D150)*12))))</f>
        <v>---</v>
      </c>
      <c r="W275" s="137" t="str">
        <f t="shared" si="85"/>
        <v>---</v>
      </c>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c r="A276" s="435" t="str">
        <f>IF(INPUT!B151="---","---",INPUT!A151)</f>
        <v>---</v>
      </c>
      <c r="B276" s="309" t="str">
        <f>IF(A276="---","---",IF(A276=1,Z_1,INPUT!B151))</f>
        <v>---</v>
      </c>
      <c r="C276" s="309" t="str">
        <f>IF(A276="---","---",INPUT!G151)</f>
        <v>---</v>
      </c>
      <c r="D276" s="309" t="str">
        <f t="shared" si="78"/>
        <v>---</v>
      </c>
      <c r="E276" s="337" t="str">
        <f>IF(A276="---","---",INPUT!H151-2*$F$228)</f>
        <v>---</v>
      </c>
      <c r="F276" s="309" t="str">
        <f>IF(A276="---","---",IF(INPUT!K151&gt;0,INPUT!K151,IF(INPUT!H151&gt;0,INPUT!F151*E276^2*PI()/4,D276*INPUT!E151)))</f>
        <v>---</v>
      </c>
      <c r="G276" s="309" t="str">
        <f>IF(A276="---","---",IF(INPUT!K151&gt;0,INPUT!K151,INPUT!E151*INPUT!G151))</f>
        <v>---</v>
      </c>
      <c r="H276" s="309" t="str">
        <f t="shared" si="79"/>
        <v>---</v>
      </c>
      <c r="I276" s="436" t="str">
        <f>IF(A276="---","---",IF(Reinf_cont="y",1,IF(INPUT!D151=0,0,INPUT!E151/(INPUT!D151*12))))</f>
        <v>---</v>
      </c>
      <c r="J276" s="309" t="str">
        <f>IF(A276="---","---",IF(Type_Reinf="g","---",IF(INPUT!D151=0,0,H276*(Fy/2)/(INPUT!E151/12))))</f>
        <v>---</v>
      </c>
      <c r="K276" s="309" t="str">
        <f>IF(A276="---","---",IF(Type_Reinf="g",(INPUT!M151+INPUT!N151),"---"))</f>
        <v>---</v>
      </c>
      <c r="L276" s="309" t="str">
        <f t="shared" si="80"/>
        <v>---</v>
      </c>
      <c r="M276" s="309" t="str">
        <f t="shared" si="81"/>
        <v>---</v>
      </c>
      <c r="N276" s="309" t="str">
        <f t="shared" si="82"/>
        <v>---</v>
      </c>
      <c r="O276" s="309" t="str">
        <f>IF(A276="---","---",IF(Type_Reinf="g",K276*INPUT!L151/MAX(RF_D,1.1),"---"))</f>
        <v>---</v>
      </c>
      <c r="P276" s="309" t="str">
        <f t="shared" si="83"/>
        <v>---</v>
      </c>
      <c r="Q276" s="309" t="str">
        <f t="shared" si="84"/>
        <v>---</v>
      </c>
      <c r="R276" s="309" t="str">
        <f>IF($A276="---","---",IF(Type_Reinf="g","---",INPUT!O151))</f>
        <v>---</v>
      </c>
      <c r="S276" s="309" t="str">
        <f>IF($A276="---","---",IF(Type_Reinf="g","---",INPUT!P151))</f>
        <v>---</v>
      </c>
      <c r="T276" s="309" t="str">
        <f>IF(Type_Reinf="g",IF(A276="---","---",phi_Tensile_Static*I276*INPUT!M151/$D$231),"---")</f>
        <v>---</v>
      </c>
      <c r="U276" s="337" t="str">
        <f>IF(Type_Reinf="g",IF(A276="---","---",phi_Tensile_Combined*I276*INPUT!N151/(MAX(RF_ID,1.1)*MAX(RF_D,1.1))),"---")</f>
        <v>---</v>
      </c>
      <c r="V276" s="437" t="str">
        <f>IF(A276="---","---",IF(Reinf_cont="y","N/A",IF(INPUT!D151=0,0,INPUT!E151/((1.5*INPUT!D151)*12))))</f>
        <v>---</v>
      </c>
      <c r="W276" s="137" t="str">
        <f t="shared" si="85"/>
        <v>---</v>
      </c>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c r="A277" s="435" t="str">
        <f>IF(INPUT!B152="---","---",INPUT!A152)</f>
        <v>---</v>
      </c>
      <c r="B277" s="309" t="str">
        <f>IF(A277="---","---",IF(A277=1,Z_1,INPUT!B152))</f>
        <v>---</v>
      </c>
      <c r="C277" s="309" t="str">
        <f>IF(A277="---","---",INPUT!G152)</f>
        <v>---</v>
      </c>
      <c r="D277" s="309" t="str">
        <f t="shared" si="78"/>
        <v>---</v>
      </c>
      <c r="E277" s="337" t="str">
        <f>IF(A277="---","---",INPUT!H152-2*$F$228)</f>
        <v>---</v>
      </c>
      <c r="F277" s="309" t="str">
        <f>IF(A277="---","---",IF(INPUT!K152&gt;0,INPUT!K152,IF(INPUT!H152&gt;0,INPUT!F152*E277^2*PI()/4,D277*INPUT!E152)))</f>
        <v>---</v>
      </c>
      <c r="G277" s="309" t="str">
        <f>IF(A277="---","---",IF(INPUT!K152&gt;0,INPUT!K152,INPUT!E152*INPUT!G152))</f>
        <v>---</v>
      </c>
      <c r="H277" s="309" t="str">
        <f t="shared" si="79"/>
        <v>---</v>
      </c>
      <c r="I277" s="436" t="str">
        <f>IF(A277="---","---",IF(Reinf_cont="y",1,IF(INPUT!D152=0,0,INPUT!E152/(INPUT!D152*12))))</f>
        <v>---</v>
      </c>
      <c r="J277" s="309" t="str">
        <f>IF(A277="---","---",IF(Type_Reinf="g","---",IF(INPUT!D152=0,0,H277*(Fy/2)/(INPUT!E152/12))))</f>
        <v>---</v>
      </c>
      <c r="K277" s="309" t="str">
        <f>IF(A277="---","---",IF(Type_Reinf="g",(INPUT!M152+INPUT!N152),"---"))</f>
        <v>---</v>
      </c>
      <c r="L277" s="309" t="str">
        <f t="shared" si="80"/>
        <v>---</v>
      </c>
      <c r="M277" s="309" t="str">
        <f t="shared" si="81"/>
        <v>---</v>
      </c>
      <c r="N277" s="309" t="str">
        <f t="shared" si="82"/>
        <v>---</v>
      </c>
      <c r="O277" s="309" t="str">
        <f>IF(A277="---","---",IF(Type_Reinf="g",K277*INPUT!L152/MAX(RF_D,1.1),"---"))</f>
        <v>---</v>
      </c>
      <c r="P277" s="309" t="str">
        <f t="shared" si="83"/>
        <v>---</v>
      </c>
      <c r="Q277" s="309" t="str">
        <f t="shared" si="84"/>
        <v>---</v>
      </c>
      <c r="R277" s="309" t="str">
        <f>IF($A277="---","---",IF(Type_Reinf="g","---",INPUT!O152))</f>
        <v>---</v>
      </c>
      <c r="S277" s="309" t="str">
        <f>IF($A277="---","---",IF(Type_Reinf="g","---",INPUT!P152))</f>
        <v>---</v>
      </c>
      <c r="T277" s="309" t="str">
        <f>IF(Type_Reinf="g",IF(A277="---","---",phi_Tensile_Static*I277*INPUT!M152/$D$231),"---")</f>
        <v>---</v>
      </c>
      <c r="U277" s="337" t="str">
        <f>IF(Type_Reinf="g",IF(A277="---","---",phi_Tensile_Combined*I277*INPUT!N152/(MAX(RF_ID,1.1)*MAX(RF_D,1.1))),"---")</f>
        <v>---</v>
      </c>
      <c r="V277" s="437" t="str">
        <f>IF(A277="---","---",IF(Reinf_cont="y","N/A",IF(INPUT!D152=0,0,INPUT!E152/((1.5*INPUT!D152)*12))))</f>
        <v>---</v>
      </c>
      <c r="W277" s="137" t="str">
        <f t="shared" si="85"/>
        <v>---</v>
      </c>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c r="A278" s="435" t="str">
        <f>IF(INPUT!B153="---","---",INPUT!A153)</f>
        <v>---</v>
      </c>
      <c r="B278" s="309" t="str">
        <f>IF(A278="---","---",IF(A278=1,Z_1,INPUT!B153))</f>
        <v>---</v>
      </c>
      <c r="C278" s="309" t="str">
        <f>IF(A278="---","---",INPUT!G153)</f>
        <v>---</v>
      </c>
      <c r="D278" s="309" t="str">
        <f t="shared" si="78"/>
        <v>---</v>
      </c>
      <c r="E278" s="337" t="str">
        <f>IF(A278="---","---",INPUT!H153-2*$F$228)</f>
        <v>---</v>
      </c>
      <c r="F278" s="309" t="str">
        <f>IF(A278="---","---",IF(INPUT!K153&gt;0,INPUT!K153,IF(INPUT!H153&gt;0,INPUT!F153*E278^2*PI()/4,D278*INPUT!E153)))</f>
        <v>---</v>
      </c>
      <c r="G278" s="309" t="str">
        <f>IF(A278="---","---",IF(INPUT!K153&gt;0,INPUT!K153,INPUT!E153*INPUT!G153))</f>
        <v>---</v>
      </c>
      <c r="H278" s="309" t="str">
        <f t="shared" si="79"/>
        <v>---</v>
      </c>
      <c r="I278" s="436" t="str">
        <f>IF(A278="---","---",IF(Reinf_cont="y",1,IF(INPUT!D153=0,0,INPUT!E153/(INPUT!D153*12))))</f>
        <v>---</v>
      </c>
      <c r="J278" s="309" t="str">
        <f>IF(A278="---","---",IF(Type_Reinf="g","---",IF(INPUT!D153=0,0,H278*(Fy/2)/(INPUT!E153/12))))</f>
        <v>---</v>
      </c>
      <c r="K278" s="309" t="str">
        <f>IF(A278="---","---",IF(Type_Reinf="g",(INPUT!M153+INPUT!N153),"---"))</f>
        <v>---</v>
      </c>
      <c r="L278" s="309" t="str">
        <f t="shared" si="80"/>
        <v>---</v>
      </c>
      <c r="M278" s="309" t="str">
        <f t="shared" si="81"/>
        <v>---</v>
      </c>
      <c r="N278" s="309" t="str">
        <f t="shared" si="82"/>
        <v>---</v>
      </c>
      <c r="O278" s="309" t="str">
        <f>IF(A278="---","---",IF(Type_Reinf="g",K278*INPUT!L153/MAX(RF_D,1.1),"---"))</f>
        <v>---</v>
      </c>
      <c r="P278" s="309" t="str">
        <f t="shared" si="83"/>
        <v>---</v>
      </c>
      <c r="Q278" s="309" t="str">
        <f t="shared" si="84"/>
        <v>---</v>
      </c>
      <c r="R278" s="309" t="str">
        <f>IF($A278="---","---",IF(Type_Reinf="g","---",INPUT!O153))</f>
        <v>---</v>
      </c>
      <c r="S278" s="309" t="str">
        <f>IF($A278="---","---",IF(Type_Reinf="g","---",INPUT!P153))</f>
        <v>---</v>
      </c>
      <c r="T278" s="309" t="str">
        <f>IF(Type_Reinf="g",IF(A278="---","---",phi_Tensile_Static*I278*INPUT!M153/$D$231),"---")</f>
        <v>---</v>
      </c>
      <c r="U278" s="337" t="str">
        <f>IF(Type_Reinf="g",IF(A278="---","---",phi_Tensile_Combined*I278*INPUT!N153/(MAX(RF_ID,1.1)*MAX(RF_D,1.1))),"---")</f>
        <v>---</v>
      </c>
      <c r="V278" s="437" t="str">
        <f>IF(A278="---","---",IF(Reinf_cont="y","N/A",IF(INPUT!D153=0,0,INPUT!E153/((1.5*INPUT!D153)*12))))</f>
        <v>---</v>
      </c>
      <c r="W278" s="137" t="str">
        <f t="shared" si="85"/>
        <v>---</v>
      </c>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c r="A279" s="435" t="str">
        <f>IF(INPUT!B154="---","---",INPUT!A154)</f>
        <v>---</v>
      </c>
      <c r="B279" s="309" t="str">
        <f>IF(A279="---","---",IF(A279=1,Z_1,INPUT!B154))</f>
        <v>---</v>
      </c>
      <c r="C279" s="309" t="str">
        <f>IF(A279="---","---",INPUT!G154)</f>
        <v>---</v>
      </c>
      <c r="D279" s="309" t="str">
        <f t="shared" si="78"/>
        <v>---</v>
      </c>
      <c r="E279" s="337" t="str">
        <f>IF(A279="---","---",INPUT!H154-2*$F$228)</f>
        <v>---</v>
      </c>
      <c r="F279" s="309" t="str">
        <f>IF(A279="---","---",IF(INPUT!K154&gt;0,INPUT!K154,IF(INPUT!H154&gt;0,INPUT!F154*E279^2*PI()/4,D279*INPUT!E154)))</f>
        <v>---</v>
      </c>
      <c r="G279" s="309" t="str">
        <f>IF(A279="---","---",IF(INPUT!K154&gt;0,INPUT!K154,INPUT!E154*INPUT!G154))</f>
        <v>---</v>
      </c>
      <c r="H279" s="309" t="str">
        <f t="shared" si="79"/>
        <v>---</v>
      </c>
      <c r="I279" s="436" t="str">
        <f>IF(A279="---","---",IF(Reinf_cont="y",1,IF(INPUT!D154=0,0,INPUT!E154/(INPUT!D154*12))))</f>
        <v>---</v>
      </c>
      <c r="J279" s="309" t="str">
        <f>IF(A279="---","---",IF(Type_Reinf="g","---",IF(INPUT!D154=0,0,H279*(Fy/2)/(INPUT!E154/12))))</f>
        <v>---</v>
      </c>
      <c r="K279" s="309" t="str">
        <f>IF(A279="---","---",IF(Type_Reinf="g",(INPUT!M154+INPUT!N154),"---"))</f>
        <v>---</v>
      </c>
      <c r="L279" s="309" t="str">
        <f t="shared" si="80"/>
        <v>---</v>
      </c>
      <c r="M279" s="309" t="str">
        <f t="shared" si="81"/>
        <v>---</v>
      </c>
      <c r="N279" s="309" t="str">
        <f t="shared" si="82"/>
        <v>---</v>
      </c>
      <c r="O279" s="309" t="str">
        <f>IF(A279="---","---",IF(Type_Reinf="g",K279*INPUT!L154/MAX(RF_D,1.1),"---"))</f>
        <v>---</v>
      </c>
      <c r="P279" s="309" t="str">
        <f t="shared" si="83"/>
        <v>---</v>
      </c>
      <c r="Q279" s="309" t="str">
        <f t="shared" si="84"/>
        <v>---</v>
      </c>
      <c r="R279" s="309" t="str">
        <f>IF($A279="---","---",IF(Type_Reinf="g","---",INPUT!O154))</f>
        <v>---</v>
      </c>
      <c r="S279" s="309" t="str">
        <f>IF($A279="---","---",IF(Type_Reinf="g","---",INPUT!P154))</f>
        <v>---</v>
      </c>
      <c r="T279" s="309" t="str">
        <f>IF(Type_Reinf="g",IF(A279="---","---",phi_Tensile_Static*I279*INPUT!M154/$D$231),"---")</f>
        <v>---</v>
      </c>
      <c r="U279" s="337" t="str">
        <f>IF(Type_Reinf="g",IF(A279="---","---",phi_Tensile_Combined*I279*INPUT!N154/(MAX(RF_ID,1.1)*MAX(RF_D,1.1))),"---")</f>
        <v>---</v>
      </c>
      <c r="V279" s="437" t="str">
        <f>IF(A279="---","---",IF(Reinf_cont="y","N/A",IF(INPUT!D154=0,0,INPUT!E154/((1.5*INPUT!D154)*12))))</f>
        <v>---</v>
      </c>
      <c r="W279" s="137" t="str">
        <f t="shared" si="85"/>
        <v>---</v>
      </c>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c r="A280" s="435" t="str">
        <f>IF(INPUT!B155="---","---",INPUT!A155)</f>
        <v>---</v>
      </c>
      <c r="B280" s="309" t="str">
        <f>IF(A280="---","---",IF(A280=1,Z_1,INPUT!B155))</f>
        <v>---</v>
      </c>
      <c r="C280" s="309" t="str">
        <f>IF(A280="---","---",INPUT!G155)</f>
        <v>---</v>
      </c>
      <c r="D280" s="309" t="str">
        <f t="shared" si="78"/>
        <v>---</v>
      </c>
      <c r="E280" s="337" t="str">
        <f>IF(A280="---","---",INPUT!H155-2*$F$228)</f>
        <v>---</v>
      </c>
      <c r="F280" s="309" t="str">
        <f>IF(A280="---","---",IF(INPUT!K155&gt;0,INPUT!K155,IF(INPUT!H155&gt;0,INPUT!F155*E280^2*PI()/4,D280*INPUT!E155)))</f>
        <v>---</v>
      </c>
      <c r="G280" s="309" t="str">
        <f>IF(A280="---","---",IF(INPUT!K155&gt;0,INPUT!K155,INPUT!E155*INPUT!G155))</f>
        <v>---</v>
      </c>
      <c r="H280" s="309" t="str">
        <f t="shared" si="79"/>
        <v>---</v>
      </c>
      <c r="I280" s="436" t="str">
        <f>IF(A280="---","---",IF(Reinf_cont="y",1,IF(INPUT!D155=0,0,INPUT!E155/(INPUT!D155*12))))</f>
        <v>---</v>
      </c>
      <c r="J280" s="309" t="str">
        <f>IF(A280="---","---",IF(Type_Reinf="g","---",IF(INPUT!D155=0,0,H280*(Fy/2)/(INPUT!E155/12))))</f>
        <v>---</v>
      </c>
      <c r="K280" s="309" t="str">
        <f>IF(A280="---","---",IF(Type_Reinf="g",(INPUT!M155+INPUT!N155),"---"))</f>
        <v>---</v>
      </c>
      <c r="L280" s="309" t="str">
        <f t="shared" si="80"/>
        <v>---</v>
      </c>
      <c r="M280" s="309" t="str">
        <f t="shared" si="81"/>
        <v>---</v>
      </c>
      <c r="N280" s="309" t="str">
        <f t="shared" si="82"/>
        <v>---</v>
      </c>
      <c r="O280" s="309" t="str">
        <f>IF(A280="---","---",IF(Type_Reinf="g",K280*INPUT!L155/MAX(RF_D,1.1),"---"))</f>
        <v>---</v>
      </c>
      <c r="P280" s="309" t="str">
        <f t="shared" si="83"/>
        <v>---</v>
      </c>
      <c r="Q280" s="309" t="str">
        <f t="shared" si="84"/>
        <v>---</v>
      </c>
      <c r="R280" s="309" t="str">
        <f>IF($A280="---","---",IF(Type_Reinf="g","---",INPUT!O155))</f>
        <v>---</v>
      </c>
      <c r="S280" s="309" t="str">
        <f>IF($A280="---","---",IF(Type_Reinf="g","---",INPUT!P155))</f>
        <v>---</v>
      </c>
      <c r="T280" s="309" t="str">
        <f>IF(Type_Reinf="g",IF(A280="---","---",phi_Tensile_Static*I280*INPUT!M155/$D$231),"---")</f>
        <v>---</v>
      </c>
      <c r="U280" s="337" t="str">
        <f>IF(Type_Reinf="g",IF(A280="---","---",phi_Tensile_Combined*I280*INPUT!N155/(MAX(RF_ID,1.1)*MAX(RF_D,1.1))),"---")</f>
        <v>---</v>
      </c>
      <c r="V280" s="437" t="str">
        <f>IF(A280="---","---",IF(Reinf_cont="y","N/A",IF(INPUT!D155=0,0,INPUT!E155/((1.5*INPUT!D155)*12))))</f>
        <v>---</v>
      </c>
      <c r="W280" s="137" t="str">
        <f t="shared" si="85"/>
        <v>---</v>
      </c>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c r="A281" s="435" t="str">
        <f>IF(INPUT!B156="---","---",INPUT!A156)</f>
        <v>---</v>
      </c>
      <c r="B281" s="309" t="str">
        <f>IF(A281="---","---",IF(A281=1,Z_1,INPUT!B156))</f>
        <v>---</v>
      </c>
      <c r="C281" s="309" t="str">
        <f>IF(A281="---","---",INPUT!G156)</f>
        <v>---</v>
      </c>
      <c r="D281" s="309" t="str">
        <f t="shared" si="78"/>
        <v>---</v>
      </c>
      <c r="E281" s="337" t="str">
        <f>IF(A281="---","---",INPUT!H156-2*$F$228)</f>
        <v>---</v>
      </c>
      <c r="F281" s="309" t="str">
        <f>IF(A281="---","---",IF(INPUT!K156&gt;0,INPUT!K156,IF(INPUT!H156&gt;0,INPUT!F156*E281^2*PI()/4,D281*INPUT!E156)))</f>
        <v>---</v>
      </c>
      <c r="G281" s="309" t="str">
        <f>IF(A281="---","---",IF(INPUT!K156&gt;0,INPUT!K156,INPUT!E156*INPUT!G156))</f>
        <v>---</v>
      </c>
      <c r="H281" s="309" t="str">
        <f t="shared" si="79"/>
        <v>---</v>
      </c>
      <c r="I281" s="436" t="str">
        <f>IF(A281="---","---",IF(Reinf_cont="y",1,IF(INPUT!D156=0,0,INPUT!E156/(INPUT!D156*12))))</f>
        <v>---</v>
      </c>
      <c r="J281" s="309" t="str">
        <f>IF(A281="---","---",IF(Type_Reinf="g","---",IF(INPUT!D156=0,0,H281*(Fy/2)/(INPUT!E156/12))))</f>
        <v>---</v>
      </c>
      <c r="K281" s="309" t="str">
        <f>IF(A281="---","---",IF(Type_Reinf="g",(INPUT!M156+INPUT!N156),"---"))</f>
        <v>---</v>
      </c>
      <c r="L281" s="309" t="str">
        <f t="shared" si="80"/>
        <v>---</v>
      </c>
      <c r="M281" s="309" t="str">
        <f t="shared" si="81"/>
        <v>---</v>
      </c>
      <c r="N281" s="309" t="str">
        <f t="shared" si="82"/>
        <v>---</v>
      </c>
      <c r="O281" s="309" t="str">
        <f>IF(A281="---","---",IF(Type_Reinf="g",K281*INPUT!L156/MAX(RF_D,1.1),"---"))</f>
        <v>---</v>
      </c>
      <c r="P281" s="309" t="str">
        <f t="shared" si="83"/>
        <v>---</v>
      </c>
      <c r="Q281" s="309" t="str">
        <f t="shared" si="84"/>
        <v>---</v>
      </c>
      <c r="R281" s="309" t="str">
        <f>IF($A281="---","---",IF(Type_Reinf="g","---",INPUT!O156))</f>
        <v>---</v>
      </c>
      <c r="S281" s="309" t="str">
        <f>IF($A281="---","---",IF(Type_Reinf="g","---",INPUT!P156))</f>
        <v>---</v>
      </c>
      <c r="T281" s="309" t="str">
        <f>IF(Type_Reinf="g",IF(A281="---","---",phi_Tensile_Static*I281*INPUT!M156/$D$231),"---")</f>
        <v>---</v>
      </c>
      <c r="U281" s="337" t="str">
        <f>IF(Type_Reinf="g",IF(A281="---","---",phi_Tensile_Combined*I281*INPUT!N156/(MAX(RF_ID,1.1)*MAX(RF_D,1.1))),"---")</f>
        <v>---</v>
      </c>
      <c r="V281" s="437" t="str">
        <f>IF(A281="---","---",IF(Reinf_cont="y","N/A",IF(INPUT!D156=0,0,INPUT!E156/((1.5*INPUT!D156)*12))))</f>
        <v>---</v>
      </c>
      <c r="W281" s="137" t="str">
        <f t="shared" si="85"/>
        <v>---</v>
      </c>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c r="A282" s="435" t="str">
        <f>IF(INPUT!B157="---","---",INPUT!A157)</f>
        <v>---</v>
      </c>
      <c r="B282" s="309" t="str">
        <f>IF(A282="---","---",IF(A282=1,Z_1,INPUT!B157))</f>
        <v>---</v>
      </c>
      <c r="C282" s="309" t="str">
        <f>IF(A282="---","---",INPUT!G157)</f>
        <v>---</v>
      </c>
      <c r="D282" s="309" t="str">
        <f t="shared" si="78"/>
        <v>---</v>
      </c>
      <c r="E282" s="337" t="str">
        <f>IF(A282="---","---",INPUT!H157-2*$F$228)</f>
        <v>---</v>
      </c>
      <c r="F282" s="309" t="str">
        <f>IF(A282="---","---",IF(INPUT!K157&gt;0,INPUT!K157,IF(INPUT!H157&gt;0,INPUT!F157*E282^2*PI()/4,D282*INPUT!E157)))</f>
        <v>---</v>
      </c>
      <c r="G282" s="309" t="str">
        <f>IF(A282="---","---",IF(INPUT!K157&gt;0,INPUT!K157,INPUT!E157*INPUT!G157))</f>
        <v>---</v>
      </c>
      <c r="H282" s="309" t="str">
        <f t="shared" si="79"/>
        <v>---</v>
      </c>
      <c r="I282" s="436" t="str">
        <f>IF(A282="---","---",IF(Reinf_cont="y",1,IF(INPUT!D157=0,0,INPUT!E157/(INPUT!D157*12))))</f>
        <v>---</v>
      </c>
      <c r="J282" s="309" t="str">
        <f>IF(A282="---","---",IF(Type_Reinf="g","---",IF(INPUT!D157=0,0,H282*(Fy/2)/(INPUT!E157/12))))</f>
        <v>---</v>
      </c>
      <c r="K282" s="309" t="str">
        <f>IF(A282="---","---",IF(Type_Reinf="g",(INPUT!M157+INPUT!N157),"---"))</f>
        <v>---</v>
      </c>
      <c r="L282" s="309" t="str">
        <f t="shared" si="80"/>
        <v>---</v>
      </c>
      <c r="M282" s="309" t="str">
        <f t="shared" si="81"/>
        <v>---</v>
      </c>
      <c r="N282" s="309" t="str">
        <f t="shared" si="82"/>
        <v>---</v>
      </c>
      <c r="O282" s="309" t="str">
        <f>IF(A282="---","---",IF(Type_Reinf="g",K282*INPUT!L157/MAX(RF_D,1.1),"---"))</f>
        <v>---</v>
      </c>
      <c r="P282" s="309" t="str">
        <f t="shared" si="83"/>
        <v>---</v>
      </c>
      <c r="Q282" s="309" t="str">
        <f t="shared" si="84"/>
        <v>---</v>
      </c>
      <c r="R282" s="309" t="str">
        <f>IF($A282="---","---",IF(Type_Reinf="g","---",INPUT!O157))</f>
        <v>---</v>
      </c>
      <c r="S282" s="309" t="str">
        <f>IF($A282="---","---",IF(Type_Reinf="g","---",INPUT!P157))</f>
        <v>---</v>
      </c>
      <c r="T282" s="309" t="str">
        <f>IF(Type_Reinf="g",IF(A282="---","---",phi_Tensile_Static*I282*INPUT!M157/$D$231),"---")</f>
        <v>---</v>
      </c>
      <c r="U282" s="337" t="str">
        <f>IF(Type_Reinf="g",IF(A282="---","---",phi_Tensile_Combined*I282*INPUT!N157/(MAX(RF_ID,1.1)*MAX(RF_D,1.1))),"---")</f>
        <v>---</v>
      </c>
      <c r="V282" s="437" t="str">
        <f>IF(A282="---","---",IF(Reinf_cont="y","N/A",IF(INPUT!D157=0,0,INPUT!E157/((1.5*INPUT!D157)*12))))</f>
        <v>---</v>
      </c>
      <c r="W282" s="137" t="str">
        <f t="shared" si="85"/>
        <v>---</v>
      </c>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c r="A283" s="435" t="str">
        <f>IF(INPUT!B158="---","---",INPUT!A158)</f>
        <v>---</v>
      </c>
      <c r="B283" s="309" t="str">
        <f>IF(A283="---","---",IF(A283=1,Z_1,INPUT!B158))</f>
        <v>---</v>
      </c>
      <c r="C283" s="309" t="str">
        <f>IF(A283="---","---",INPUT!G158)</f>
        <v>---</v>
      </c>
      <c r="D283" s="309" t="str">
        <f t="shared" si="78"/>
        <v>---</v>
      </c>
      <c r="E283" s="337" t="str">
        <f>IF(A283="---","---",INPUT!H158-2*$F$228)</f>
        <v>---</v>
      </c>
      <c r="F283" s="309" t="str">
        <f>IF(A283="---","---",IF(INPUT!K158&gt;0,INPUT!K158,IF(INPUT!H158&gt;0,INPUT!F158*E283^2*PI()/4,D283*INPUT!E158)))</f>
        <v>---</v>
      </c>
      <c r="G283" s="309" t="str">
        <f>IF(A283="---","---",IF(INPUT!K158&gt;0,INPUT!K158,INPUT!E158*INPUT!G158))</f>
        <v>---</v>
      </c>
      <c r="H283" s="309" t="str">
        <f t="shared" si="79"/>
        <v>---</v>
      </c>
      <c r="I283" s="436" t="str">
        <f>IF(A283="---","---",IF(Reinf_cont="y",1,IF(INPUT!D158=0,0,INPUT!E158/(INPUT!D158*12))))</f>
        <v>---</v>
      </c>
      <c r="J283" s="309" t="str">
        <f>IF(A283="---","---",IF(Type_Reinf="g","---",IF(INPUT!D158=0,0,H283*(Fy/2)/(INPUT!E158/12))))</f>
        <v>---</v>
      </c>
      <c r="K283" s="309" t="str">
        <f>IF(A283="---","---",IF(Type_Reinf="g",(INPUT!M158+INPUT!N158),"---"))</f>
        <v>---</v>
      </c>
      <c r="L283" s="309" t="str">
        <f t="shared" si="80"/>
        <v>---</v>
      </c>
      <c r="M283" s="309" t="str">
        <f t="shared" si="81"/>
        <v>---</v>
      </c>
      <c r="N283" s="309" t="str">
        <f t="shared" si="82"/>
        <v>---</v>
      </c>
      <c r="O283" s="309" t="str">
        <f>IF(A283="---","---",IF(Type_Reinf="g",K283*INPUT!L158/MAX(RF_D,1.1),"---"))</f>
        <v>---</v>
      </c>
      <c r="P283" s="309" t="str">
        <f t="shared" si="83"/>
        <v>---</v>
      </c>
      <c r="Q283" s="309" t="str">
        <f t="shared" si="84"/>
        <v>---</v>
      </c>
      <c r="R283" s="309" t="str">
        <f>IF($A283="---","---",IF(Type_Reinf="g","---",INPUT!O158))</f>
        <v>---</v>
      </c>
      <c r="S283" s="309" t="str">
        <f>IF($A283="---","---",IF(Type_Reinf="g","---",INPUT!P158))</f>
        <v>---</v>
      </c>
      <c r="T283" s="309" t="str">
        <f>IF(Type_Reinf="g",IF(A283="---","---",phi_Tensile_Static*I283*INPUT!M158/$D$231),"---")</f>
        <v>---</v>
      </c>
      <c r="U283" s="337" t="str">
        <f>IF(Type_Reinf="g",IF(A283="---","---",phi_Tensile_Combined*I283*INPUT!N158/(MAX(RF_ID,1.1)*MAX(RF_D,1.1))),"---")</f>
        <v>---</v>
      </c>
      <c r="V283" s="437" t="str">
        <f>IF(A283="---","---",IF(Reinf_cont="y","N/A",IF(INPUT!D158=0,0,INPUT!E158/((1.5*INPUT!D158)*12))))</f>
        <v>---</v>
      </c>
      <c r="W283" s="137" t="str">
        <f t="shared" si="85"/>
        <v>---</v>
      </c>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c r="A284" s="435" t="str">
        <f>IF(INPUT!B159="---","---",INPUT!A159)</f>
        <v>---</v>
      </c>
      <c r="B284" s="309" t="str">
        <f>IF(A284="---","---",IF(A284=1,Z_1,INPUT!B159))</f>
        <v>---</v>
      </c>
      <c r="C284" s="309" t="str">
        <f>IF(A284="---","---",INPUT!G159)</f>
        <v>---</v>
      </c>
      <c r="D284" s="309" t="str">
        <f t="shared" si="78"/>
        <v>---</v>
      </c>
      <c r="E284" s="337" t="str">
        <f>IF(A284="---","---",INPUT!H159-2*$F$228)</f>
        <v>---</v>
      </c>
      <c r="F284" s="309" t="str">
        <f>IF(A284="---","---",IF(INPUT!K159&gt;0,INPUT!K159,IF(INPUT!H159&gt;0,INPUT!F159*E284^2*PI()/4,D284*INPUT!E159)))</f>
        <v>---</v>
      </c>
      <c r="G284" s="309" t="str">
        <f>IF(A284="---","---",IF(INPUT!K159&gt;0,INPUT!K159,INPUT!E159*INPUT!G159))</f>
        <v>---</v>
      </c>
      <c r="H284" s="309" t="str">
        <f t="shared" si="79"/>
        <v>---</v>
      </c>
      <c r="I284" s="436" t="str">
        <f>IF(A284="---","---",IF(Reinf_cont="y",1,IF(INPUT!D159=0,0,INPUT!E159/(INPUT!D159*12))))</f>
        <v>---</v>
      </c>
      <c r="J284" s="309" t="str">
        <f>IF(A284="---","---",IF(Type_Reinf="g","---",IF(INPUT!D159=0,0,H284*(Fy/2)/(INPUT!E159/12))))</f>
        <v>---</v>
      </c>
      <c r="K284" s="309" t="str">
        <f>IF(A284="---","---",IF(Type_Reinf="g",(INPUT!M159+INPUT!N159),"---"))</f>
        <v>---</v>
      </c>
      <c r="L284" s="309" t="str">
        <f t="shared" si="80"/>
        <v>---</v>
      </c>
      <c r="M284" s="309" t="str">
        <f t="shared" si="81"/>
        <v>---</v>
      </c>
      <c r="N284" s="309" t="str">
        <f t="shared" si="82"/>
        <v>---</v>
      </c>
      <c r="O284" s="309" t="str">
        <f>IF(A284="---","---",IF(Type_Reinf="g",K284*INPUT!L159/MAX(RF_D,1.1),"---"))</f>
        <v>---</v>
      </c>
      <c r="P284" s="309" t="str">
        <f t="shared" si="83"/>
        <v>---</v>
      </c>
      <c r="Q284" s="309" t="str">
        <f t="shared" si="84"/>
        <v>---</v>
      </c>
      <c r="R284" s="309" t="str">
        <f>IF($A284="---","---",IF(Type_Reinf="g","---",INPUT!O159))</f>
        <v>---</v>
      </c>
      <c r="S284" s="309" t="str">
        <f>IF($A284="---","---",IF(Type_Reinf="g","---",INPUT!P159))</f>
        <v>---</v>
      </c>
      <c r="T284" s="309" t="str">
        <f>IF(Type_Reinf="g",IF(A284="---","---",phi_Tensile_Static*I284*INPUT!M159/$D$231),"---")</f>
        <v>---</v>
      </c>
      <c r="U284" s="337" t="str">
        <f>IF(Type_Reinf="g",IF(A284="---","---",phi_Tensile_Combined*I284*INPUT!N159/(MAX(RF_ID,1.1)*MAX(RF_D,1.1))),"---")</f>
        <v>---</v>
      </c>
      <c r="V284" s="437" t="str">
        <f>IF(A284="---","---",IF(Reinf_cont="y","N/A",IF(INPUT!D159=0,0,INPUT!E159/((1.5*INPUT!D159)*12))))</f>
        <v>---</v>
      </c>
      <c r="W284" s="137" t="str">
        <f t="shared" si="85"/>
        <v>---</v>
      </c>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c r="A285" s="435" t="str">
        <f>IF(INPUT!B160="---","---",INPUT!A160)</f>
        <v>---</v>
      </c>
      <c r="B285" s="309" t="str">
        <f>IF(A285="---","---",IF(A285=1,Z_1,INPUT!B160))</f>
        <v>---</v>
      </c>
      <c r="C285" s="309" t="str">
        <f>IF(A285="---","---",INPUT!G160)</f>
        <v>---</v>
      </c>
      <c r="D285" s="309" t="str">
        <f t="shared" si="78"/>
        <v>---</v>
      </c>
      <c r="E285" s="337" t="str">
        <f>IF(A285="---","---",INPUT!H160-2*$F$228)</f>
        <v>---</v>
      </c>
      <c r="F285" s="309" t="str">
        <f>IF(A285="---","---",IF(INPUT!K160&gt;0,INPUT!K160,IF(INPUT!H160&gt;0,INPUT!F160*E285^2*PI()/4,D285*INPUT!E160)))</f>
        <v>---</v>
      </c>
      <c r="G285" s="309" t="str">
        <f>IF(A285="---","---",IF(INPUT!K160&gt;0,INPUT!K160,INPUT!E160*INPUT!G160))</f>
        <v>---</v>
      </c>
      <c r="H285" s="309" t="str">
        <f t="shared" si="79"/>
        <v>---</v>
      </c>
      <c r="I285" s="436" t="str">
        <f>IF(A285="---","---",IF(Reinf_cont="y",1,IF(INPUT!D160=0,0,INPUT!E160/(INPUT!D160*12))))</f>
        <v>---</v>
      </c>
      <c r="J285" s="309" t="str">
        <f>IF(A285="---","---",IF(Type_Reinf="g","---",IF(INPUT!D160=0,0,H285*(Fy/2)/(INPUT!E160/12))))</f>
        <v>---</v>
      </c>
      <c r="K285" s="309" t="str">
        <f>IF(A285="---","---",IF(Type_Reinf="g",(INPUT!M160+INPUT!N160),"---"))</f>
        <v>---</v>
      </c>
      <c r="L285" s="309" t="str">
        <f t="shared" si="80"/>
        <v>---</v>
      </c>
      <c r="M285" s="309" t="str">
        <f t="shared" si="81"/>
        <v>---</v>
      </c>
      <c r="N285" s="309" t="str">
        <f t="shared" si="82"/>
        <v>---</v>
      </c>
      <c r="O285" s="309" t="str">
        <f>IF(A285="---","---",IF(Type_Reinf="g",K285*INPUT!L160/MAX(RF_D,1.1),"---"))</f>
        <v>---</v>
      </c>
      <c r="P285" s="309" t="str">
        <f t="shared" si="83"/>
        <v>---</v>
      </c>
      <c r="Q285" s="309" t="str">
        <f t="shared" si="84"/>
        <v>---</v>
      </c>
      <c r="R285" s="309" t="str">
        <f>IF($A285="---","---",IF(Type_Reinf="g","---",INPUT!O160))</f>
        <v>---</v>
      </c>
      <c r="S285" s="309" t="str">
        <f>IF($A285="---","---",IF(Type_Reinf="g","---",INPUT!P160))</f>
        <v>---</v>
      </c>
      <c r="T285" s="309" t="str">
        <f>IF(Type_Reinf="g",IF(A285="---","---",phi_Tensile_Static*I285*INPUT!M160/$D$231),"---")</f>
        <v>---</v>
      </c>
      <c r="U285" s="337" t="str">
        <f>IF(Type_Reinf="g",IF(A285="---","---",phi_Tensile_Combined*I285*INPUT!N160/(MAX(RF_ID,1.1)*MAX(RF_D,1.1))),"---")</f>
        <v>---</v>
      </c>
      <c r="V285" s="437" t="str">
        <f>IF(A285="---","---",IF(Reinf_cont="y","N/A",IF(INPUT!D160=0,0,INPUT!E160/((1.5*INPUT!D160)*12))))</f>
        <v>---</v>
      </c>
      <c r="W285" s="137" t="str">
        <f t="shared" si="85"/>
        <v>---</v>
      </c>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c r="E286" s="29"/>
    </row>
    <row r="287" spans="1:64">
      <c r="AH287" s="2"/>
      <c r="AN287" s="2"/>
      <c r="AO287" s="2"/>
    </row>
    <row r="288" spans="1:64">
      <c r="A288" s="33" t="s">
        <v>361</v>
      </c>
      <c r="E288" s="37" t="s">
        <v>362</v>
      </c>
      <c r="AE288" s="2"/>
      <c r="AK288" s="2"/>
      <c r="AL288" s="2"/>
    </row>
    <row r="289" spans="1:79" s="37" customFormat="1">
      <c r="A289" s="12"/>
      <c r="AE289" s="148"/>
      <c r="AK289" s="148"/>
      <c r="AL289" s="148"/>
    </row>
    <row r="290" spans="1:79" ht="15.75">
      <c r="A290" s="151" t="s">
        <v>344</v>
      </c>
      <c r="B290" s="294">
        <f>E72</f>
        <v>1.35</v>
      </c>
      <c r="C290" s="37" t="s">
        <v>351</v>
      </c>
      <c r="H290" s="37" t="s">
        <v>350</v>
      </c>
    </row>
    <row r="291" spans="1:79" ht="15.75">
      <c r="A291" s="151" t="s">
        <v>346</v>
      </c>
      <c r="B291" s="294">
        <v>1.1000000000000001</v>
      </c>
      <c r="C291" s="37" t="s">
        <v>348</v>
      </c>
      <c r="H291" s="37" t="s">
        <v>349</v>
      </c>
      <c r="J291" s="102"/>
    </row>
    <row r="292" spans="1:79" ht="15.75">
      <c r="A292" s="151" t="s">
        <v>345</v>
      </c>
      <c r="B292" s="294">
        <v>1</v>
      </c>
      <c r="C292" s="37" t="s">
        <v>347</v>
      </c>
      <c r="H292" s="37" t="s">
        <v>349</v>
      </c>
    </row>
    <row r="293" spans="1:79">
      <c r="E293" s="37"/>
      <c r="F293" s="37"/>
      <c r="G293" s="37"/>
      <c r="H293" s="37"/>
      <c r="I293" s="37"/>
      <c r="J293" s="37"/>
      <c r="K293" s="37"/>
      <c r="L293" s="37"/>
      <c r="M293" s="37"/>
      <c r="N293" s="37"/>
      <c r="O293" s="37"/>
      <c r="P293" s="37"/>
      <c r="Q293" s="37"/>
      <c r="V293" s="37"/>
    </row>
    <row r="294" spans="1:79">
      <c r="A294" s="182" t="s">
        <v>564</v>
      </c>
      <c r="E294" s="37"/>
      <c r="F294" s="37"/>
      <c r="G294" s="37"/>
      <c r="H294" s="37"/>
      <c r="I294" s="37"/>
      <c r="J294" s="37"/>
      <c r="K294" s="37"/>
      <c r="L294" s="37"/>
      <c r="M294" s="37"/>
      <c r="N294" s="37"/>
      <c r="O294" s="37"/>
      <c r="P294" s="37"/>
      <c r="Q294" s="142"/>
      <c r="T294" s="631" t="s">
        <v>498</v>
      </c>
      <c r="U294" s="632"/>
      <c r="V294" s="584" t="s">
        <v>561</v>
      </c>
      <c r="W294" s="585"/>
      <c r="AF294" s="10" t="s">
        <v>645</v>
      </c>
      <c r="AI294" s="37" t="s">
        <v>654</v>
      </c>
      <c r="AR294" s="195" t="s">
        <v>646</v>
      </c>
      <c r="AU294" s="37" t="s">
        <v>654</v>
      </c>
      <c r="AZ294" s="195" t="s">
        <v>655</v>
      </c>
      <c r="BH294" s="43"/>
      <c r="BJ294" s="102" t="s">
        <v>661</v>
      </c>
    </row>
    <row r="295" spans="1:79">
      <c r="A295" s="182"/>
      <c r="C295" s="9"/>
      <c r="D295" s="2"/>
      <c r="E295" s="12"/>
      <c r="F295" s="497"/>
      <c r="G295" s="37"/>
      <c r="H295" s="497"/>
      <c r="I295" s="37"/>
      <c r="J295" s="37"/>
      <c r="K295" s="37"/>
      <c r="L295" s="37"/>
      <c r="M295" s="37"/>
      <c r="N295" s="633" t="s">
        <v>624</v>
      </c>
      <c r="O295" s="634"/>
      <c r="P295" s="634"/>
      <c r="Q295" s="635"/>
      <c r="R295" s="633" t="s">
        <v>492</v>
      </c>
      <c r="S295" s="635"/>
      <c r="T295" s="625" t="s">
        <v>486</v>
      </c>
      <c r="U295" s="592"/>
      <c r="V295" s="586"/>
      <c r="W295" s="585"/>
      <c r="X295" s="37"/>
      <c r="Y295" s="2"/>
      <c r="Z295" s="2"/>
      <c r="AA295" s="2"/>
      <c r="AF295" s="10"/>
      <c r="AK295" s="2"/>
      <c r="AR295" s="224"/>
      <c r="AS295" s="2"/>
      <c r="AV295" s="10"/>
      <c r="AZ295" s="56" t="s">
        <v>658</v>
      </c>
      <c r="BC295" s="10"/>
      <c r="BG295" s="10"/>
      <c r="BH295" s="268" t="s">
        <v>659</v>
      </c>
      <c r="BK295" s="10"/>
      <c r="BO295" s="10"/>
    </row>
    <row r="296" spans="1:79" ht="28.5">
      <c r="A296" s="2" t="s">
        <v>34</v>
      </c>
      <c r="B296" s="2" t="s">
        <v>35</v>
      </c>
      <c r="C296" s="87" t="s">
        <v>274</v>
      </c>
      <c r="D296" s="247" t="s">
        <v>622</v>
      </c>
      <c r="E296" s="87" t="s">
        <v>623</v>
      </c>
      <c r="F296" s="87" t="s">
        <v>341</v>
      </c>
      <c r="G296" s="470" t="s">
        <v>781</v>
      </c>
      <c r="H296" s="50" t="s">
        <v>48</v>
      </c>
      <c r="I296" s="468" t="s">
        <v>794</v>
      </c>
      <c r="J296" s="468" t="s">
        <v>801</v>
      </c>
      <c r="K296" s="468" t="s">
        <v>795</v>
      </c>
      <c r="L296" s="468" t="s">
        <v>796</v>
      </c>
      <c r="M296" s="468" t="s">
        <v>797</v>
      </c>
      <c r="N296" s="532" t="s">
        <v>761</v>
      </c>
      <c r="O296" s="533" t="s">
        <v>762</v>
      </c>
      <c r="P296" s="534" t="s">
        <v>763</v>
      </c>
      <c r="Q296" s="535" t="s">
        <v>764</v>
      </c>
      <c r="R296" s="536" t="s">
        <v>766</v>
      </c>
      <c r="S296" s="537" t="s">
        <v>765</v>
      </c>
      <c r="T296" s="538" t="s">
        <v>767</v>
      </c>
      <c r="U296" s="538" t="s">
        <v>768</v>
      </c>
      <c r="V296" s="468" t="s">
        <v>798</v>
      </c>
      <c r="W296" s="468" t="s">
        <v>799</v>
      </c>
      <c r="X296" s="37"/>
      <c r="Y296" s="2"/>
      <c r="Z296" s="19"/>
      <c r="AA296" s="2"/>
      <c r="AB296" s="2"/>
      <c r="AC296" s="2"/>
      <c r="AD296" s="2"/>
      <c r="AE296" s="2"/>
      <c r="AF296" s="212" t="s">
        <v>643</v>
      </c>
      <c r="AG296" s="2"/>
      <c r="AI296" s="2"/>
      <c r="AJ296" s="212" t="s">
        <v>642</v>
      </c>
      <c r="AM296" s="251"/>
      <c r="AN296" s="212" t="s">
        <v>644</v>
      </c>
      <c r="AQ296" s="251"/>
      <c r="AR296" s="224" t="s">
        <v>643</v>
      </c>
      <c r="AS296" s="2"/>
      <c r="AT296" s="2"/>
      <c r="AU296" s="212"/>
      <c r="AV296" s="212" t="s">
        <v>644</v>
      </c>
      <c r="AW296" s="2"/>
      <c r="AX296" s="251"/>
      <c r="AY296" s="2"/>
      <c r="AZ296" s="224" t="s">
        <v>643</v>
      </c>
      <c r="BA296" s="251"/>
      <c r="BB296" s="251"/>
      <c r="BC296" s="212"/>
      <c r="BD296" s="212" t="s">
        <v>644</v>
      </c>
      <c r="BE296" s="2"/>
      <c r="BF296" s="2"/>
      <c r="BG296" s="2"/>
      <c r="BH296" s="225" t="s">
        <v>643</v>
      </c>
      <c r="BI296" s="251"/>
      <c r="BJ296" s="251"/>
      <c r="BK296" s="212"/>
      <c r="BL296" s="212" t="s">
        <v>644</v>
      </c>
      <c r="BM296" s="251"/>
      <c r="BN296" s="251"/>
      <c r="BO296" s="251"/>
      <c r="BP296" s="2"/>
      <c r="BQ296" s="2"/>
      <c r="BR296" s="2"/>
      <c r="BS296" s="2"/>
      <c r="BT296" s="2"/>
      <c r="BU296" s="2"/>
      <c r="BV296" s="2"/>
    </row>
    <row r="297" spans="1:79" ht="15.75">
      <c r="A297" s="148" t="s">
        <v>352</v>
      </c>
      <c r="B297" s="2" t="s">
        <v>42</v>
      </c>
      <c r="C297" s="114" t="s">
        <v>42</v>
      </c>
      <c r="D297" s="2" t="s">
        <v>42</v>
      </c>
      <c r="E297" s="7" t="s">
        <v>42</v>
      </c>
      <c r="F297" s="87" t="s">
        <v>343</v>
      </c>
      <c r="G297" s="87" t="s">
        <v>343</v>
      </c>
      <c r="H297" s="7" t="s">
        <v>41</v>
      </c>
      <c r="I297" s="87" t="s">
        <v>41</v>
      </c>
      <c r="J297" s="87" t="s">
        <v>41</v>
      </c>
      <c r="K297" s="87" t="s">
        <v>41</v>
      </c>
      <c r="L297" s="87" t="s">
        <v>41</v>
      </c>
      <c r="M297" s="87" t="s">
        <v>41</v>
      </c>
      <c r="N297" s="82" t="s">
        <v>41</v>
      </c>
      <c r="O297" s="539" t="s">
        <v>154</v>
      </c>
      <c r="P297" s="540" t="s">
        <v>41</v>
      </c>
      <c r="Q297" s="499" t="s">
        <v>154</v>
      </c>
      <c r="R297" s="82" t="s">
        <v>41</v>
      </c>
      <c r="S297" s="499" t="s">
        <v>154</v>
      </c>
      <c r="T297" s="414" t="s">
        <v>154</v>
      </c>
      <c r="U297" s="541" t="s">
        <v>154</v>
      </c>
      <c r="V297" s="87" t="s">
        <v>41</v>
      </c>
      <c r="W297" s="87" t="s">
        <v>41</v>
      </c>
      <c r="X297" s="188"/>
      <c r="Y297" s="2"/>
      <c r="Z297" s="2"/>
      <c r="AA297" s="2"/>
      <c r="AB297" s="2"/>
      <c r="AC297" s="2"/>
      <c r="AD297" s="2"/>
      <c r="AE297" s="2"/>
      <c r="AF297" s="52" t="s">
        <v>57</v>
      </c>
      <c r="AG297" s="2" t="s">
        <v>36</v>
      </c>
      <c r="AH297" s="20" t="s">
        <v>78</v>
      </c>
      <c r="AI297" s="2" t="s">
        <v>79</v>
      </c>
      <c r="AJ297" s="253" t="s">
        <v>57</v>
      </c>
      <c r="AK297" s="251" t="s">
        <v>36</v>
      </c>
      <c r="AL297" s="247" t="s">
        <v>78</v>
      </c>
      <c r="AM297" s="251" t="s">
        <v>79</v>
      </c>
      <c r="AN297" s="253" t="s">
        <v>57</v>
      </c>
      <c r="AO297" s="251" t="s">
        <v>36</v>
      </c>
      <c r="AP297" s="247" t="s">
        <v>78</v>
      </c>
      <c r="AQ297" s="251" t="s">
        <v>79</v>
      </c>
      <c r="AR297" s="252" t="s">
        <v>73</v>
      </c>
      <c r="AS297" s="2" t="s">
        <v>36</v>
      </c>
      <c r="AT297" s="20" t="s">
        <v>78</v>
      </c>
      <c r="AU297" s="2" t="s">
        <v>79</v>
      </c>
      <c r="AV297" s="253" t="s">
        <v>73</v>
      </c>
      <c r="AW297" s="251" t="s">
        <v>36</v>
      </c>
      <c r="AX297" s="247" t="s">
        <v>78</v>
      </c>
      <c r="AY297" s="251" t="s">
        <v>79</v>
      </c>
      <c r="AZ297" s="255" t="s">
        <v>657</v>
      </c>
      <c r="BA297" s="249" t="s">
        <v>36</v>
      </c>
      <c r="BB297" s="247" t="s">
        <v>78</v>
      </c>
      <c r="BC297" s="251" t="s">
        <v>79</v>
      </c>
      <c r="BD297" s="247" t="s">
        <v>657</v>
      </c>
      <c r="BE297" s="251" t="s">
        <v>36</v>
      </c>
      <c r="BF297" s="247" t="s">
        <v>78</v>
      </c>
      <c r="BG297" s="251" t="s">
        <v>79</v>
      </c>
      <c r="BH297" s="248" t="s">
        <v>660</v>
      </c>
      <c r="BI297" s="249" t="s">
        <v>36</v>
      </c>
      <c r="BJ297" s="247" t="s">
        <v>78</v>
      </c>
      <c r="BK297" s="251" t="s">
        <v>79</v>
      </c>
      <c r="BL297" s="248" t="s">
        <v>660</v>
      </c>
      <c r="BM297" s="251" t="s">
        <v>36</v>
      </c>
      <c r="BN297" s="247" t="s">
        <v>78</v>
      </c>
      <c r="BO297" s="251" t="s">
        <v>79</v>
      </c>
      <c r="BP297" s="2"/>
      <c r="BQ297" s="2"/>
      <c r="BR297" s="2"/>
      <c r="BS297" s="2"/>
      <c r="BT297" s="2"/>
      <c r="BU297" s="19"/>
      <c r="BV297" s="2"/>
      <c r="BW297" s="2"/>
      <c r="BX297" s="2"/>
      <c r="BY297" s="19"/>
      <c r="BZ297" s="19"/>
      <c r="CA297" s="2"/>
    </row>
    <row r="298" spans="1:79">
      <c r="A298" s="438">
        <f>A236</f>
        <v>1</v>
      </c>
      <c r="B298" s="294">
        <f>B236</f>
        <v>1.5</v>
      </c>
      <c r="C298" s="294">
        <f>IF(A298="---","---",INPUT!C111)</f>
        <v>2.75</v>
      </c>
      <c r="D298" s="294">
        <f t="shared" ref="D298:D329" si="86">IF(A298="---","---",IF(Abut_on_Piles="y",MIN(IF(B298&gt;Z_2_Pv,(bf+B298-Ad)/2+d,bf+B298-Ad),L_reinf),"---"))</f>
        <v>5.75</v>
      </c>
      <c r="E298" s="294">
        <f t="shared" ref="E298:E347" si="87">IF(A298="---","---",MIN(IF(B298&gt;Z_2_qint,L_reinf,IF(Abut_on_Piles="y",x-bf+0.5*(B298-Ad),x-pw+0.5*B298)),L_reinf))</f>
        <v>15.469999999999999</v>
      </c>
      <c r="F298" s="294">
        <f>IF(A298="---","---",IF(Type_Reinf="g",1,IF(Type_Reinf="s",MAX((1.2+0.5*(20-B298)/20),1.2),MAX((1.2+1.3*(20-B298)/20),1.2))))</f>
        <v>1.6625000000000001</v>
      </c>
      <c r="G298" s="294">
        <f t="shared" ref="G298:G329" si="88">IF(A298="---","---",F298*ka_int)</f>
        <v>0.4700135540307972</v>
      </c>
      <c r="H298" s="294">
        <f t="shared" ref="H298:H329" si="89">IF(A298="---","---",IF(Abut_on_Piles="y",Pv*bfi/D298,0))</f>
        <v>0.20547826086956522</v>
      </c>
      <c r="I298" s="294">
        <f>IF(A298="---","---",gamma_reinf*B298+gamma_fill*S+(1*q_LS_int+q_DW_int+q_ES_int)*(L_reinf/E298)+H298)</f>
        <v>0.90880392344228655</v>
      </c>
      <c r="J298" s="294">
        <f t="shared" ref="J298:J329" si="90">IF(A298="---","---",gamma_reinf*B298+gamma_fill*S+(0*q_LS_int+q_DW_int+q_ES_int)*(L_reinf/E298)+H298)</f>
        <v>0.73171277929231893</v>
      </c>
      <c r="K298" s="294">
        <f t="shared" ref="K298:K329" si="91">IF(A298="---","---",gamma_reinf*B298+gamma_fill*S+(0.5*q_LS_int+q_DW_int+q_ES_int)*(L_reinf/E298)+H298)</f>
        <v>0.82025835136730263</v>
      </c>
      <c r="L298" s="294">
        <f t="shared" ref="L298:L329" si="92">IF(A298="---","---",IF(L_1=0,0,MAX(0,IF(Abut_on_Piles="y",0,0)*2*(L_1-B298)/(L_1^2))))</f>
        <v>0</v>
      </c>
      <c r="M298" s="291">
        <f t="shared" ref="M298:M329" si="93">IF(A298="---","---",IF(L_1=0,0,MAX(0,IF(Abut_on_Piles="y",0,PH_1)*2*(L_1-B298)/(L_1^2))))</f>
        <v>0</v>
      </c>
      <c r="N298" s="294">
        <f t="shared" ref="N298:N329" si="94">IF($A298="---","---",gamma_P*(I298*$G298+L298))</f>
        <v>0.57665271866522616</v>
      </c>
      <c r="O298" s="291">
        <f>IF($A298="---","---",N298*$C298)</f>
        <v>1.5857949763293719</v>
      </c>
      <c r="P298" s="294">
        <f t="shared" ref="P298:P347" si="95">IF($A298="---","---",gamma_P*(K298*$G298+M298))</f>
        <v>0.5204689329819443</v>
      </c>
      <c r="Q298" s="291">
        <f>IF($A298="---","---",P298*$C298)</f>
        <v>1.4312895657003468</v>
      </c>
      <c r="R298" s="294">
        <f t="shared" ref="R298:R329" si="96">IF(A298="---","---",IF(V236="N/A","---",$B$291*($B$292*I298*G298+L298)))</f>
        <v>0.46986517817166579</v>
      </c>
      <c r="S298" s="294">
        <f t="shared" ref="S298:S329" si="97">IF(A298="---","---",IF(R298="---","---",R298*C298))</f>
        <v>1.292129239972081</v>
      </c>
      <c r="T298" s="291" t="str">
        <f t="shared" ref="T298:T329" si="98">IF(A298="---","---",IF(Type_Reinf="g",N298*C298,"---"))</f>
        <v>---</v>
      </c>
      <c r="U298" s="291" t="str">
        <f t="shared" ref="U298:U329" si="99">IF(A298="---","---",IF(Type_Reinf="g",IF(L_1=0,0,IF(Abut_on_Piles="y",0,PH_1)*2*(L_1-B298)/(L_1^2))*C298,"---"))</f>
        <v>---</v>
      </c>
      <c r="V298" s="294">
        <f t="shared" ref="V298:V329" si="100">IF(A298="---","---",gamma_reinf*B298+gamma_fill*S+(0*q_LS_int+q_DW_int+q_ES_int)*(L_reinf/E298)+H298)</f>
        <v>0.73171277929231893</v>
      </c>
      <c r="W298" s="294">
        <f t="shared" ref="W298:W329" si="101">IF(A298="---","---",IF(L_1=0,0,MAX(0,IF(Abut_on_Piles="y",0,0)*2*(L_1-B298)/(L_1^2))))</f>
        <v>0</v>
      </c>
      <c r="Y298" s="22"/>
      <c r="Z298" s="22"/>
      <c r="AA298" s="22"/>
      <c r="AB298" s="22"/>
      <c r="AC298" s="22"/>
      <c r="AD298" s="22"/>
      <c r="AE298" s="22"/>
      <c r="AF298" s="140">
        <f>C355</f>
        <v>1.5249193548387101</v>
      </c>
      <c r="AG298" s="140">
        <f>D355</f>
        <v>1.5857949763293719</v>
      </c>
      <c r="AH298" s="140">
        <f>IF(AF298="---",999.99,IF(AG298=0,999.99,AF298/AG298))</f>
        <v>0.96161192184403932</v>
      </c>
      <c r="AI298" s="263">
        <f t="shared" ref="AI298:AI329" si="102">IF(MIN(AH298)=MIN($AH$298:$AH$347,$AL$298:$AL$347,$AP$298:$AP$347),1,0)</f>
        <v>0</v>
      </c>
      <c r="AJ298" s="140">
        <f>F355</f>
        <v>1.0166129032258067</v>
      </c>
      <c r="AK298" s="140">
        <f>G355</f>
        <v>1.292129239972081</v>
      </c>
      <c r="AL298" s="140">
        <f>IF(AJ298="---",999.99,IF(AK298=0,999.99,AJ298/AK298))</f>
        <v>0.78677339059966833</v>
      </c>
      <c r="AM298" s="263">
        <f t="shared" ref="AM298:AM329" si="103">IF(MIN(AL298)=MIN($AH$298:$AH$347,$AL$298:$AL$347,$AP$298:$AP$347),1,0)</f>
        <v>0</v>
      </c>
      <c r="AN298" s="140">
        <f>WORKSHEET_CONSTR!C295</f>
        <v>1.5249193548387101</v>
      </c>
      <c r="AO298" s="140">
        <f>WORKSHEET_CONSTR!D295</f>
        <v>1.0390650945074578</v>
      </c>
      <c r="AP298" s="140">
        <f>IF(AN298="---",999.99,IF(AO298=0,999.99,AN298/AO298))</f>
        <v>1.467587895021687</v>
      </c>
      <c r="AQ298" s="263">
        <f t="shared" ref="AQ298:AQ329" si="104">IF(MIN(AP298)=MIN($AH$298:$AH$347,$AL$298:$AL$347,$AP$298:$AP$347),1,0)</f>
        <v>0</v>
      </c>
      <c r="AR298" s="267">
        <f>I355</f>
        <v>5</v>
      </c>
      <c r="AS298" s="140">
        <f>J355</f>
        <v>1.5857949763293719</v>
      </c>
      <c r="AT298" s="140">
        <f>IF(AR298="---",999.99,IF(AS298=0,999.99,AR298/AS298))</f>
        <v>3.1529927100497339</v>
      </c>
      <c r="AU298" s="263">
        <f t="shared" ref="AU298:AU329" si="105">IF(AT298=MIN($AT$298:$AT$347,$AX$298:$AX$347),1,0)</f>
        <v>0</v>
      </c>
      <c r="AV298" s="140">
        <f>WORKSHEET_CONSTR!F295</f>
        <v>5</v>
      </c>
      <c r="AW298" s="140">
        <f>WORKSHEET_CONSTR!G295</f>
        <v>1.0390650945074578</v>
      </c>
      <c r="AX298" s="140">
        <f>IF(AV298="---",999.99,IF(AW298=0,999.99,AV298/AW298))</f>
        <v>4.81201805972524</v>
      </c>
      <c r="AY298" s="263">
        <f t="shared" ref="AY298:AY329" si="106">IF(AX298=MIN($AT$298:$AT$347,$AX$298:$AX$347),1,0)</f>
        <v>0</v>
      </c>
      <c r="AZ298" s="267" t="str">
        <f t="shared" ref="AZ298:AZ329" si="107">L355</f>
        <v>---</v>
      </c>
      <c r="BA298" s="210" t="str">
        <f t="shared" ref="BA298:BA329" si="108">M355</f>
        <v>---</v>
      </c>
      <c r="BB298" s="140">
        <f>IF(AZ298="---",999.99,IF(BA298=0,999.99,AZ298/BA298))</f>
        <v>999.99</v>
      </c>
      <c r="BC298" s="263">
        <f t="shared" ref="BC298:BC329" si="109">IF(BB298=MIN($BB$298:$BB$347,$BF$298:$BF$347),1,0)</f>
        <v>1</v>
      </c>
      <c r="BD298" s="140" t="str">
        <f>WORKSHEET_CONSTR!I295</f>
        <v>---</v>
      </c>
      <c r="BE298" s="140" t="str">
        <f>WORKSHEET_CONSTR!J295</f>
        <v>---</v>
      </c>
      <c r="BF298" s="140">
        <f>IF(BD298="---",999.99,IF(BE298=0,999.99,BD298/BE298))</f>
        <v>999.99</v>
      </c>
      <c r="BG298" s="263">
        <f t="shared" ref="BG298:BG329" si="110">IF(BF298=MIN($BB$298:$BB$347,$BF$298:$BF$347),1,0)</f>
        <v>1</v>
      </c>
      <c r="BH298" s="210" t="str">
        <f>O355</f>
        <v>---</v>
      </c>
      <c r="BI298" s="210" t="str">
        <f>P355</f>
        <v>---</v>
      </c>
      <c r="BJ298" s="140">
        <f>IF(BH298="---",999.99,IF(BI298=0,999.99,BH298/BI298))</f>
        <v>999.99</v>
      </c>
      <c r="BK298" s="263">
        <f t="shared" ref="BK298:BK329" si="111">IF(BJ298=MIN($BJ$298:$BJ$347,$BN$298:$BN$347),1,0)</f>
        <v>1</v>
      </c>
      <c r="BL298" s="140" t="str">
        <f>WORKSHEET_CONSTR!L295</f>
        <v>---</v>
      </c>
      <c r="BM298" s="140" t="str">
        <f>WORKSHEET_CONSTR!M295</f>
        <v>---</v>
      </c>
      <c r="BN298" s="140">
        <f>IF(BL298="---",999.99,IF(BM298=0,999.99,BL298/BM298))</f>
        <v>999.99</v>
      </c>
      <c r="BO298" s="263">
        <f t="shared" ref="BO298:BO329" si="112">IF(BN298=MIN($BJ$298:$BJ$347,$BN$298:$BN$347),1,0)</f>
        <v>1</v>
      </c>
      <c r="BP298" s="22"/>
      <c r="BQ298" s="22"/>
      <c r="BR298" s="22"/>
      <c r="BS298" s="22"/>
      <c r="BT298" s="22"/>
      <c r="BU298" s="22"/>
    </row>
    <row r="299" spans="1:79">
      <c r="A299" s="438">
        <f t="shared" ref="A299:B347" si="113">A237</f>
        <v>2</v>
      </c>
      <c r="B299" s="294">
        <f t="shared" si="113"/>
        <v>4</v>
      </c>
      <c r="C299" s="294">
        <f>IF(A299="---","---",INPUT!C112)</f>
        <v>2.5</v>
      </c>
      <c r="D299" s="294">
        <f t="shared" si="86"/>
        <v>7.2799999999999994</v>
      </c>
      <c r="E299" s="294">
        <f t="shared" si="87"/>
        <v>16.72</v>
      </c>
      <c r="F299" s="294">
        <f t="shared" ref="F299:F329" si="114">IF(A299="---","---",IF(Type_Reinf="g",1,IF(Type_Reinf="s",MAX((1.2+0.5*(20-B299)/20),1.2),MAX((1.2+1.3*(20-B299)/20),1.2))))</f>
        <v>1.6</v>
      </c>
      <c r="G299" s="294">
        <f t="shared" si="88"/>
        <v>0.45234387154843642</v>
      </c>
      <c r="H299" s="294">
        <f t="shared" si="89"/>
        <v>0.16229395604395605</v>
      </c>
      <c r="I299" s="294">
        <f t="shared" ref="I299:I329" si="115">IF(A299="---","---",gamma_reinf*B299+gamma_fill*S+(1*q_LS_int+q_DW_int+q_ES_int)*(L_reinf/E299)+H299)</f>
        <v>0.96976692255113306</v>
      </c>
      <c r="J299" s="294">
        <f t="shared" si="90"/>
        <v>0.8059152479099847</v>
      </c>
      <c r="K299" s="294">
        <f t="shared" si="91"/>
        <v>0.88784108523055894</v>
      </c>
      <c r="L299" s="294">
        <f t="shared" si="92"/>
        <v>0</v>
      </c>
      <c r="M299" s="291">
        <f t="shared" si="93"/>
        <v>0</v>
      </c>
      <c r="N299" s="294">
        <f t="shared" si="94"/>
        <v>0.59220196773262956</v>
      </c>
      <c r="O299" s="291">
        <f t="shared" ref="O299:O347" si="116">IF($A299="---","---",N299*$C299)</f>
        <v>1.4805049193315738</v>
      </c>
      <c r="P299" s="294">
        <f t="shared" si="95"/>
        <v>0.54217278964749116</v>
      </c>
      <c r="Q299" s="291">
        <f t="shared" ref="Q299:Q347" si="117">IF($A299="---","---",P299*$C299)</f>
        <v>1.355431974118728</v>
      </c>
      <c r="R299" s="294">
        <f t="shared" si="96"/>
        <v>0.48253493667103148</v>
      </c>
      <c r="S299" s="294">
        <f t="shared" si="97"/>
        <v>1.2063373416775787</v>
      </c>
      <c r="T299" s="291" t="str">
        <f t="shared" si="98"/>
        <v>---</v>
      </c>
      <c r="U299" s="291" t="str">
        <f t="shared" si="99"/>
        <v>---</v>
      </c>
      <c r="V299" s="294">
        <f t="shared" si="100"/>
        <v>0.8059152479099847</v>
      </c>
      <c r="W299" s="294">
        <f t="shared" si="101"/>
        <v>0</v>
      </c>
      <c r="Y299" s="22"/>
      <c r="Z299" s="22"/>
      <c r="AA299" s="22"/>
      <c r="AB299" s="22"/>
      <c r="AC299" s="22"/>
      <c r="AD299" s="22"/>
      <c r="AE299" s="22"/>
      <c r="AF299" s="140">
        <f t="shared" ref="AF299:AF330" si="118">C356</f>
        <v>1.5249193548387101</v>
      </c>
      <c r="AG299" s="140">
        <f t="shared" ref="AG299:AG347" si="119">D356</f>
        <v>1.4805049193315738</v>
      </c>
      <c r="AH299" s="140">
        <f t="shared" ref="AH299:AH347" si="120">IF(AF299="---",999.99,IF(AG299=0,999.99,AF299/AG299))</f>
        <v>1.0299995190338096</v>
      </c>
      <c r="AI299" s="263">
        <f t="shared" si="102"/>
        <v>0</v>
      </c>
      <c r="AJ299" s="140">
        <f t="shared" ref="AJ299:AK299" si="121">F356</f>
        <v>1.0166129032258067</v>
      </c>
      <c r="AK299" s="140">
        <f t="shared" si="121"/>
        <v>1.2063373416775787</v>
      </c>
      <c r="AL299" s="140">
        <f t="shared" ref="AL299:AL347" si="122">IF(AJ299="---",999.99,IF(AK299=0,999.99,AJ299/AK299))</f>
        <v>0.84272687920948053</v>
      </c>
      <c r="AM299" s="263">
        <f t="shared" si="103"/>
        <v>0</v>
      </c>
      <c r="AN299" s="140">
        <f>WORKSHEET_CONSTR!C296</f>
        <v>1.5249193548387101</v>
      </c>
      <c r="AO299" s="140">
        <f>WORKSHEET_CONSTR!D296</f>
        <v>1.0721644887667179</v>
      </c>
      <c r="AP299" s="140">
        <f t="shared" ref="AP299:AP347" si="123">IF(AN299="---",999.99,IF(AO299=0,999.99,AN299/AO299))</f>
        <v>1.4222811619071474</v>
      </c>
      <c r="AQ299" s="263">
        <f t="shared" si="104"/>
        <v>0</v>
      </c>
      <c r="AR299" s="267">
        <f t="shared" ref="AR299:AS299" si="124">I356</f>
        <v>5</v>
      </c>
      <c r="AS299" s="140">
        <f t="shared" si="124"/>
        <v>1.4805049193315738</v>
      </c>
      <c r="AT299" s="140">
        <f t="shared" ref="AT299:AT347" si="125">IF(AR299="---",999.99,IF(AS299=0,999.99,AR299/AS299))</f>
        <v>3.3772261981118081</v>
      </c>
      <c r="AU299" s="263">
        <f t="shared" si="105"/>
        <v>0</v>
      </c>
      <c r="AV299" s="140">
        <f>WORKSHEET_CONSTR!F296</f>
        <v>5</v>
      </c>
      <c r="AW299" s="140">
        <f>WORKSHEET_CONSTR!G296</f>
        <v>1.0721644887667179</v>
      </c>
      <c r="AX299" s="140">
        <f t="shared" ref="AX299:AX347" si="126">IF(AV299="---",999.99,IF(AW299=0,999.99,AV299/AW299))</f>
        <v>4.6634635379048657</v>
      </c>
      <c r="AY299" s="263">
        <f t="shared" si="106"/>
        <v>0</v>
      </c>
      <c r="AZ299" s="267" t="str">
        <f t="shared" si="107"/>
        <v>---</v>
      </c>
      <c r="BA299" s="210" t="str">
        <f t="shared" si="108"/>
        <v>---</v>
      </c>
      <c r="BB299" s="140">
        <f t="shared" ref="BB299:BB347" si="127">IF(AZ299="---",999.99,IF(BA299=0,999.99,AZ299/BA299))</f>
        <v>999.99</v>
      </c>
      <c r="BC299" s="263">
        <f t="shared" si="109"/>
        <v>1</v>
      </c>
      <c r="BD299" s="140" t="str">
        <f>WORKSHEET_CONSTR!I296</f>
        <v>---</v>
      </c>
      <c r="BE299" s="140" t="str">
        <f>WORKSHEET_CONSTR!J296</f>
        <v>---</v>
      </c>
      <c r="BF299" s="140">
        <f t="shared" ref="BF299:BF347" si="128">IF(BD299="---",999.99,IF(BE299=0,999.99,BD299/BE299))</f>
        <v>999.99</v>
      </c>
      <c r="BG299" s="263">
        <f t="shared" si="110"/>
        <v>1</v>
      </c>
      <c r="BH299" s="210" t="str">
        <f t="shared" ref="BH299:BI299" si="129">O356</f>
        <v>---</v>
      </c>
      <c r="BI299" s="210" t="str">
        <f t="shared" si="129"/>
        <v>---</v>
      </c>
      <c r="BJ299" s="269">
        <f>IF(BJ298=IF(BH299="---",999.99,IF(BI299=0,999.99,BH299/BI299)),BJ298+0.001,IF(BH299="---",999.99,IF(BI299=0,999.99,BH299/BI299)))</f>
        <v>999.99099999999999</v>
      </c>
      <c r="BK299" s="263">
        <f t="shared" si="111"/>
        <v>0</v>
      </c>
      <c r="BL299" s="140" t="str">
        <f>WORKSHEET_CONSTR!L296</f>
        <v>---</v>
      </c>
      <c r="BM299" s="140" t="str">
        <f>WORKSHEET_CONSTR!M296</f>
        <v>---</v>
      </c>
      <c r="BN299" s="140">
        <f t="shared" ref="BN299:BN347" si="130">IF(BL299="---",999.99,IF(BM299=0,999.99,BL299/BM299))</f>
        <v>999.99</v>
      </c>
      <c r="BO299" s="263">
        <f t="shared" si="112"/>
        <v>1</v>
      </c>
      <c r="BP299" s="102"/>
      <c r="BQ299" s="22"/>
      <c r="BR299" s="22"/>
      <c r="BS299" s="22"/>
      <c r="BT299" s="22"/>
      <c r="BU299" s="22"/>
    </row>
    <row r="300" spans="1:79">
      <c r="A300" s="438">
        <f t="shared" si="113"/>
        <v>3</v>
      </c>
      <c r="B300" s="294">
        <f t="shared" si="113"/>
        <v>6.5</v>
      </c>
      <c r="C300" s="294">
        <f>IF(A300="---","---",INPUT!C113)</f>
        <v>2.5</v>
      </c>
      <c r="D300" s="294">
        <f t="shared" si="86"/>
        <v>8.5299999999999994</v>
      </c>
      <c r="E300" s="294">
        <f t="shared" si="87"/>
        <v>17.97</v>
      </c>
      <c r="F300" s="294">
        <f t="shared" si="114"/>
        <v>1.5375000000000001</v>
      </c>
      <c r="G300" s="294">
        <f t="shared" si="88"/>
        <v>0.43467418906607563</v>
      </c>
      <c r="H300" s="294">
        <f t="shared" si="89"/>
        <v>0.1385111371629543</v>
      </c>
      <c r="I300" s="294">
        <f t="shared" si="115"/>
        <v>1.0565104693833216</v>
      </c>
      <c r="J300" s="294">
        <f t="shared" si="90"/>
        <v>0.90405637923307103</v>
      </c>
      <c r="K300" s="294">
        <f t="shared" si="91"/>
        <v>0.98028342430819626</v>
      </c>
      <c r="L300" s="294">
        <f t="shared" si="92"/>
        <v>0</v>
      </c>
      <c r="M300" s="291">
        <f t="shared" si="93"/>
        <v>0</v>
      </c>
      <c r="N300" s="294">
        <f t="shared" si="94"/>
        <v>0.6199710725506693</v>
      </c>
      <c r="O300" s="291">
        <f t="shared" si="116"/>
        <v>1.5499276813766731</v>
      </c>
      <c r="P300" s="294">
        <f t="shared" si="95"/>
        <v>0.57524026839670928</v>
      </c>
      <c r="Q300" s="291">
        <f t="shared" si="117"/>
        <v>1.4381006709917732</v>
      </c>
      <c r="R300" s="294">
        <f t="shared" si="96"/>
        <v>0.50516161467091569</v>
      </c>
      <c r="S300" s="294">
        <f t="shared" si="97"/>
        <v>1.2629040366772892</v>
      </c>
      <c r="T300" s="291" t="str">
        <f t="shared" si="98"/>
        <v>---</v>
      </c>
      <c r="U300" s="291" t="str">
        <f t="shared" si="99"/>
        <v>---</v>
      </c>
      <c r="V300" s="294">
        <f t="shared" si="100"/>
        <v>0.90405637923307103</v>
      </c>
      <c r="W300" s="294">
        <f t="shared" si="101"/>
        <v>0</v>
      </c>
      <c r="Y300" s="22"/>
      <c r="Z300" s="22"/>
      <c r="AA300" s="22"/>
      <c r="AB300" s="22"/>
      <c r="AC300" s="22"/>
      <c r="AD300" s="22"/>
      <c r="AE300" s="22"/>
      <c r="AF300" s="140">
        <f t="shared" si="118"/>
        <v>1.5249193548387101</v>
      </c>
      <c r="AG300" s="140">
        <f t="shared" si="119"/>
        <v>1.5499276813766731</v>
      </c>
      <c r="AH300" s="140">
        <f t="shared" si="120"/>
        <v>0.98386484296109211</v>
      </c>
      <c r="AI300" s="263">
        <f t="shared" si="102"/>
        <v>0</v>
      </c>
      <c r="AJ300" s="140">
        <f t="shared" ref="AJ300:AK300" si="131">F357</f>
        <v>1.0166129032258067</v>
      </c>
      <c r="AK300" s="140">
        <f t="shared" si="131"/>
        <v>1.2629040366772892</v>
      </c>
      <c r="AL300" s="140">
        <f t="shared" si="122"/>
        <v>0.80498032605907532</v>
      </c>
      <c r="AM300" s="263">
        <f t="shared" si="103"/>
        <v>0</v>
      </c>
      <c r="AN300" s="140">
        <f>WORKSHEET_CONSTR!C297</f>
        <v>1.5249193548387101</v>
      </c>
      <c r="AO300" s="140">
        <f>WORKSHEET_CONSTR!D297</f>
        <v>1.2154468725400027</v>
      </c>
      <c r="AP300" s="140">
        <f t="shared" si="123"/>
        <v>1.2546162150649838</v>
      </c>
      <c r="AQ300" s="263">
        <f t="shared" si="104"/>
        <v>0</v>
      </c>
      <c r="AR300" s="267">
        <f t="shared" ref="AR300:AS300" si="132">I357</f>
        <v>5</v>
      </c>
      <c r="AS300" s="140">
        <f t="shared" si="132"/>
        <v>1.5499276813766731</v>
      </c>
      <c r="AT300" s="140">
        <f t="shared" si="125"/>
        <v>3.2259569656559148</v>
      </c>
      <c r="AU300" s="263">
        <f t="shared" si="105"/>
        <v>0</v>
      </c>
      <c r="AV300" s="140">
        <f>WORKSHEET_CONSTR!F297</f>
        <v>5</v>
      </c>
      <c r="AW300" s="140">
        <f>WORKSHEET_CONSTR!G297</f>
        <v>1.2154468725400027</v>
      </c>
      <c r="AX300" s="140">
        <f t="shared" si="126"/>
        <v>4.1137133287867673</v>
      </c>
      <c r="AY300" s="263">
        <f t="shared" si="106"/>
        <v>0</v>
      </c>
      <c r="AZ300" s="267" t="str">
        <f t="shared" si="107"/>
        <v>---</v>
      </c>
      <c r="BA300" s="210" t="str">
        <f t="shared" si="108"/>
        <v>---</v>
      </c>
      <c r="BB300" s="140">
        <f t="shared" si="127"/>
        <v>999.99</v>
      </c>
      <c r="BC300" s="263">
        <f t="shared" si="109"/>
        <v>1</v>
      </c>
      <c r="BD300" s="140" t="str">
        <f>WORKSHEET_CONSTR!I297</f>
        <v>---</v>
      </c>
      <c r="BE300" s="140" t="str">
        <f>WORKSHEET_CONSTR!J297</f>
        <v>---</v>
      </c>
      <c r="BF300" s="140">
        <f t="shared" si="128"/>
        <v>999.99</v>
      </c>
      <c r="BG300" s="263">
        <f t="shared" si="110"/>
        <v>1</v>
      </c>
      <c r="BH300" s="210" t="str">
        <f t="shared" ref="BH300:BI300" si="133">O357</f>
        <v>---</v>
      </c>
      <c r="BI300" s="210" t="str">
        <f t="shared" si="133"/>
        <v>---</v>
      </c>
      <c r="BJ300" s="140">
        <f t="shared" ref="BJ300:BJ347" si="134">IF(BH300="---",999.99,IF(BI300=0,999.99,BH300/BI300))</f>
        <v>999.99</v>
      </c>
      <c r="BK300" s="263">
        <f t="shared" si="111"/>
        <v>1</v>
      </c>
      <c r="BL300" s="140" t="str">
        <f>WORKSHEET_CONSTR!L297</f>
        <v>---</v>
      </c>
      <c r="BM300" s="140" t="str">
        <f>WORKSHEET_CONSTR!M297</f>
        <v>---</v>
      </c>
      <c r="BN300" s="140">
        <f t="shared" si="130"/>
        <v>999.99</v>
      </c>
      <c r="BO300" s="263">
        <f t="shared" si="112"/>
        <v>1</v>
      </c>
      <c r="BP300" s="22"/>
      <c r="BQ300" s="22"/>
      <c r="BR300" s="22"/>
      <c r="BS300" s="22"/>
      <c r="BT300" s="22"/>
      <c r="BU300" s="22"/>
    </row>
    <row r="301" spans="1:79">
      <c r="A301" s="438">
        <f t="shared" si="113"/>
        <v>4</v>
      </c>
      <c r="B301" s="294">
        <f t="shared" si="113"/>
        <v>9</v>
      </c>
      <c r="C301" s="294">
        <f>IF(A301="---","---",INPUT!C114)</f>
        <v>2.5</v>
      </c>
      <c r="D301" s="294">
        <f t="shared" si="86"/>
        <v>9.7799999999999994</v>
      </c>
      <c r="E301" s="294">
        <f t="shared" si="87"/>
        <v>19.22</v>
      </c>
      <c r="F301" s="294">
        <f t="shared" si="114"/>
        <v>1.4750000000000001</v>
      </c>
      <c r="G301" s="294">
        <f t="shared" si="88"/>
        <v>0.4170045065837148</v>
      </c>
      <c r="H301" s="294">
        <f t="shared" si="89"/>
        <v>0.1208077709611452</v>
      </c>
      <c r="I301" s="294">
        <f t="shared" si="115"/>
        <v>1.154467916642727</v>
      </c>
      <c r="J301" s="294">
        <f t="shared" si="90"/>
        <v>1.0119288947904896</v>
      </c>
      <c r="K301" s="294">
        <f t="shared" si="91"/>
        <v>1.0831984057166084</v>
      </c>
      <c r="L301" s="294">
        <f t="shared" si="92"/>
        <v>0</v>
      </c>
      <c r="M301" s="291">
        <f t="shared" si="93"/>
        <v>0</v>
      </c>
      <c r="N301" s="294">
        <f t="shared" si="94"/>
        <v>0.6499147373275449</v>
      </c>
      <c r="O301" s="291">
        <f t="shared" si="116"/>
        <v>1.6247868433188621</v>
      </c>
      <c r="P301" s="294">
        <f t="shared" si="95"/>
        <v>0.60979313255596312</v>
      </c>
      <c r="Q301" s="291">
        <f t="shared" si="117"/>
        <v>1.5244828313899079</v>
      </c>
      <c r="R301" s="294">
        <f t="shared" si="96"/>
        <v>0.52956015634096254</v>
      </c>
      <c r="S301" s="294">
        <f t="shared" si="97"/>
        <v>1.3239003908524063</v>
      </c>
      <c r="T301" s="291" t="str">
        <f t="shared" si="98"/>
        <v>---</v>
      </c>
      <c r="U301" s="291" t="str">
        <f t="shared" si="99"/>
        <v>---</v>
      </c>
      <c r="V301" s="294">
        <f t="shared" si="100"/>
        <v>1.0119288947904896</v>
      </c>
      <c r="W301" s="294">
        <f t="shared" si="101"/>
        <v>0</v>
      </c>
      <c r="Y301" s="22"/>
      <c r="Z301" s="22"/>
      <c r="AA301" s="22"/>
      <c r="AB301" s="22"/>
      <c r="AC301" s="22"/>
      <c r="AD301" s="22"/>
      <c r="AE301" s="22"/>
      <c r="AF301" s="140">
        <f t="shared" si="118"/>
        <v>1.5249193548387101</v>
      </c>
      <c r="AG301" s="140">
        <f t="shared" si="119"/>
        <v>1.6247868433188621</v>
      </c>
      <c r="AH301" s="140">
        <f t="shared" si="120"/>
        <v>0.93853502144554657</v>
      </c>
      <c r="AI301" s="263">
        <f t="shared" si="102"/>
        <v>0</v>
      </c>
      <c r="AJ301" s="140">
        <f t="shared" ref="AJ301:AK301" si="135">F358</f>
        <v>1.0166129032258067</v>
      </c>
      <c r="AK301" s="140">
        <f t="shared" si="135"/>
        <v>1.3239003908524063</v>
      </c>
      <c r="AL301" s="140">
        <f t="shared" si="122"/>
        <v>0.76789229027362882</v>
      </c>
      <c r="AM301" s="263">
        <f t="shared" si="103"/>
        <v>0</v>
      </c>
      <c r="AN301" s="140">
        <f>WORKSHEET_CONSTR!C298</f>
        <v>1.5249193548387101</v>
      </c>
      <c r="AO301" s="140">
        <f>WORKSHEET_CONSTR!D298</f>
        <v>1.3522314502736477</v>
      </c>
      <c r="AP301" s="140">
        <f t="shared" si="123"/>
        <v>1.1277058779620279</v>
      </c>
      <c r="AQ301" s="263">
        <f t="shared" si="104"/>
        <v>0</v>
      </c>
      <c r="AR301" s="267">
        <f t="shared" ref="AR301:AS301" si="136">I358</f>
        <v>5</v>
      </c>
      <c r="AS301" s="140">
        <f t="shared" si="136"/>
        <v>1.6247868433188621</v>
      </c>
      <c r="AT301" s="140">
        <f t="shared" si="125"/>
        <v>3.0773267401567437</v>
      </c>
      <c r="AU301" s="263">
        <f t="shared" si="105"/>
        <v>0</v>
      </c>
      <c r="AV301" s="140">
        <f>WORKSHEET_CONSTR!F298</f>
        <v>5</v>
      </c>
      <c r="AW301" s="140">
        <f>WORKSHEET_CONSTR!G298</f>
        <v>1.3522314502736477</v>
      </c>
      <c r="AX301" s="140">
        <f t="shared" si="126"/>
        <v>3.6975918575094244</v>
      </c>
      <c r="AY301" s="263">
        <f t="shared" si="106"/>
        <v>0</v>
      </c>
      <c r="AZ301" s="267" t="str">
        <f t="shared" si="107"/>
        <v>---</v>
      </c>
      <c r="BA301" s="210" t="str">
        <f t="shared" si="108"/>
        <v>---</v>
      </c>
      <c r="BB301" s="140">
        <f t="shared" si="127"/>
        <v>999.99</v>
      </c>
      <c r="BC301" s="263">
        <f t="shared" si="109"/>
        <v>1</v>
      </c>
      <c r="BD301" s="140" t="str">
        <f>WORKSHEET_CONSTR!I298</f>
        <v>---</v>
      </c>
      <c r="BE301" s="140" t="str">
        <f>WORKSHEET_CONSTR!J298</f>
        <v>---</v>
      </c>
      <c r="BF301" s="140">
        <f t="shared" si="128"/>
        <v>999.99</v>
      </c>
      <c r="BG301" s="263">
        <f t="shared" si="110"/>
        <v>1</v>
      </c>
      <c r="BH301" s="210" t="str">
        <f t="shared" ref="BH301:BI301" si="137">O358</f>
        <v>---</v>
      </c>
      <c r="BI301" s="210" t="str">
        <f t="shared" si="137"/>
        <v>---</v>
      </c>
      <c r="BJ301" s="140">
        <f t="shared" si="134"/>
        <v>999.99</v>
      </c>
      <c r="BK301" s="263">
        <f t="shared" si="111"/>
        <v>1</v>
      </c>
      <c r="BL301" s="140" t="str">
        <f>WORKSHEET_CONSTR!L298</f>
        <v>---</v>
      </c>
      <c r="BM301" s="140" t="str">
        <f>WORKSHEET_CONSTR!M298</f>
        <v>---</v>
      </c>
      <c r="BN301" s="140">
        <f t="shared" si="130"/>
        <v>999.99</v>
      </c>
      <c r="BO301" s="263">
        <f t="shared" si="112"/>
        <v>1</v>
      </c>
      <c r="BP301" s="22"/>
      <c r="BQ301" s="22"/>
      <c r="BR301" s="22"/>
      <c r="BS301" s="22"/>
      <c r="BT301" s="22"/>
      <c r="BU301" s="22"/>
    </row>
    <row r="302" spans="1:79">
      <c r="A302" s="438">
        <f t="shared" si="113"/>
        <v>5</v>
      </c>
      <c r="B302" s="294">
        <f t="shared" si="113"/>
        <v>11.5</v>
      </c>
      <c r="C302" s="294">
        <f>IF(A302="---","---",INPUT!C115)</f>
        <v>2.5</v>
      </c>
      <c r="D302" s="294">
        <f t="shared" si="86"/>
        <v>11.03</v>
      </c>
      <c r="E302" s="294">
        <f t="shared" si="87"/>
        <v>20.47</v>
      </c>
      <c r="F302" s="294">
        <f t="shared" si="114"/>
        <v>1.4124999999999999</v>
      </c>
      <c r="G302" s="294">
        <f t="shared" si="88"/>
        <v>0.39933482410135396</v>
      </c>
      <c r="H302" s="294">
        <f t="shared" si="89"/>
        <v>0.10711695376246601</v>
      </c>
      <c r="I302" s="294">
        <f t="shared" si="115"/>
        <v>1.2606317559119531</v>
      </c>
      <c r="J302" s="294">
        <f t="shared" si="90"/>
        <v>1.1267968755993005</v>
      </c>
      <c r="K302" s="294">
        <f t="shared" si="91"/>
        <v>1.1937143157556267</v>
      </c>
      <c r="L302" s="294">
        <f t="shared" si="92"/>
        <v>0</v>
      </c>
      <c r="M302" s="291">
        <f t="shared" si="93"/>
        <v>0</v>
      </c>
      <c r="N302" s="294">
        <f t="shared" si="94"/>
        <v>0.67960911667996915</v>
      </c>
      <c r="O302" s="291">
        <f t="shared" si="116"/>
        <v>1.6990227916999228</v>
      </c>
      <c r="P302" s="294">
        <f t="shared" si="95"/>
        <v>0.6435337900178808</v>
      </c>
      <c r="Q302" s="291">
        <f t="shared" si="117"/>
        <v>1.6088344750447021</v>
      </c>
      <c r="R302" s="294">
        <f t="shared" si="96"/>
        <v>0.55375557655404894</v>
      </c>
      <c r="S302" s="294">
        <f t="shared" si="97"/>
        <v>1.3843889413851223</v>
      </c>
      <c r="T302" s="291" t="str">
        <f t="shared" si="98"/>
        <v>---</v>
      </c>
      <c r="U302" s="291" t="str">
        <f t="shared" si="99"/>
        <v>---</v>
      </c>
      <c r="V302" s="294">
        <f t="shared" si="100"/>
        <v>1.1267968755993005</v>
      </c>
      <c r="W302" s="294">
        <f t="shared" si="101"/>
        <v>0</v>
      </c>
      <c r="Y302" s="22"/>
      <c r="Z302" s="22"/>
      <c r="AA302" s="22"/>
      <c r="AB302" s="22"/>
      <c r="AC302" s="22"/>
      <c r="AD302" s="22"/>
      <c r="AE302" s="22"/>
      <c r="AF302" s="140">
        <f t="shared" si="118"/>
        <v>1.5249193548387101</v>
      </c>
      <c r="AG302" s="140">
        <f t="shared" si="119"/>
        <v>1.6990227916999228</v>
      </c>
      <c r="AH302" s="140">
        <f t="shared" si="120"/>
        <v>0.89752730939705816</v>
      </c>
      <c r="AI302" s="263">
        <f t="shared" si="102"/>
        <v>0</v>
      </c>
      <c r="AJ302" s="140">
        <f t="shared" ref="AJ302:AK302" si="138">F359</f>
        <v>1.0166129032258067</v>
      </c>
      <c r="AK302" s="140">
        <f t="shared" si="138"/>
        <v>1.3843889413851223</v>
      </c>
      <c r="AL302" s="140">
        <f t="shared" si="122"/>
        <v>0.73434052587032028</v>
      </c>
      <c r="AM302" s="263">
        <f t="shared" si="103"/>
        <v>0</v>
      </c>
      <c r="AN302" s="140">
        <f>WORKSHEET_CONSTR!C299</f>
        <v>1.5249193548387101</v>
      </c>
      <c r="AO302" s="140">
        <f>WORKSHEET_CONSTR!D299</f>
        <v>1.4786448944040482</v>
      </c>
      <c r="AP302" s="140">
        <f t="shared" si="123"/>
        <v>1.0312951815610281</v>
      </c>
      <c r="AQ302" s="263">
        <f t="shared" si="104"/>
        <v>0</v>
      </c>
      <c r="AR302" s="267">
        <f t="shared" ref="AR302:AS302" si="139">I359</f>
        <v>5</v>
      </c>
      <c r="AS302" s="140">
        <f t="shared" si="139"/>
        <v>1.6990227916999228</v>
      </c>
      <c r="AT302" s="140">
        <f t="shared" si="125"/>
        <v>2.9428681147928284</v>
      </c>
      <c r="AU302" s="263">
        <f t="shared" si="105"/>
        <v>0</v>
      </c>
      <c r="AV302" s="140">
        <f>WORKSHEET_CONSTR!F299</f>
        <v>5</v>
      </c>
      <c r="AW302" s="140">
        <f>WORKSHEET_CONSTR!G299</f>
        <v>1.4786448944040482</v>
      </c>
      <c r="AX302" s="140">
        <f t="shared" si="126"/>
        <v>3.3814744966303731</v>
      </c>
      <c r="AY302" s="263">
        <f t="shared" si="106"/>
        <v>0</v>
      </c>
      <c r="AZ302" s="267" t="str">
        <f t="shared" si="107"/>
        <v>---</v>
      </c>
      <c r="BA302" s="210" t="str">
        <f t="shared" si="108"/>
        <v>---</v>
      </c>
      <c r="BB302" s="140">
        <f t="shared" si="127"/>
        <v>999.99</v>
      </c>
      <c r="BC302" s="263">
        <f t="shared" si="109"/>
        <v>1</v>
      </c>
      <c r="BD302" s="140" t="str">
        <f>WORKSHEET_CONSTR!I299</f>
        <v>---</v>
      </c>
      <c r="BE302" s="140" t="str">
        <f>WORKSHEET_CONSTR!J299</f>
        <v>---</v>
      </c>
      <c r="BF302" s="140">
        <f t="shared" si="128"/>
        <v>999.99</v>
      </c>
      <c r="BG302" s="263">
        <f t="shared" si="110"/>
        <v>1</v>
      </c>
      <c r="BH302" s="210" t="str">
        <f t="shared" ref="BH302:BI302" si="140">O359</f>
        <v>---</v>
      </c>
      <c r="BI302" s="210" t="str">
        <f t="shared" si="140"/>
        <v>---</v>
      </c>
      <c r="BJ302" s="140">
        <f t="shared" si="134"/>
        <v>999.99</v>
      </c>
      <c r="BK302" s="263">
        <f t="shared" si="111"/>
        <v>1</v>
      </c>
      <c r="BL302" s="140" t="str">
        <f>WORKSHEET_CONSTR!L299</f>
        <v>---</v>
      </c>
      <c r="BM302" s="140" t="str">
        <f>WORKSHEET_CONSTR!M299</f>
        <v>---</v>
      </c>
      <c r="BN302" s="140">
        <f t="shared" si="130"/>
        <v>999.99</v>
      </c>
      <c r="BO302" s="263">
        <f t="shared" si="112"/>
        <v>1</v>
      </c>
      <c r="BP302" s="22"/>
      <c r="BQ302" s="22"/>
      <c r="BR302" s="22"/>
      <c r="BS302" s="22"/>
      <c r="BT302" s="22"/>
      <c r="BU302" s="22"/>
    </row>
    <row r="303" spans="1:79">
      <c r="A303" s="438">
        <f t="shared" si="113"/>
        <v>6</v>
      </c>
      <c r="B303" s="294">
        <f t="shared" si="113"/>
        <v>14</v>
      </c>
      <c r="C303" s="294">
        <f>IF(A303="---","---",INPUT!C116)</f>
        <v>3.2200000000000006</v>
      </c>
      <c r="D303" s="294">
        <f t="shared" si="86"/>
        <v>12.28</v>
      </c>
      <c r="E303" s="294">
        <f t="shared" si="87"/>
        <v>21</v>
      </c>
      <c r="F303" s="294">
        <f t="shared" si="114"/>
        <v>1.3499999999999999</v>
      </c>
      <c r="G303" s="294">
        <f t="shared" si="88"/>
        <v>0.38166514161899318</v>
      </c>
      <c r="H303" s="294">
        <f t="shared" si="89"/>
        <v>9.6213355048859944E-2</v>
      </c>
      <c r="I303" s="294">
        <f t="shared" si="115"/>
        <v>1.3880299264774314</v>
      </c>
      <c r="J303" s="294">
        <f t="shared" si="90"/>
        <v>1.2575727836202886</v>
      </c>
      <c r="K303" s="294">
        <f t="shared" si="91"/>
        <v>1.32280135504886</v>
      </c>
      <c r="L303" s="294">
        <f t="shared" si="92"/>
        <v>0</v>
      </c>
      <c r="M303" s="291">
        <f t="shared" si="93"/>
        <v>0</v>
      </c>
      <c r="N303" s="294">
        <f t="shared" si="94"/>
        <v>0.71517956192155285</v>
      </c>
      <c r="O303" s="291">
        <f t="shared" si="116"/>
        <v>2.3028781893874006</v>
      </c>
      <c r="P303" s="294">
        <f t="shared" si="95"/>
        <v>0.68157067478650102</v>
      </c>
      <c r="Q303" s="291">
        <f t="shared" si="117"/>
        <v>2.1946575728125337</v>
      </c>
      <c r="R303" s="294">
        <f t="shared" si="96"/>
        <v>0.58273890230645053</v>
      </c>
      <c r="S303" s="294">
        <f t="shared" si="97"/>
        <v>1.8764192654267711</v>
      </c>
      <c r="T303" s="291" t="str">
        <f t="shared" si="98"/>
        <v>---</v>
      </c>
      <c r="U303" s="291" t="str">
        <f t="shared" si="99"/>
        <v>---</v>
      </c>
      <c r="V303" s="294">
        <f t="shared" si="100"/>
        <v>1.2575727836202886</v>
      </c>
      <c r="W303" s="294">
        <f t="shared" si="101"/>
        <v>0</v>
      </c>
      <c r="Y303" s="22"/>
      <c r="Z303" s="22"/>
      <c r="AA303" s="22"/>
      <c r="AB303" s="22"/>
      <c r="AC303" s="22"/>
      <c r="AD303" s="22"/>
      <c r="AE303" s="22"/>
      <c r="AF303" s="140">
        <f t="shared" si="118"/>
        <v>1.5249193548387101</v>
      </c>
      <c r="AG303" s="140">
        <f t="shared" si="119"/>
        <v>2.3028781893874006</v>
      </c>
      <c r="AH303" s="140">
        <f t="shared" si="120"/>
        <v>0.66217977219383928</v>
      </c>
      <c r="AI303" s="263">
        <f t="shared" si="102"/>
        <v>0</v>
      </c>
      <c r="AJ303" s="140">
        <f t="shared" ref="AJ303:AK303" si="141">F360</f>
        <v>1.0166129032258067</v>
      </c>
      <c r="AK303" s="140">
        <f t="shared" si="141"/>
        <v>1.8764192654267711</v>
      </c>
      <c r="AL303" s="140">
        <f t="shared" si="122"/>
        <v>0.54178344997677752</v>
      </c>
      <c r="AM303" s="263">
        <f t="shared" si="103"/>
        <v>1</v>
      </c>
      <c r="AN303" s="140">
        <f>WORKSHEET_CONSTR!C300</f>
        <v>1.5249193548387101</v>
      </c>
      <c r="AO303" s="140">
        <f>WORKSHEET_CONSTR!D300</f>
        <v>2.0509995630974829</v>
      </c>
      <c r="AP303" s="140">
        <f t="shared" si="123"/>
        <v>0.74350057517112766</v>
      </c>
      <c r="AQ303" s="263">
        <f t="shared" si="104"/>
        <v>0</v>
      </c>
      <c r="AR303" s="267">
        <f t="shared" ref="AR303:AS303" si="142">I360</f>
        <v>5</v>
      </c>
      <c r="AS303" s="140">
        <f t="shared" si="142"/>
        <v>2.3028781893874006</v>
      </c>
      <c r="AT303" s="140">
        <f t="shared" si="125"/>
        <v>2.1711960376549806</v>
      </c>
      <c r="AU303" s="263">
        <f t="shared" si="105"/>
        <v>1</v>
      </c>
      <c r="AV303" s="140">
        <f>WORKSHEET_CONSTR!F300</f>
        <v>5</v>
      </c>
      <c r="AW303" s="140">
        <f>WORKSHEET_CONSTR!G300</f>
        <v>2.0509995630974829</v>
      </c>
      <c r="AX303" s="140">
        <f t="shared" si="126"/>
        <v>2.4378357216463007</v>
      </c>
      <c r="AY303" s="263">
        <f t="shared" si="106"/>
        <v>0</v>
      </c>
      <c r="AZ303" s="267" t="str">
        <f t="shared" si="107"/>
        <v>---</v>
      </c>
      <c r="BA303" s="210" t="str">
        <f t="shared" si="108"/>
        <v>---</v>
      </c>
      <c r="BB303" s="140">
        <f t="shared" si="127"/>
        <v>999.99</v>
      </c>
      <c r="BC303" s="263">
        <f t="shared" si="109"/>
        <v>1</v>
      </c>
      <c r="BD303" s="140" t="str">
        <f>WORKSHEET_CONSTR!I300</f>
        <v>---</v>
      </c>
      <c r="BE303" s="140" t="str">
        <f>WORKSHEET_CONSTR!J300</f>
        <v>---</v>
      </c>
      <c r="BF303" s="140">
        <f t="shared" si="128"/>
        <v>999.99</v>
      </c>
      <c r="BG303" s="263">
        <f t="shared" si="110"/>
        <v>1</v>
      </c>
      <c r="BH303" s="210" t="str">
        <f t="shared" ref="BH303:BI303" si="143">O360</f>
        <v>---</v>
      </c>
      <c r="BI303" s="210" t="str">
        <f t="shared" si="143"/>
        <v>---</v>
      </c>
      <c r="BJ303" s="140">
        <f t="shared" si="134"/>
        <v>999.99</v>
      </c>
      <c r="BK303" s="263">
        <f t="shared" si="111"/>
        <v>1</v>
      </c>
      <c r="BL303" s="140" t="str">
        <f>WORKSHEET_CONSTR!L300</f>
        <v>---</v>
      </c>
      <c r="BM303" s="140" t="str">
        <f>WORKSHEET_CONSTR!M300</f>
        <v>---</v>
      </c>
      <c r="BN303" s="140">
        <f t="shared" si="130"/>
        <v>999.99</v>
      </c>
      <c r="BO303" s="263">
        <f t="shared" si="112"/>
        <v>1</v>
      </c>
      <c r="BP303" s="22"/>
      <c r="BQ303" s="22"/>
      <c r="BR303" s="22"/>
      <c r="BS303" s="22"/>
      <c r="BT303" s="22"/>
      <c r="BU303" s="22"/>
    </row>
    <row r="304" spans="1:79">
      <c r="A304" s="438" t="str">
        <f t="shared" si="113"/>
        <v>---</v>
      </c>
      <c r="B304" s="294" t="str">
        <f t="shared" si="113"/>
        <v>---</v>
      </c>
      <c r="C304" s="294" t="str">
        <f>IF(A304="---","---",INPUT!C117)</f>
        <v>---</v>
      </c>
      <c r="D304" s="294" t="str">
        <f t="shared" si="86"/>
        <v>---</v>
      </c>
      <c r="E304" s="294" t="str">
        <f t="shared" si="87"/>
        <v>---</v>
      </c>
      <c r="F304" s="294" t="str">
        <f t="shared" si="114"/>
        <v>---</v>
      </c>
      <c r="G304" s="294" t="str">
        <f t="shared" si="88"/>
        <v>---</v>
      </c>
      <c r="H304" s="294" t="str">
        <f t="shared" si="89"/>
        <v>---</v>
      </c>
      <c r="I304" s="294" t="str">
        <f t="shared" si="115"/>
        <v>---</v>
      </c>
      <c r="J304" s="294" t="str">
        <f t="shared" si="90"/>
        <v>---</v>
      </c>
      <c r="K304" s="294" t="str">
        <f t="shared" si="91"/>
        <v>---</v>
      </c>
      <c r="L304" s="294" t="str">
        <f t="shared" si="92"/>
        <v>---</v>
      </c>
      <c r="M304" s="291" t="str">
        <f t="shared" si="93"/>
        <v>---</v>
      </c>
      <c r="N304" s="294" t="str">
        <f t="shared" si="94"/>
        <v>---</v>
      </c>
      <c r="O304" s="291" t="str">
        <f t="shared" si="116"/>
        <v>---</v>
      </c>
      <c r="P304" s="294" t="str">
        <f t="shared" si="95"/>
        <v>---</v>
      </c>
      <c r="Q304" s="291" t="str">
        <f t="shared" si="117"/>
        <v>---</v>
      </c>
      <c r="R304" s="294" t="str">
        <f t="shared" si="96"/>
        <v>---</v>
      </c>
      <c r="S304" s="294" t="str">
        <f t="shared" si="97"/>
        <v>---</v>
      </c>
      <c r="T304" s="291" t="str">
        <f t="shared" si="98"/>
        <v>---</v>
      </c>
      <c r="U304" s="291" t="str">
        <f t="shared" si="99"/>
        <v>---</v>
      </c>
      <c r="V304" s="294" t="str">
        <f t="shared" si="100"/>
        <v>---</v>
      </c>
      <c r="W304" s="294" t="str">
        <f t="shared" si="101"/>
        <v>---</v>
      </c>
      <c r="Y304" s="22"/>
      <c r="Z304" s="22"/>
      <c r="AA304" s="22"/>
      <c r="AB304" s="22"/>
      <c r="AC304" s="22"/>
      <c r="AD304" s="22"/>
      <c r="AE304" s="22"/>
      <c r="AF304" s="140" t="str">
        <f t="shared" si="118"/>
        <v>---</v>
      </c>
      <c r="AG304" s="140" t="str">
        <f t="shared" si="119"/>
        <v>---</v>
      </c>
      <c r="AH304" s="140">
        <f t="shared" si="120"/>
        <v>999.99</v>
      </c>
      <c r="AI304" s="263">
        <f t="shared" si="102"/>
        <v>0</v>
      </c>
      <c r="AJ304" s="140" t="str">
        <f t="shared" ref="AJ304:AK304" si="144">F361</f>
        <v>---</v>
      </c>
      <c r="AK304" s="140" t="str">
        <f t="shared" si="144"/>
        <v>---</v>
      </c>
      <c r="AL304" s="140">
        <f t="shared" si="122"/>
        <v>999.99</v>
      </c>
      <c r="AM304" s="263">
        <f t="shared" si="103"/>
        <v>0</v>
      </c>
      <c r="AN304" s="140" t="str">
        <f>WORKSHEET_CONSTR!C301</f>
        <v>---</v>
      </c>
      <c r="AO304" s="140" t="str">
        <f>WORKSHEET_CONSTR!D301</f>
        <v>---</v>
      </c>
      <c r="AP304" s="140">
        <f t="shared" si="123"/>
        <v>999.99</v>
      </c>
      <c r="AQ304" s="263">
        <f t="shared" si="104"/>
        <v>0</v>
      </c>
      <c r="AR304" s="267" t="str">
        <f t="shared" ref="AR304:AS304" si="145">I361</f>
        <v>---</v>
      </c>
      <c r="AS304" s="140" t="str">
        <f t="shared" si="145"/>
        <v>---</v>
      </c>
      <c r="AT304" s="140">
        <f t="shared" si="125"/>
        <v>999.99</v>
      </c>
      <c r="AU304" s="263">
        <f t="shared" si="105"/>
        <v>0</v>
      </c>
      <c r="AV304" s="140" t="str">
        <f>WORKSHEET_CONSTR!F301</f>
        <v>---</v>
      </c>
      <c r="AW304" s="140" t="str">
        <f>WORKSHEET_CONSTR!G301</f>
        <v>---</v>
      </c>
      <c r="AX304" s="140">
        <f t="shared" si="126"/>
        <v>999.99</v>
      </c>
      <c r="AY304" s="263">
        <f t="shared" si="106"/>
        <v>0</v>
      </c>
      <c r="AZ304" s="267" t="str">
        <f t="shared" si="107"/>
        <v>---</v>
      </c>
      <c r="BA304" s="210" t="str">
        <f t="shared" si="108"/>
        <v>---</v>
      </c>
      <c r="BB304" s="140">
        <f t="shared" si="127"/>
        <v>999.99</v>
      </c>
      <c r="BC304" s="263">
        <f t="shared" si="109"/>
        <v>1</v>
      </c>
      <c r="BD304" s="140" t="str">
        <f>WORKSHEET_CONSTR!I301</f>
        <v>---</v>
      </c>
      <c r="BE304" s="140" t="str">
        <f>WORKSHEET_CONSTR!J301</f>
        <v>---</v>
      </c>
      <c r="BF304" s="140">
        <f t="shared" si="128"/>
        <v>999.99</v>
      </c>
      <c r="BG304" s="263">
        <f t="shared" si="110"/>
        <v>1</v>
      </c>
      <c r="BH304" s="210" t="str">
        <f t="shared" ref="BH304:BI304" si="146">O361</f>
        <v>---</v>
      </c>
      <c r="BI304" s="210" t="str">
        <f t="shared" si="146"/>
        <v>---</v>
      </c>
      <c r="BJ304" s="140">
        <f t="shared" si="134"/>
        <v>999.99</v>
      </c>
      <c r="BK304" s="263">
        <f t="shared" si="111"/>
        <v>1</v>
      </c>
      <c r="BL304" s="140" t="str">
        <f>WORKSHEET_CONSTR!L301</f>
        <v>---</v>
      </c>
      <c r="BM304" s="140" t="str">
        <f>WORKSHEET_CONSTR!M301</f>
        <v>---</v>
      </c>
      <c r="BN304" s="140">
        <f t="shared" si="130"/>
        <v>999.99</v>
      </c>
      <c r="BO304" s="263">
        <f t="shared" si="112"/>
        <v>1</v>
      </c>
      <c r="BP304" s="22"/>
      <c r="BQ304" s="22"/>
      <c r="BR304" s="22"/>
      <c r="BS304" s="22"/>
      <c r="BT304" s="22"/>
      <c r="BU304" s="22"/>
    </row>
    <row r="305" spans="1:73">
      <c r="A305" s="438" t="str">
        <f t="shared" si="113"/>
        <v>---</v>
      </c>
      <c r="B305" s="294" t="str">
        <f t="shared" si="113"/>
        <v>---</v>
      </c>
      <c r="C305" s="294" t="str">
        <f>IF(A305="---","---",INPUT!C118)</f>
        <v>---</v>
      </c>
      <c r="D305" s="294" t="str">
        <f t="shared" si="86"/>
        <v>---</v>
      </c>
      <c r="E305" s="294" t="str">
        <f t="shared" si="87"/>
        <v>---</v>
      </c>
      <c r="F305" s="294" t="str">
        <f t="shared" si="114"/>
        <v>---</v>
      </c>
      <c r="G305" s="294" t="str">
        <f t="shared" si="88"/>
        <v>---</v>
      </c>
      <c r="H305" s="294" t="str">
        <f t="shared" si="89"/>
        <v>---</v>
      </c>
      <c r="I305" s="294" t="str">
        <f t="shared" si="115"/>
        <v>---</v>
      </c>
      <c r="J305" s="294" t="str">
        <f t="shared" si="90"/>
        <v>---</v>
      </c>
      <c r="K305" s="294" t="str">
        <f t="shared" si="91"/>
        <v>---</v>
      </c>
      <c r="L305" s="294" t="str">
        <f t="shared" si="92"/>
        <v>---</v>
      </c>
      <c r="M305" s="291" t="str">
        <f t="shared" si="93"/>
        <v>---</v>
      </c>
      <c r="N305" s="294" t="str">
        <f t="shared" si="94"/>
        <v>---</v>
      </c>
      <c r="O305" s="291" t="str">
        <f t="shared" si="116"/>
        <v>---</v>
      </c>
      <c r="P305" s="294" t="str">
        <f t="shared" si="95"/>
        <v>---</v>
      </c>
      <c r="Q305" s="291" t="str">
        <f t="shared" si="117"/>
        <v>---</v>
      </c>
      <c r="R305" s="294" t="str">
        <f t="shared" si="96"/>
        <v>---</v>
      </c>
      <c r="S305" s="294" t="str">
        <f t="shared" si="97"/>
        <v>---</v>
      </c>
      <c r="T305" s="291" t="str">
        <f t="shared" si="98"/>
        <v>---</v>
      </c>
      <c r="U305" s="291" t="str">
        <f t="shared" si="99"/>
        <v>---</v>
      </c>
      <c r="V305" s="294" t="str">
        <f t="shared" si="100"/>
        <v>---</v>
      </c>
      <c r="W305" s="294" t="str">
        <f t="shared" si="101"/>
        <v>---</v>
      </c>
      <c r="Y305" s="22"/>
      <c r="Z305" s="22"/>
      <c r="AA305" s="22"/>
      <c r="AB305" s="22"/>
      <c r="AC305" s="22"/>
      <c r="AD305" s="22"/>
      <c r="AE305" s="22"/>
      <c r="AF305" s="140" t="str">
        <f t="shared" si="118"/>
        <v>---</v>
      </c>
      <c r="AG305" s="140" t="str">
        <f t="shared" si="119"/>
        <v>---</v>
      </c>
      <c r="AH305" s="140">
        <f t="shared" si="120"/>
        <v>999.99</v>
      </c>
      <c r="AI305" s="263">
        <f t="shared" si="102"/>
        <v>0</v>
      </c>
      <c r="AJ305" s="140" t="str">
        <f t="shared" ref="AJ305:AK305" si="147">F362</f>
        <v>---</v>
      </c>
      <c r="AK305" s="140" t="str">
        <f t="shared" si="147"/>
        <v>---</v>
      </c>
      <c r="AL305" s="140">
        <f t="shared" si="122"/>
        <v>999.99</v>
      </c>
      <c r="AM305" s="263">
        <f t="shared" si="103"/>
        <v>0</v>
      </c>
      <c r="AN305" s="140" t="str">
        <f>WORKSHEET_CONSTR!C302</f>
        <v>---</v>
      </c>
      <c r="AO305" s="140" t="str">
        <f>WORKSHEET_CONSTR!D302</f>
        <v>---</v>
      </c>
      <c r="AP305" s="140">
        <f t="shared" si="123"/>
        <v>999.99</v>
      </c>
      <c r="AQ305" s="263">
        <f t="shared" si="104"/>
        <v>0</v>
      </c>
      <c r="AR305" s="267" t="str">
        <f t="shared" ref="AR305:AS305" si="148">I362</f>
        <v>---</v>
      </c>
      <c r="AS305" s="140" t="str">
        <f t="shared" si="148"/>
        <v>---</v>
      </c>
      <c r="AT305" s="140">
        <f t="shared" si="125"/>
        <v>999.99</v>
      </c>
      <c r="AU305" s="263">
        <f t="shared" si="105"/>
        <v>0</v>
      </c>
      <c r="AV305" s="140" t="str">
        <f>WORKSHEET_CONSTR!F302</f>
        <v>---</v>
      </c>
      <c r="AW305" s="140" t="str">
        <f>WORKSHEET_CONSTR!G302</f>
        <v>---</v>
      </c>
      <c r="AX305" s="140">
        <f t="shared" si="126"/>
        <v>999.99</v>
      </c>
      <c r="AY305" s="263">
        <f t="shared" si="106"/>
        <v>0</v>
      </c>
      <c r="AZ305" s="267" t="str">
        <f t="shared" si="107"/>
        <v>---</v>
      </c>
      <c r="BA305" s="210" t="str">
        <f t="shared" si="108"/>
        <v>---</v>
      </c>
      <c r="BB305" s="140">
        <f t="shared" si="127"/>
        <v>999.99</v>
      </c>
      <c r="BC305" s="263">
        <f t="shared" si="109"/>
        <v>1</v>
      </c>
      <c r="BD305" s="140" t="str">
        <f>WORKSHEET_CONSTR!I302</f>
        <v>---</v>
      </c>
      <c r="BE305" s="140" t="str">
        <f>WORKSHEET_CONSTR!J302</f>
        <v>---</v>
      </c>
      <c r="BF305" s="140">
        <f t="shared" si="128"/>
        <v>999.99</v>
      </c>
      <c r="BG305" s="263">
        <f t="shared" si="110"/>
        <v>1</v>
      </c>
      <c r="BH305" s="210" t="str">
        <f t="shared" ref="BH305:BI305" si="149">O362</f>
        <v>---</v>
      </c>
      <c r="BI305" s="210" t="str">
        <f t="shared" si="149"/>
        <v>---</v>
      </c>
      <c r="BJ305" s="140">
        <f t="shared" si="134"/>
        <v>999.99</v>
      </c>
      <c r="BK305" s="263">
        <f t="shared" si="111"/>
        <v>1</v>
      </c>
      <c r="BL305" s="140" t="str">
        <f>WORKSHEET_CONSTR!L302</f>
        <v>---</v>
      </c>
      <c r="BM305" s="140" t="str">
        <f>WORKSHEET_CONSTR!M302</f>
        <v>---</v>
      </c>
      <c r="BN305" s="140">
        <f t="shared" si="130"/>
        <v>999.99</v>
      </c>
      <c r="BO305" s="263">
        <f t="shared" si="112"/>
        <v>1</v>
      </c>
      <c r="BP305" s="22"/>
      <c r="BQ305" s="22"/>
      <c r="BR305" s="22"/>
      <c r="BS305" s="22"/>
      <c r="BT305" s="22"/>
      <c r="BU305" s="22"/>
    </row>
    <row r="306" spans="1:73">
      <c r="A306" s="438" t="str">
        <f t="shared" si="113"/>
        <v>---</v>
      </c>
      <c r="B306" s="294" t="str">
        <f t="shared" si="113"/>
        <v>---</v>
      </c>
      <c r="C306" s="294" t="str">
        <f>IF(A306="---","---",INPUT!C119)</f>
        <v>---</v>
      </c>
      <c r="D306" s="294" t="str">
        <f t="shared" si="86"/>
        <v>---</v>
      </c>
      <c r="E306" s="294" t="str">
        <f t="shared" si="87"/>
        <v>---</v>
      </c>
      <c r="F306" s="294" t="str">
        <f t="shared" si="114"/>
        <v>---</v>
      </c>
      <c r="G306" s="294" t="str">
        <f t="shared" si="88"/>
        <v>---</v>
      </c>
      <c r="H306" s="294" t="str">
        <f t="shared" si="89"/>
        <v>---</v>
      </c>
      <c r="I306" s="294" t="str">
        <f t="shared" si="115"/>
        <v>---</v>
      </c>
      <c r="J306" s="294" t="str">
        <f t="shared" si="90"/>
        <v>---</v>
      </c>
      <c r="K306" s="294" t="str">
        <f t="shared" si="91"/>
        <v>---</v>
      </c>
      <c r="L306" s="294" t="str">
        <f t="shared" si="92"/>
        <v>---</v>
      </c>
      <c r="M306" s="291" t="str">
        <f t="shared" si="93"/>
        <v>---</v>
      </c>
      <c r="N306" s="294" t="str">
        <f t="shared" si="94"/>
        <v>---</v>
      </c>
      <c r="O306" s="291" t="str">
        <f t="shared" si="116"/>
        <v>---</v>
      </c>
      <c r="P306" s="294" t="str">
        <f t="shared" si="95"/>
        <v>---</v>
      </c>
      <c r="Q306" s="291" t="str">
        <f t="shared" si="117"/>
        <v>---</v>
      </c>
      <c r="R306" s="294" t="str">
        <f t="shared" si="96"/>
        <v>---</v>
      </c>
      <c r="S306" s="294" t="str">
        <f t="shared" si="97"/>
        <v>---</v>
      </c>
      <c r="T306" s="291" t="str">
        <f t="shared" si="98"/>
        <v>---</v>
      </c>
      <c r="U306" s="291" t="str">
        <f t="shared" si="99"/>
        <v>---</v>
      </c>
      <c r="V306" s="294" t="str">
        <f t="shared" si="100"/>
        <v>---</v>
      </c>
      <c r="W306" s="294" t="str">
        <f t="shared" si="101"/>
        <v>---</v>
      </c>
      <c r="Y306" s="22"/>
      <c r="Z306" s="22"/>
      <c r="AA306" s="22"/>
      <c r="AB306" s="22"/>
      <c r="AC306" s="22"/>
      <c r="AD306" s="22"/>
      <c r="AE306" s="22"/>
      <c r="AF306" s="140" t="str">
        <f t="shared" si="118"/>
        <v>---</v>
      </c>
      <c r="AG306" s="140" t="str">
        <f t="shared" si="119"/>
        <v>---</v>
      </c>
      <c r="AH306" s="140">
        <f t="shared" si="120"/>
        <v>999.99</v>
      </c>
      <c r="AI306" s="263">
        <f t="shared" si="102"/>
        <v>0</v>
      </c>
      <c r="AJ306" s="140" t="str">
        <f t="shared" ref="AJ306:AK306" si="150">F363</f>
        <v>---</v>
      </c>
      <c r="AK306" s="140" t="str">
        <f t="shared" si="150"/>
        <v>---</v>
      </c>
      <c r="AL306" s="140">
        <f t="shared" si="122"/>
        <v>999.99</v>
      </c>
      <c r="AM306" s="263">
        <f t="shared" si="103"/>
        <v>0</v>
      </c>
      <c r="AN306" s="140" t="str">
        <f>WORKSHEET_CONSTR!C303</f>
        <v>---</v>
      </c>
      <c r="AO306" s="140" t="str">
        <f>WORKSHEET_CONSTR!D303</f>
        <v>---</v>
      </c>
      <c r="AP306" s="140">
        <f t="shared" si="123"/>
        <v>999.99</v>
      </c>
      <c r="AQ306" s="263">
        <f t="shared" si="104"/>
        <v>0</v>
      </c>
      <c r="AR306" s="267" t="str">
        <f t="shared" ref="AR306:AS306" si="151">I363</f>
        <v>---</v>
      </c>
      <c r="AS306" s="140" t="str">
        <f t="shared" si="151"/>
        <v>---</v>
      </c>
      <c r="AT306" s="140">
        <f t="shared" si="125"/>
        <v>999.99</v>
      </c>
      <c r="AU306" s="263">
        <f t="shared" si="105"/>
        <v>0</v>
      </c>
      <c r="AV306" s="140" t="str">
        <f>WORKSHEET_CONSTR!F303</f>
        <v>---</v>
      </c>
      <c r="AW306" s="140" t="str">
        <f>WORKSHEET_CONSTR!G303</f>
        <v>---</v>
      </c>
      <c r="AX306" s="140">
        <f t="shared" si="126"/>
        <v>999.99</v>
      </c>
      <c r="AY306" s="263">
        <f t="shared" si="106"/>
        <v>0</v>
      </c>
      <c r="AZ306" s="267" t="str">
        <f t="shared" si="107"/>
        <v>---</v>
      </c>
      <c r="BA306" s="210" t="str">
        <f t="shared" si="108"/>
        <v>---</v>
      </c>
      <c r="BB306" s="140">
        <f t="shared" si="127"/>
        <v>999.99</v>
      </c>
      <c r="BC306" s="263">
        <f t="shared" si="109"/>
        <v>1</v>
      </c>
      <c r="BD306" s="140" t="str">
        <f>WORKSHEET_CONSTR!I303</f>
        <v>---</v>
      </c>
      <c r="BE306" s="140" t="str">
        <f>WORKSHEET_CONSTR!J303</f>
        <v>---</v>
      </c>
      <c r="BF306" s="140">
        <f t="shared" si="128"/>
        <v>999.99</v>
      </c>
      <c r="BG306" s="263">
        <f t="shared" si="110"/>
        <v>1</v>
      </c>
      <c r="BH306" s="210" t="str">
        <f t="shared" ref="BH306:BI306" si="152">O363</f>
        <v>---</v>
      </c>
      <c r="BI306" s="210" t="str">
        <f t="shared" si="152"/>
        <v>---</v>
      </c>
      <c r="BJ306" s="140">
        <f t="shared" si="134"/>
        <v>999.99</v>
      </c>
      <c r="BK306" s="263">
        <f t="shared" si="111"/>
        <v>1</v>
      </c>
      <c r="BL306" s="140" t="str">
        <f>WORKSHEET_CONSTR!L303</f>
        <v>---</v>
      </c>
      <c r="BM306" s="140" t="str">
        <f>WORKSHEET_CONSTR!M303</f>
        <v>---</v>
      </c>
      <c r="BN306" s="140">
        <f t="shared" si="130"/>
        <v>999.99</v>
      </c>
      <c r="BO306" s="263">
        <f t="shared" si="112"/>
        <v>1</v>
      </c>
      <c r="BP306" s="22"/>
      <c r="BQ306" s="22"/>
      <c r="BR306" s="22"/>
      <c r="BS306" s="22"/>
      <c r="BT306" s="22"/>
      <c r="BU306" s="22"/>
    </row>
    <row r="307" spans="1:73">
      <c r="A307" s="438" t="str">
        <f t="shared" si="113"/>
        <v>---</v>
      </c>
      <c r="B307" s="294" t="str">
        <f t="shared" si="113"/>
        <v>---</v>
      </c>
      <c r="C307" s="294" t="str">
        <f>IF(A307="---","---",INPUT!C120)</f>
        <v>---</v>
      </c>
      <c r="D307" s="294" t="str">
        <f t="shared" si="86"/>
        <v>---</v>
      </c>
      <c r="E307" s="294" t="str">
        <f t="shared" si="87"/>
        <v>---</v>
      </c>
      <c r="F307" s="294" t="str">
        <f t="shared" si="114"/>
        <v>---</v>
      </c>
      <c r="G307" s="294" t="str">
        <f t="shared" si="88"/>
        <v>---</v>
      </c>
      <c r="H307" s="294" t="str">
        <f t="shared" si="89"/>
        <v>---</v>
      </c>
      <c r="I307" s="294" t="str">
        <f t="shared" si="115"/>
        <v>---</v>
      </c>
      <c r="J307" s="294" t="str">
        <f t="shared" si="90"/>
        <v>---</v>
      </c>
      <c r="K307" s="294" t="str">
        <f t="shared" si="91"/>
        <v>---</v>
      </c>
      <c r="L307" s="294" t="str">
        <f t="shared" si="92"/>
        <v>---</v>
      </c>
      <c r="M307" s="291" t="str">
        <f t="shared" si="93"/>
        <v>---</v>
      </c>
      <c r="N307" s="294" t="str">
        <f t="shared" si="94"/>
        <v>---</v>
      </c>
      <c r="O307" s="291" t="str">
        <f t="shared" si="116"/>
        <v>---</v>
      </c>
      <c r="P307" s="294" t="str">
        <f t="shared" si="95"/>
        <v>---</v>
      </c>
      <c r="Q307" s="291" t="str">
        <f t="shared" si="117"/>
        <v>---</v>
      </c>
      <c r="R307" s="294" t="str">
        <f t="shared" si="96"/>
        <v>---</v>
      </c>
      <c r="S307" s="294" t="str">
        <f t="shared" si="97"/>
        <v>---</v>
      </c>
      <c r="T307" s="291" t="str">
        <f t="shared" si="98"/>
        <v>---</v>
      </c>
      <c r="U307" s="291" t="str">
        <f t="shared" si="99"/>
        <v>---</v>
      </c>
      <c r="V307" s="294" t="str">
        <f t="shared" si="100"/>
        <v>---</v>
      </c>
      <c r="W307" s="294" t="str">
        <f t="shared" si="101"/>
        <v>---</v>
      </c>
      <c r="Y307" s="22"/>
      <c r="Z307" s="22"/>
      <c r="AA307" s="22"/>
      <c r="AB307" s="22"/>
      <c r="AC307" s="22"/>
      <c r="AD307" s="22"/>
      <c r="AE307" s="22"/>
      <c r="AF307" s="140" t="str">
        <f t="shared" si="118"/>
        <v>---</v>
      </c>
      <c r="AG307" s="140" t="str">
        <f t="shared" si="119"/>
        <v>---</v>
      </c>
      <c r="AH307" s="140">
        <f t="shared" si="120"/>
        <v>999.99</v>
      </c>
      <c r="AI307" s="263">
        <f t="shared" si="102"/>
        <v>0</v>
      </c>
      <c r="AJ307" s="140" t="str">
        <f t="shared" ref="AJ307:AK307" si="153">F364</f>
        <v>---</v>
      </c>
      <c r="AK307" s="140" t="str">
        <f t="shared" si="153"/>
        <v>---</v>
      </c>
      <c r="AL307" s="140">
        <f t="shared" si="122"/>
        <v>999.99</v>
      </c>
      <c r="AM307" s="263">
        <f t="shared" si="103"/>
        <v>0</v>
      </c>
      <c r="AN307" s="140" t="str">
        <f>WORKSHEET_CONSTR!C304</f>
        <v>---</v>
      </c>
      <c r="AO307" s="140" t="str">
        <f>WORKSHEET_CONSTR!D304</f>
        <v>---</v>
      </c>
      <c r="AP307" s="140">
        <f t="shared" si="123"/>
        <v>999.99</v>
      </c>
      <c r="AQ307" s="263">
        <f t="shared" si="104"/>
        <v>0</v>
      </c>
      <c r="AR307" s="267" t="str">
        <f t="shared" ref="AR307:AS307" si="154">I364</f>
        <v>---</v>
      </c>
      <c r="AS307" s="140" t="str">
        <f t="shared" si="154"/>
        <v>---</v>
      </c>
      <c r="AT307" s="140">
        <f t="shared" si="125"/>
        <v>999.99</v>
      </c>
      <c r="AU307" s="263">
        <f t="shared" si="105"/>
        <v>0</v>
      </c>
      <c r="AV307" s="140" t="str">
        <f>WORKSHEET_CONSTR!F304</f>
        <v>---</v>
      </c>
      <c r="AW307" s="140" t="str">
        <f>WORKSHEET_CONSTR!G304</f>
        <v>---</v>
      </c>
      <c r="AX307" s="140">
        <f t="shared" si="126"/>
        <v>999.99</v>
      </c>
      <c r="AY307" s="263">
        <f t="shared" si="106"/>
        <v>0</v>
      </c>
      <c r="AZ307" s="267" t="str">
        <f t="shared" si="107"/>
        <v>---</v>
      </c>
      <c r="BA307" s="210" t="str">
        <f t="shared" si="108"/>
        <v>---</v>
      </c>
      <c r="BB307" s="140">
        <f t="shared" si="127"/>
        <v>999.99</v>
      </c>
      <c r="BC307" s="263">
        <f t="shared" si="109"/>
        <v>1</v>
      </c>
      <c r="BD307" s="140" t="str">
        <f>WORKSHEET_CONSTR!I304</f>
        <v>---</v>
      </c>
      <c r="BE307" s="140" t="str">
        <f>WORKSHEET_CONSTR!J304</f>
        <v>---</v>
      </c>
      <c r="BF307" s="140">
        <f t="shared" si="128"/>
        <v>999.99</v>
      </c>
      <c r="BG307" s="263">
        <f t="shared" si="110"/>
        <v>1</v>
      </c>
      <c r="BH307" s="210" t="str">
        <f t="shared" ref="BH307:BI307" si="155">O364</f>
        <v>---</v>
      </c>
      <c r="BI307" s="210" t="str">
        <f t="shared" si="155"/>
        <v>---</v>
      </c>
      <c r="BJ307" s="140">
        <f t="shared" si="134"/>
        <v>999.99</v>
      </c>
      <c r="BK307" s="263">
        <f t="shared" si="111"/>
        <v>1</v>
      </c>
      <c r="BL307" s="140" t="str">
        <f>WORKSHEET_CONSTR!L304</f>
        <v>---</v>
      </c>
      <c r="BM307" s="140" t="str">
        <f>WORKSHEET_CONSTR!M304</f>
        <v>---</v>
      </c>
      <c r="BN307" s="140">
        <f t="shared" si="130"/>
        <v>999.99</v>
      </c>
      <c r="BO307" s="263">
        <f t="shared" si="112"/>
        <v>1</v>
      </c>
      <c r="BP307" s="22"/>
      <c r="BQ307" s="22"/>
      <c r="BR307" s="22"/>
      <c r="BS307" s="22"/>
      <c r="BT307" s="22"/>
      <c r="BU307" s="22"/>
    </row>
    <row r="308" spans="1:73">
      <c r="A308" s="438" t="str">
        <f t="shared" si="113"/>
        <v>---</v>
      </c>
      <c r="B308" s="294" t="str">
        <f t="shared" si="113"/>
        <v>---</v>
      </c>
      <c r="C308" s="294" t="str">
        <f>IF(A308="---","---",INPUT!C121)</f>
        <v>---</v>
      </c>
      <c r="D308" s="294" t="str">
        <f t="shared" si="86"/>
        <v>---</v>
      </c>
      <c r="E308" s="294" t="str">
        <f t="shared" si="87"/>
        <v>---</v>
      </c>
      <c r="F308" s="294" t="str">
        <f t="shared" si="114"/>
        <v>---</v>
      </c>
      <c r="G308" s="294" t="str">
        <f t="shared" si="88"/>
        <v>---</v>
      </c>
      <c r="H308" s="294" t="str">
        <f t="shared" si="89"/>
        <v>---</v>
      </c>
      <c r="I308" s="294" t="str">
        <f t="shared" si="115"/>
        <v>---</v>
      </c>
      <c r="J308" s="294" t="str">
        <f t="shared" si="90"/>
        <v>---</v>
      </c>
      <c r="K308" s="294" t="str">
        <f t="shared" si="91"/>
        <v>---</v>
      </c>
      <c r="L308" s="294" t="str">
        <f t="shared" si="92"/>
        <v>---</v>
      </c>
      <c r="M308" s="291" t="str">
        <f t="shared" si="93"/>
        <v>---</v>
      </c>
      <c r="N308" s="294" t="str">
        <f t="shared" si="94"/>
        <v>---</v>
      </c>
      <c r="O308" s="291" t="str">
        <f t="shared" si="116"/>
        <v>---</v>
      </c>
      <c r="P308" s="294" t="str">
        <f t="shared" si="95"/>
        <v>---</v>
      </c>
      <c r="Q308" s="291" t="str">
        <f t="shared" si="117"/>
        <v>---</v>
      </c>
      <c r="R308" s="294" t="str">
        <f t="shared" si="96"/>
        <v>---</v>
      </c>
      <c r="S308" s="294" t="str">
        <f t="shared" si="97"/>
        <v>---</v>
      </c>
      <c r="T308" s="291" t="str">
        <f t="shared" si="98"/>
        <v>---</v>
      </c>
      <c r="U308" s="291" t="str">
        <f t="shared" si="99"/>
        <v>---</v>
      </c>
      <c r="V308" s="294" t="str">
        <f t="shared" si="100"/>
        <v>---</v>
      </c>
      <c r="W308" s="294" t="str">
        <f t="shared" si="101"/>
        <v>---</v>
      </c>
      <c r="Y308" s="22"/>
      <c r="Z308" s="22"/>
      <c r="AA308" s="22"/>
      <c r="AB308" s="22"/>
      <c r="AC308" s="22"/>
      <c r="AD308" s="22"/>
      <c r="AE308" s="22"/>
      <c r="AF308" s="140" t="str">
        <f t="shared" si="118"/>
        <v>---</v>
      </c>
      <c r="AG308" s="140" t="str">
        <f t="shared" si="119"/>
        <v>---</v>
      </c>
      <c r="AH308" s="140">
        <f t="shared" si="120"/>
        <v>999.99</v>
      </c>
      <c r="AI308" s="263">
        <f t="shared" si="102"/>
        <v>0</v>
      </c>
      <c r="AJ308" s="140" t="str">
        <f t="shared" ref="AJ308:AK308" si="156">F365</f>
        <v>---</v>
      </c>
      <c r="AK308" s="140" t="str">
        <f t="shared" si="156"/>
        <v>---</v>
      </c>
      <c r="AL308" s="140">
        <f t="shared" si="122"/>
        <v>999.99</v>
      </c>
      <c r="AM308" s="263">
        <f t="shared" si="103"/>
        <v>0</v>
      </c>
      <c r="AN308" s="140" t="str">
        <f>WORKSHEET_CONSTR!C305</f>
        <v>---</v>
      </c>
      <c r="AO308" s="140" t="str">
        <f>WORKSHEET_CONSTR!D305</f>
        <v>---</v>
      </c>
      <c r="AP308" s="140">
        <f t="shared" si="123"/>
        <v>999.99</v>
      </c>
      <c r="AQ308" s="263">
        <f t="shared" si="104"/>
        <v>0</v>
      </c>
      <c r="AR308" s="267" t="str">
        <f t="shared" ref="AR308:AS308" si="157">I365</f>
        <v>---</v>
      </c>
      <c r="AS308" s="140" t="str">
        <f t="shared" si="157"/>
        <v>---</v>
      </c>
      <c r="AT308" s="140">
        <f t="shared" si="125"/>
        <v>999.99</v>
      </c>
      <c r="AU308" s="263">
        <f t="shared" si="105"/>
        <v>0</v>
      </c>
      <c r="AV308" s="140" t="str">
        <f>WORKSHEET_CONSTR!F305</f>
        <v>---</v>
      </c>
      <c r="AW308" s="140" t="str">
        <f>WORKSHEET_CONSTR!G305</f>
        <v>---</v>
      </c>
      <c r="AX308" s="140">
        <f t="shared" si="126"/>
        <v>999.99</v>
      </c>
      <c r="AY308" s="263">
        <f t="shared" si="106"/>
        <v>0</v>
      </c>
      <c r="AZ308" s="267" t="str">
        <f t="shared" si="107"/>
        <v>---</v>
      </c>
      <c r="BA308" s="210" t="str">
        <f t="shared" si="108"/>
        <v>---</v>
      </c>
      <c r="BB308" s="140">
        <f t="shared" si="127"/>
        <v>999.99</v>
      </c>
      <c r="BC308" s="263">
        <f t="shared" si="109"/>
        <v>1</v>
      </c>
      <c r="BD308" s="140" t="str">
        <f>WORKSHEET_CONSTR!I305</f>
        <v>---</v>
      </c>
      <c r="BE308" s="140" t="str">
        <f>WORKSHEET_CONSTR!J305</f>
        <v>---</v>
      </c>
      <c r="BF308" s="140">
        <f t="shared" si="128"/>
        <v>999.99</v>
      </c>
      <c r="BG308" s="263">
        <f t="shared" si="110"/>
        <v>1</v>
      </c>
      <c r="BH308" s="210" t="str">
        <f t="shared" ref="BH308:BI308" si="158">O365</f>
        <v>---</v>
      </c>
      <c r="BI308" s="210" t="str">
        <f t="shared" si="158"/>
        <v>---</v>
      </c>
      <c r="BJ308" s="140">
        <f t="shared" si="134"/>
        <v>999.99</v>
      </c>
      <c r="BK308" s="263">
        <f t="shared" si="111"/>
        <v>1</v>
      </c>
      <c r="BL308" s="140" t="str">
        <f>WORKSHEET_CONSTR!L305</f>
        <v>---</v>
      </c>
      <c r="BM308" s="140" t="str">
        <f>WORKSHEET_CONSTR!M305</f>
        <v>---</v>
      </c>
      <c r="BN308" s="140">
        <f t="shared" si="130"/>
        <v>999.99</v>
      </c>
      <c r="BO308" s="263">
        <f t="shared" si="112"/>
        <v>1</v>
      </c>
      <c r="BP308" s="22"/>
      <c r="BQ308" s="22"/>
      <c r="BR308" s="22"/>
      <c r="BS308" s="22"/>
      <c r="BT308" s="22"/>
      <c r="BU308" s="22"/>
    </row>
    <row r="309" spans="1:73">
      <c r="A309" s="438" t="str">
        <f t="shared" si="113"/>
        <v>---</v>
      </c>
      <c r="B309" s="294" t="str">
        <f t="shared" si="113"/>
        <v>---</v>
      </c>
      <c r="C309" s="294" t="str">
        <f>IF(A309="---","---",INPUT!C122)</f>
        <v>---</v>
      </c>
      <c r="D309" s="294" t="str">
        <f t="shared" si="86"/>
        <v>---</v>
      </c>
      <c r="E309" s="294" t="str">
        <f t="shared" si="87"/>
        <v>---</v>
      </c>
      <c r="F309" s="294" t="str">
        <f t="shared" si="114"/>
        <v>---</v>
      </c>
      <c r="G309" s="294" t="str">
        <f t="shared" si="88"/>
        <v>---</v>
      </c>
      <c r="H309" s="294" t="str">
        <f t="shared" si="89"/>
        <v>---</v>
      </c>
      <c r="I309" s="294" t="str">
        <f t="shared" si="115"/>
        <v>---</v>
      </c>
      <c r="J309" s="294" t="str">
        <f t="shared" si="90"/>
        <v>---</v>
      </c>
      <c r="K309" s="294" t="str">
        <f t="shared" si="91"/>
        <v>---</v>
      </c>
      <c r="L309" s="294" t="str">
        <f t="shared" si="92"/>
        <v>---</v>
      </c>
      <c r="M309" s="291" t="str">
        <f t="shared" si="93"/>
        <v>---</v>
      </c>
      <c r="N309" s="294" t="str">
        <f t="shared" si="94"/>
        <v>---</v>
      </c>
      <c r="O309" s="291" t="str">
        <f t="shared" si="116"/>
        <v>---</v>
      </c>
      <c r="P309" s="294" t="str">
        <f t="shared" si="95"/>
        <v>---</v>
      </c>
      <c r="Q309" s="291" t="str">
        <f t="shared" si="117"/>
        <v>---</v>
      </c>
      <c r="R309" s="294" t="str">
        <f t="shared" si="96"/>
        <v>---</v>
      </c>
      <c r="S309" s="294" t="str">
        <f t="shared" si="97"/>
        <v>---</v>
      </c>
      <c r="T309" s="291" t="str">
        <f t="shared" si="98"/>
        <v>---</v>
      </c>
      <c r="U309" s="291" t="str">
        <f t="shared" si="99"/>
        <v>---</v>
      </c>
      <c r="V309" s="294" t="str">
        <f t="shared" si="100"/>
        <v>---</v>
      </c>
      <c r="W309" s="294" t="str">
        <f t="shared" si="101"/>
        <v>---</v>
      </c>
      <c r="Y309" s="22"/>
      <c r="Z309" s="22"/>
      <c r="AA309" s="22"/>
      <c r="AB309" s="22"/>
      <c r="AC309" s="22"/>
      <c r="AD309" s="22"/>
      <c r="AE309" s="22"/>
      <c r="AF309" s="140" t="str">
        <f t="shared" si="118"/>
        <v>---</v>
      </c>
      <c r="AG309" s="140" t="str">
        <f t="shared" si="119"/>
        <v>---</v>
      </c>
      <c r="AH309" s="140">
        <f t="shared" si="120"/>
        <v>999.99</v>
      </c>
      <c r="AI309" s="263">
        <f t="shared" si="102"/>
        <v>0</v>
      </c>
      <c r="AJ309" s="140" t="str">
        <f t="shared" ref="AJ309:AK309" si="159">F366</f>
        <v>---</v>
      </c>
      <c r="AK309" s="140" t="str">
        <f t="shared" si="159"/>
        <v>---</v>
      </c>
      <c r="AL309" s="140">
        <f t="shared" si="122"/>
        <v>999.99</v>
      </c>
      <c r="AM309" s="263">
        <f t="shared" si="103"/>
        <v>0</v>
      </c>
      <c r="AN309" s="140" t="str">
        <f>WORKSHEET_CONSTR!C306</f>
        <v>---</v>
      </c>
      <c r="AO309" s="140" t="str">
        <f>WORKSHEET_CONSTR!D306</f>
        <v>---</v>
      </c>
      <c r="AP309" s="140">
        <f t="shared" si="123"/>
        <v>999.99</v>
      </c>
      <c r="AQ309" s="263">
        <f t="shared" si="104"/>
        <v>0</v>
      </c>
      <c r="AR309" s="267" t="str">
        <f t="shared" ref="AR309:AS309" si="160">I366</f>
        <v>---</v>
      </c>
      <c r="AS309" s="140" t="str">
        <f t="shared" si="160"/>
        <v>---</v>
      </c>
      <c r="AT309" s="140">
        <f t="shared" si="125"/>
        <v>999.99</v>
      </c>
      <c r="AU309" s="263">
        <f t="shared" si="105"/>
        <v>0</v>
      </c>
      <c r="AV309" s="140" t="str">
        <f>WORKSHEET_CONSTR!F306</f>
        <v>---</v>
      </c>
      <c r="AW309" s="140" t="str">
        <f>WORKSHEET_CONSTR!G306</f>
        <v>---</v>
      </c>
      <c r="AX309" s="140">
        <f t="shared" si="126"/>
        <v>999.99</v>
      </c>
      <c r="AY309" s="263">
        <f t="shared" si="106"/>
        <v>0</v>
      </c>
      <c r="AZ309" s="267" t="str">
        <f t="shared" si="107"/>
        <v>---</v>
      </c>
      <c r="BA309" s="210" t="str">
        <f t="shared" si="108"/>
        <v>---</v>
      </c>
      <c r="BB309" s="140">
        <f t="shared" si="127"/>
        <v>999.99</v>
      </c>
      <c r="BC309" s="263">
        <f t="shared" si="109"/>
        <v>1</v>
      </c>
      <c r="BD309" s="140" t="str">
        <f>WORKSHEET_CONSTR!I306</f>
        <v>---</v>
      </c>
      <c r="BE309" s="140" t="str">
        <f>WORKSHEET_CONSTR!J306</f>
        <v>---</v>
      </c>
      <c r="BF309" s="140">
        <f t="shared" si="128"/>
        <v>999.99</v>
      </c>
      <c r="BG309" s="263">
        <f t="shared" si="110"/>
        <v>1</v>
      </c>
      <c r="BH309" s="210" t="str">
        <f t="shared" ref="BH309:BI309" si="161">O366</f>
        <v>---</v>
      </c>
      <c r="BI309" s="210" t="str">
        <f t="shared" si="161"/>
        <v>---</v>
      </c>
      <c r="BJ309" s="140">
        <f t="shared" si="134"/>
        <v>999.99</v>
      </c>
      <c r="BK309" s="263">
        <f t="shared" si="111"/>
        <v>1</v>
      </c>
      <c r="BL309" s="140" t="str">
        <f>WORKSHEET_CONSTR!L306</f>
        <v>---</v>
      </c>
      <c r="BM309" s="140" t="str">
        <f>WORKSHEET_CONSTR!M306</f>
        <v>---</v>
      </c>
      <c r="BN309" s="140">
        <f t="shared" si="130"/>
        <v>999.99</v>
      </c>
      <c r="BO309" s="263">
        <f t="shared" si="112"/>
        <v>1</v>
      </c>
      <c r="BP309" s="22"/>
      <c r="BQ309" s="22"/>
      <c r="BR309" s="22"/>
      <c r="BS309" s="22"/>
      <c r="BT309" s="22"/>
      <c r="BU309" s="22"/>
    </row>
    <row r="310" spans="1:73">
      <c r="A310" s="438" t="str">
        <f t="shared" si="113"/>
        <v>---</v>
      </c>
      <c r="B310" s="294" t="str">
        <f t="shared" si="113"/>
        <v>---</v>
      </c>
      <c r="C310" s="294" t="str">
        <f>IF(A310="---","---",INPUT!C123)</f>
        <v>---</v>
      </c>
      <c r="D310" s="294" t="str">
        <f t="shared" si="86"/>
        <v>---</v>
      </c>
      <c r="E310" s="294" t="str">
        <f t="shared" si="87"/>
        <v>---</v>
      </c>
      <c r="F310" s="294" t="str">
        <f t="shared" si="114"/>
        <v>---</v>
      </c>
      <c r="G310" s="294" t="str">
        <f t="shared" si="88"/>
        <v>---</v>
      </c>
      <c r="H310" s="294" t="str">
        <f t="shared" si="89"/>
        <v>---</v>
      </c>
      <c r="I310" s="294" t="str">
        <f t="shared" si="115"/>
        <v>---</v>
      </c>
      <c r="J310" s="294" t="str">
        <f t="shared" si="90"/>
        <v>---</v>
      </c>
      <c r="K310" s="294" t="str">
        <f t="shared" si="91"/>
        <v>---</v>
      </c>
      <c r="L310" s="294" t="str">
        <f t="shared" si="92"/>
        <v>---</v>
      </c>
      <c r="M310" s="291" t="str">
        <f t="shared" si="93"/>
        <v>---</v>
      </c>
      <c r="N310" s="294" t="str">
        <f t="shared" si="94"/>
        <v>---</v>
      </c>
      <c r="O310" s="291" t="str">
        <f t="shared" si="116"/>
        <v>---</v>
      </c>
      <c r="P310" s="294" t="str">
        <f t="shared" si="95"/>
        <v>---</v>
      </c>
      <c r="Q310" s="291" t="str">
        <f t="shared" si="117"/>
        <v>---</v>
      </c>
      <c r="R310" s="294" t="str">
        <f t="shared" si="96"/>
        <v>---</v>
      </c>
      <c r="S310" s="294" t="str">
        <f t="shared" si="97"/>
        <v>---</v>
      </c>
      <c r="T310" s="291" t="str">
        <f t="shared" si="98"/>
        <v>---</v>
      </c>
      <c r="U310" s="291" t="str">
        <f t="shared" si="99"/>
        <v>---</v>
      </c>
      <c r="V310" s="294" t="str">
        <f t="shared" si="100"/>
        <v>---</v>
      </c>
      <c r="W310" s="294" t="str">
        <f t="shared" si="101"/>
        <v>---</v>
      </c>
      <c r="Y310" s="22"/>
      <c r="Z310" s="22"/>
      <c r="AA310" s="22"/>
      <c r="AB310" s="22"/>
      <c r="AC310" s="22"/>
      <c r="AD310" s="22"/>
      <c r="AE310" s="22"/>
      <c r="AF310" s="140" t="str">
        <f t="shared" si="118"/>
        <v>---</v>
      </c>
      <c r="AG310" s="140" t="str">
        <f t="shared" si="119"/>
        <v>---</v>
      </c>
      <c r="AH310" s="140">
        <f t="shared" si="120"/>
        <v>999.99</v>
      </c>
      <c r="AI310" s="263">
        <f t="shared" si="102"/>
        <v>0</v>
      </c>
      <c r="AJ310" s="140" t="str">
        <f t="shared" ref="AJ310:AK310" si="162">F367</f>
        <v>---</v>
      </c>
      <c r="AK310" s="140" t="str">
        <f t="shared" si="162"/>
        <v>---</v>
      </c>
      <c r="AL310" s="140">
        <f t="shared" si="122"/>
        <v>999.99</v>
      </c>
      <c r="AM310" s="263">
        <f t="shared" si="103"/>
        <v>0</v>
      </c>
      <c r="AN310" s="140" t="str">
        <f>WORKSHEET_CONSTR!C307</f>
        <v>---</v>
      </c>
      <c r="AO310" s="140" t="str">
        <f>WORKSHEET_CONSTR!D307</f>
        <v>---</v>
      </c>
      <c r="AP310" s="140">
        <f t="shared" si="123"/>
        <v>999.99</v>
      </c>
      <c r="AQ310" s="263">
        <f t="shared" si="104"/>
        <v>0</v>
      </c>
      <c r="AR310" s="267" t="str">
        <f t="shared" ref="AR310:AS310" si="163">I367</f>
        <v>---</v>
      </c>
      <c r="AS310" s="140" t="str">
        <f t="shared" si="163"/>
        <v>---</v>
      </c>
      <c r="AT310" s="140">
        <f t="shared" si="125"/>
        <v>999.99</v>
      </c>
      <c r="AU310" s="263">
        <f t="shared" si="105"/>
        <v>0</v>
      </c>
      <c r="AV310" s="140" t="str">
        <f>WORKSHEET_CONSTR!F307</f>
        <v>---</v>
      </c>
      <c r="AW310" s="140" t="str">
        <f>WORKSHEET_CONSTR!G307</f>
        <v>---</v>
      </c>
      <c r="AX310" s="140">
        <f t="shared" si="126"/>
        <v>999.99</v>
      </c>
      <c r="AY310" s="263">
        <f t="shared" si="106"/>
        <v>0</v>
      </c>
      <c r="AZ310" s="267" t="str">
        <f t="shared" si="107"/>
        <v>---</v>
      </c>
      <c r="BA310" s="210" t="str">
        <f t="shared" si="108"/>
        <v>---</v>
      </c>
      <c r="BB310" s="140">
        <f t="shared" si="127"/>
        <v>999.99</v>
      </c>
      <c r="BC310" s="263">
        <f t="shared" si="109"/>
        <v>1</v>
      </c>
      <c r="BD310" s="140" t="str">
        <f>WORKSHEET_CONSTR!I307</f>
        <v>---</v>
      </c>
      <c r="BE310" s="140" t="str">
        <f>WORKSHEET_CONSTR!J307</f>
        <v>---</v>
      </c>
      <c r="BF310" s="140">
        <f t="shared" si="128"/>
        <v>999.99</v>
      </c>
      <c r="BG310" s="263">
        <f t="shared" si="110"/>
        <v>1</v>
      </c>
      <c r="BH310" s="210" t="str">
        <f t="shared" ref="BH310:BI310" si="164">O367</f>
        <v>---</v>
      </c>
      <c r="BI310" s="210" t="str">
        <f t="shared" si="164"/>
        <v>---</v>
      </c>
      <c r="BJ310" s="140">
        <f t="shared" si="134"/>
        <v>999.99</v>
      </c>
      <c r="BK310" s="263">
        <f t="shared" si="111"/>
        <v>1</v>
      </c>
      <c r="BL310" s="140" t="str">
        <f>WORKSHEET_CONSTR!L307</f>
        <v>---</v>
      </c>
      <c r="BM310" s="140" t="str">
        <f>WORKSHEET_CONSTR!M307</f>
        <v>---</v>
      </c>
      <c r="BN310" s="140">
        <f t="shared" si="130"/>
        <v>999.99</v>
      </c>
      <c r="BO310" s="263">
        <f t="shared" si="112"/>
        <v>1</v>
      </c>
      <c r="BP310" s="22"/>
      <c r="BQ310" s="22"/>
      <c r="BR310" s="22"/>
      <c r="BS310" s="22"/>
      <c r="BT310" s="22"/>
      <c r="BU310" s="22"/>
    </row>
    <row r="311" spans="1:73">
      <c r="A311" s="438" t="str">
        <f t="shared" si="113"/>
        <v>---</v>
      </c>
      <c r="B311" s="294" t="str">
        <f t="shared" si="113"/>
        <v>---</v>
      </c>
      <c r="C311" s="294" t="str">
        <f>IF(A311="---","---",INPUT!C124)</f>
        <v>---</v>
      </c>
      <c r="D311" s="294" t="str">
        <f t="shared" si="86"/>
        <v>---</v>
      </c>
      <c r="E311" s="294" t="str">
        <f t="shared" si="87"/>
        <v>---</v>
      </c>
      <c r="F311" s="294" t="str">
        <f t="shared" si="114"/>
        <v>---</v>
      </c>
      <c r="G311" s="294" t="str">
        <f t="shared" si="88"/>
        <v>---</v>
      </c>
      <c r="H311" s="294" t="str">
        <f t="shared" si="89"/>
        <v>---</v>
      </c>
      <c r="I311" s="294" t="str">
        <f t="shared" si="115"/>
        <v>---</v>
      </c>
      <c r="J311" s="294" t="str">
        <f t="shared" si="90"/>
        <v>---</v>
      </c>
      <c r="K311" s="294" t="str">
        <f t="shared" si="91"/>
        <v>---</v>
      </c>
      <c r="L311" s="294" t="str">
        <f t="shared" si="92"/>
        <v>---</v>
      </c>
      <c r="M311" s="291" t="str">
        <f t="shared" si="93"/>
        <v>---</v>
      </c>
      <c r="N311" s="294" t="str">
        <f t="shared" si="94"/>
        <v>---</v>
      </c>
      <c r="O311" s="291" t="str">
        <f t="shared" si="116"/>
        <v>---</v>
      </c>
      <c r="P311" s="294" t="str">
        <f t="shared" si="95"/>
        <v>---</v>
      </c>
      <c r="Q311" s="291" t="str">
        <f t="shared" si="117"/>
        <v>---</v>
      </c>
      <c r="R311" s="294" t="str">
        <f t="shared" si="96"/>
        <v>---</v>
      </c>
      <c r="S311" s="294" t="str">
        <f t="shared" si="97"/>
        <v>---</v>
      </c>
      <c r="T311" s="291" t="str">
        <f t="shared" si="98"/>
        <v>---</v>
      </c>
      <c r="U311" s="291" t="str">
        <f t="shared" si="99"/>
        <v>---</v>
      </c>
      <c r="V311" s="294" t="str">
        <f t="shared" si="100"/>
        <v>---</v>
      </c>
      <c r="W311" s="294" t="str">
        <f t="shared" si="101"/>
        <v>---</v>
      </c>
      <c r="Y311" s="22"/>
      <c r="Z311" s="22"/>
      <c r="AA311" s="22"/>
      <c r="AB311" s="22"/>
      <c r="AC311" s="22"/>
      <c r="AD311" s="22"/>
      <c r="AE311" s="22"/>
      <c r="AF311" s="140" t="str">
        <f t="shared" si="118"/>
        <v>---</v>
      </c>
      <c r="AG311" s="140" t="str">
        <f t="shared" si="119"/>
        <v>---</v>
      </c>
      <c r="AH311" s="140">
        <f t="shared" si="120"/>
        <v>999.99</v>
      </c>
      <c r="AI311" s="263">
        <f t="shared" si="102"/>
        <v>0</v>
      </c>
      <c r="AJ311" s="140" t="str">
        <f t="shared" ref="AJ311:AK311" si="165">F368</f>
        <v>---</v>
      </c>
      <c r="AK311" s="140" t="str">
        <f t="shared" si="165"/>
        <v>---</v>
      </c>
      <c r="AL311" s="140">
        <f t="shared" si="122"/>
        <v>999.99</v>
      </c>
      <c r="AM311" s="263">
        <f t="shared" si="103"/>
        <v>0</v>
      </c>
      <c r="AN311" s="140" t="str">
        <f>WORKSHEET_CONSTR!C308</f>
        <v>---</v>
      </c>
      <c r="AO311" s="140" t="str">
        <f>WORKSHEET_CONSTR!D308</f>
        <v>---</v>
      </c>
      <c r="AP311" s="140">
        <f t="shared" si="123"/>
        <v>999.99</v>
      </c>
      <c r="AQ311" s="263">
        <f t="shared" si="104"/>
        <v>0</v>
      </c>
      <c r="AR311" s="267" t="str">
        <f t="shared" ref="AR311:AS311" si="166">I368</f>
        <v>---</v>
      </c>
      <c r="AS311" s="140" t="str">
        <f t="shared" si="166"/>
        <v>---</v>
      </c>
      <c r="AT311" s="140">
        <f t="shared" si="125"/>
        <v>999.99</v>
      </c>
      <c r="AU311" s="263">
        <f t="shared" si="105"/>
        <v>0</v>
      </c>
      <c r="AV311" s="140" t="str">
        <f>WORKSHEET_CONSTR!F308</f>
        <v>---</v>
      </c>
      <c r="AW311" s="140" t="str">
        <f>WORKSHEET_CONSTR!G308</f>
        <v>---</v>
      </c>
      <c r="AX311" s="140">
        <f t="shared" si="126"/>
        <v>999.99</v>
      </c>
      <c r="AY311" s="263">
        <f t="shared" si="106"/>
        <v>0</v>
      </c>
      <c r="AZ311" s="267" t="str">
        <f t="shared" si="107"/>
        <v>---</v>
      </c>
      <c r="BA311" s="210" t="str">
        <f t="shared" si="108"/>
        <v>---</v>
      </c>
      <c r="BB311" s="140">
        <f t="shared" si="127"/>
        <v>999.99</v>
      </c>
      <c r="BC311" s="263">
        <f t="shared" si="109"/>
        <v>1</v>
      </c>
      <c r="BD311" s="140" t="str">
        <f>WORKSHEET_CONSTR!I308</f>
        <v>---</v>
      </c>
      <c r="BE311" s="140" t="str">
        <f>WORKSHEET_CONSTR!J308</f>
        <v>---</v>
      </c>
      <c r="BF311" s="140">
        <f t="shared" si="128"/>
        <v>999.99</v>
      </c>
      <c r="BG311" s="263">
        <f t="shared" si="110"/>
        <v>1</v>
      </c>
      <c r="BH311" s="210" t="str">
        <f t="shared" ref="BH311:BI311" si="167">O368</f>
        <v>---</v>
      </c>
      <c r="BI311" s="210" t="str">
        <f t="shared" si="167"/>
        <v>---</v>
      </c>
      <c r="BJ311" s="140">
        <f t="shared" si="134"/>
        <v>999.99</v>
      </c>
      <c r="BK311" s="263">
        <f t="shared" si="111"/>
        <v>1</v>
      </c>
      <c r="BL311" s="140" t="str">
        <f>WORKSHEET_CONSTR!L308</f>
        <v>---</v>
      </c>
      <c r="BM311" s="140" t="str">
        <f>WORKSHEET_CONSTR!M308</f>
        <v>---</v>
      </c>
      <c r="BN311" s="140">
        <f t="shared" si="130"/>
        <v>999.99</v>
      </c>
      <c r="BO311" s="263">
        <f t="shared" si="112"/>
        <v>1</v>
      </c>
      <c r="BP311" s="22"/>
      <c r="BQ311" s="22"/>
      <c r="BR311" s="22"/>
      <c r="BS311" s="22"/>
      <c r="BT311" s="22"/>
      <c r="BU311" s="22"/>
    </row>
    <row r="312" spans="1:73">
      <c r="A312" s="438" t="str">
        <f t="shared" si="113"/>
        <v>---</v>
      </c>
      <c r="B312" s="294" t="str">
        <f t="shared" si="113"/>
        <v>---</v>
      </c>
      <c r="C312" s="294" t="str">
        <f>IF(A312="---","---",INPUT!C125)</f>
        <v>---</v>
      </c>
      <c r="D312" s="294" t="str">
        <f t="shared" si="86"/>
        <v>---</v>
      </c>
      <c r="E312" s="294" t="str">
        <f t="shared" si="87"/>
        <v>---</v>
      </c>
      <c r="F312" s="294" t="str">
        <f t="shared" si="114"/>
        <v>---</v>
      </c>
      <c r="G312" s="294" t="str">
        <f t="shared" si="88"/>
        <v>---</v>
      </c>
      <c r="H312" s="294" t="str">
        <f t="shared" si="89"/>
        <v>---</v>
      </c>
      <c r="I312" s="294" t="str">
        <f t="shared" si="115"/>
        <v>---</v>
      </c>
      <c r="J312" s="294" t="str">
        <f t="shared" si="90"/>
        <v>---</v>
      </c>
      <c r="K312" s="294" t="str">
        <f t="shared" si="91"/>
        <v>---</v>
      </c>
      <c r="L312" s="294" t="str">
        <f t="shared" si="92"/>
        <v>---</v>
      </c>
      <c r="M312" s="291" t="str">
        <f t="shared" si="93"/>
        <v>---</v>
      </c>
      <c r="N312" s="294" t="str">
        <f t="shared" si="94"/>
        <v>---</v>
      </c>
      <c r="O312" s="291" t="str">
        <f t="shared" si="116"/>
        <v>---</v>
      </c>
      <c r="P312" s="294" t="str">
        <f t="shared" si="95"/>
        <v>---</v>
      </c>
      <c r="Q312" s="291" t="str">
        <f t="shared" si="117"/>
        <v>---</v>
      </c>
      <c r="R312" s="294" t="str">
        <f t="shared" si="96"/>
        <v>---</v>
      </c>
      <c r="S312" s="294" t="str">
        <f t="shared" si="97"/>
        <v>---</v>
      </c>
      <c r="T312" s="291" t="str">
        <f t="shared" si="98"/>
        <v>---</v>
      </c>
      <c r="U312" s="291" t="str">
        <f t="shared" si="99"/>
        <v>---</v>
      </c>
      <c r="V312" s="294" t="str">
        <f t="shared" si="100"/>
        <v>---</v>
      </c>
      <c r="W312" s="294" t="str">
        <f t="shared" si="101"/>
        <v>---</v>
      </c>
      <c r="Y312" s="22"/>
      <c r="Z312" s="22"/>
      <c r="AA312" s="22"/>
      <c r="AB312" s="22"/>
      <c r="AC312" s="22"/>
      <c r="AD312" s="22"/>
      <c r="AE312" s="22"/>
      <c r="AF312" s="140" t="str">
        <f t="shared" si="118"/>
        <v>---</v>
      </c>
      <c r="AG312" s="140" t="str">
        <f t="shared" si="119"/>
        <v>---</v>
      </c>
      <c r="AH312" s="140">
        <f t="shared" si="120"/>
        <v>999.99</v>
      </c>
      <c r="AI312" s="263">
        <f t="shared" si="102"/>
        <v>0</v>
      </c>
      <c r="AJ312" s="140" t="str">
        <f t="shared" ref="AJ312:AK312" si="168">F369</f>
        <v>---</v>
      </c>
      <c r="AK312" s="140" t="str">
        <f t="shared" si="168"/>
        <v>---</v>
      </c>
      <c r="AL312" s="140">
        <f t="shared" si="122"/>
        <v>999.99</v>
      </c>
      <c r="AM312" s="263">
        <f t="shared" si="103"/>
        <v>0</v>
      </c>
      <c r="AN312" s="140" t="str">
        <f>WORKSHEET_CONSTR!C309</f>
        <v>---</v>
      </c>
      <c r="AO312" s="140" t="str">
        <f>WORKSHEET_CONSTR!D309</f>
        <v>---</v>
      </c>
      <c r="AP312" s="140">
        <f t="shared" si="123"/>
        <v>999.99</v>
      </c>
      <c r="AQ312" s="263">
        <f t="shared" si="104"/>
        <v>0</v>
      </c>
      <c r="AR312" s="267" t="str">
        <f t="shared" ref="AR312:AS312" si="169">I369</f>
        <v>---</v>
      </c>
      <c r="AS312" s="140" t="str">
        <f t="shared" si="169"/>
        <v>---</v>
      </c>
      <c r="AT312" s="140">
        <f t="shared" si="125"/>
        <v>999.99</v>
      </c>
      <c r="AU312" s="263">
        <f t="shared" si="105"/>
        <v>0</v>
      </c>
      <c r="AV312" s="140" t="str">
        <f>WORKSHEET_CONSTR!F309</f>
        <v>---</v>
      </c>
      <c r="AW312" s="140" t="str">
        <f>WORKSHEET_CONSTR!G309</f>
        <v>---</v>
      </c>
      <c r="AX312" s="140">
        <f t="shared" si="126"/>
        <v>999.99</v>
      </c>
      <c r="AY312" s="263">
        <f t="shared" si="106"/>
        <v>0</v>
      </c>
      <c r="AZ312" s="267" t="str">
        <f t="shared" si="107"/>
        <v>---</v>
      </c>
      <c r="BA312" s="210" t="str">
        <f t="shared" si="108"/>
        <v>---</v>
      </c>
      <c r="BB312" s="140">
        <f t="shared" si="127"/>
        <v>999.99</v>
      </c>
      <c r="BC312" s="263">
        <f t="shared" si="109"/>
        <v>1</v>
      </c>
      <c r="BD312" s="140" t="str">
        <f>WORKSHEET_CONSTR!I309</f>
        <v>---</v>
      </c>
      <c r="BE312" s="140" t="str">
        <f>WORKSHEET_CONSTR!J309</f>
        <v>---</v>
      </c>
      <c r="BF312" s="140">
        <f t="shared" si="128"/>
        <v>999.99</v>
      </c>
      <c r="BG312" s="263">
        <f t="shared" si="110"/>
        <v>1</v>
      </c>
      <c r="BH312" s="210" t="str">
        <f t="shared" ref="BH312:BI312" si="170">O369</f>
        <v>---</v>
      </c>
      <c r="BI312" s="210" t="str">
        <f t="shared" si="170"/>
        <v>---</v>
      </c>
      <c r="BJ312" s="140">
        <f t="shared" si="134"/>
        <v>999.99</v>
      </c>
      <c r="BK312" s="263">
        <f t="shared" si="111"/>
        <v>1</v>
      </c>
      <c r="BL312" s="140" t="str">
        <f>WORKSHEET_CONSTR!L309</f>
        <v>---</v>
      </c>
      <c r="BM312" s="140" t="str">
        <f>WORKSHEET_CONSTR!M309</f>
        <v>---</v>
      </c>
      <c r="BN312" s="140">
        <f t="shared" si="130"/>
        <v>999.99</v>
      </c>
      <c r="BO312" s="263">
        <f t="shared" si="112"/>
        <v>1</v>
      </c>
      <c r="BP312" s="22"/>
      <c r="BQ312" s="22"/>
      <c r="BR312" s="22"/>
      <c r="BS312" s="22"/>
      <c r="BT312" s="22"/>
      <c r="BU312" s="22"/>
    </row>
    <row r="313" spans="1:73">
      <c r="A313" s="438" t="str">
        <f t="shared" si="113"/>
        <v>---</v>
      </c>
      <c r="B313" s="294" t="str">
        <f t="shared" si="113"/>
        <v>---</v>
      </c>
      <c r="C313" s="294" t="str">
        <f>IF(A313="---","---",INPUT!C126)</f>
        <v>---</v>
      </c>
      <c r="D313" s="294" t="str">
        <f t="shared" si="86"/>
        <v>---</v>
      </c>
      <c r="E313" s="294" t="str">
        <f t="shared" si="87"/>
        <v>---</v>
      </c>
      <c r="F313" s="294" t="str">
        <f t="shared" si="114"/>
        <v>---</v>
      </c>
      <c r="G313" s="294" t="str">
        <f t="shared" si="88"/>
        <v>---</v>
      </c>
      <c r="H313" s="294" t="str">
        <f t="shared" si="89"/>
        <v>---</v>
      </c>
      <c r="I313" s="294" t="str">
        <f t="shared" si="115"/>
        <v>---</v>
      </c>
      <c r="J313" s="294" t="str">
        <f t="shared" si="90"/>
        <v>---</v>
      </c>
      <c r="K313" s="294" t="str">
        <f t="shared" si="91"/>
        <v>---</v>
      </c>
      <c r="L313" s="294" t="str">
        <f t="shared" si="92"/>
        <v>---</v>
      </c>
      <c r="M313" s="291" t="str">
        <f t="shared" si="93"/>
        <v>---</v>
      </c>
      <c r="N313" s="294" t="str">
        <f t="shared" si="94"/>
        <v>---</v>
      </c>
      <c r="O313" s="291" t="str">
        <f t="shared" si="116"/>
        <v>---</v>
      </c>
      <c r="P313" s="294" t="str">
        <f t="shared" si="95"/>
        <v>---</v>
      </c>
      <c r="Q313" s="291" t="str">
        <f t="shared" si="117"/>
        <v>---</v>
      </c>
      <c r="R313" s="294" t="str">
        <f t="shared" si="96"/>
        <v>---</v>
      </c>
      <c r="S313" s="294" t="str">
        <f t="shared" si="97"/>
        <v>---</v>
      </c>
      <c r="T313" s="291" t="str">
        <f t="shared" si="98"/>
        <v>---</v>
      </c>
      <c r="U313" s="291" t="str">
        <f t="shared" si="99"/>
        <v>---</v>
      </c>
      <c r="V313" s="294" t="str">
        <f t="shared" si="100"/>
        <v>---</v>
      </c>
      <c r="W313" s="294" t="str">
        <f t="shared" si="101"/>
        <v>---</v>
      </c>
      <c r="Y313" s="22"/>
      <c r="Z313" s="22"/>
      <c r="AA313" s="22"/>
      <c r="AB313" s="22"/>
      <c r="AC313" s="22"/>
      <c r="AD313" s="22"/>
      <c r="AE313" s="22"/>
      <c r="AF313" s="140" t="str">
        <f t="shared" si="118"/>
        <v>---</v>
      </c>
      <c r="AG313" s="140" t="str">
        <f t="shared" si="119"/>
        <v>---</v>
      </c>
      <c r="AH313" s="140">
        <f t="shared" si="120"/>
        <v>999.99</v>
      </c>
      <c r="AI313" s="263">
        <f t="shared" si="102"/>
        <v>0</v>
      </c>
      <c r="AJ313" s="140" t="str">
        <f t="shared" ref="AJ313:AK313" si="171">F370</f>
        <v>---</v>
      </c>
      <c r="AK313" s="140" t="str">
        <f t="shared" si="171"/>
        <v>---</v>
      </c>
      <c r="AL313" s="140">
        <f t="shared" si="122"/>
        <v>999.99</v>
      </c>
      <c r="AM313" s="263">
        <f t="shared" si="103"/>
        <v>0</v>
      </c>
      <c r="AN313" s="140" t="str">
        <f>WORKSHEET_CONSTR!C310</f>
        <v>---</v>
      </c>
      <c r="AO313" s="140" t="str">
        <f>WORKSHEET_CONSTR!D310</f>
        <v>---</v>
      </c>
      <c r="AP313" s="140">
        <f t="shared" si="123"/>
        <v>999.99</v>
      </c>
      <c r="AQ313" s="263">
        <f t="shared" si="104"/>
        <v>0</v>
      </c>
      <c r="AR313" s="267" t="str">
        <f t="shared" ref="AR313:AS313" si="172">I370</f>
        <v>---</v>
      </c>
      <c r="AS313" s="140" t="str">
        <f t="shared" si="172"/>
        <v>---</v>
      </c>
      <c r="AT313" s="140">
        <f t="shared" si="125"/>
        <v>999.99</v>
      </c>
      <c r="AU313" s="263">
        <f t="shared" si="105"/>
        <v>0</v>
      </c>
      <c r="AV313" s="140" t="str">
        <f>WORKSHEET_CONSTR!F310</f>
        <v>---</v>
      </c>
      <c r="AW313" s="140" t="str">
        <f>WORKSHEET_CONSTR!G310</f>
        <v>---</v>
      </c>
      <c r="AX313" s="140">
        <f t="shared" si="126"/>
        <v>999.99</v>
      </c>
      <c r="AY313" s="263">
        <f t="shared" si="106"/>
        <v>0</v>
      </c>
      <c r="AZ313" s="267" t="str">
        <f t="shared" si="107"/>
        <v>---</v>
      </c>
      <c r="BA313" s="210" t="str">
        <f t="shared" si="108"/>
        <v>---</v>
      </c>
      <c r="BB313" s="140">
        <f t="shared" si="127"/>
        <v>999.99</v>
      </c>
      <c r="BC313" s="263">
        <f t="shared" si="109"/>
        <v>1</v>
      </c>
      <c r="BD313" s="140" t="str">
        <f>WORKSHEET_CONSTR!I310</f>
        <v>---</v>
      </c>
      <c r="BE313" s="140" t="str">
        <f>WORKSHEET_CONSTR!J310</f>
        <v>---</v>
      </c>
      <c r="BF313" s="140">
        <f t="shared" si="128"/>
        <v>999.99</v>
      </c>
      <c r="BG313" s="263">
        <f t="shared" si="110"/>
        <v>1</v>
      </c>
      <c r="BH313" s="210" t="str">
        <f t="shared" ref="BH313:BI313" si="173">O370</f>
        <v>---</v>
      </c>
      <c r="BI313" s="210" t="str">
        <f t="shared" si="173"/>
        <v>---</v>
      </c>
      <c r="BJ313" s="140">
        <f t="shared" si="134"/>
        <v>999.99</v>
      </c>
      <c r="BK313" s="263">
        <f t="shared" si="111"/>
        <v>1</v>
      </c>
      <c r="BL313" s="140" t="str">
        <f>WORKSHEET_CONSTR!L310</f>
        <v>---</v>
      </c>
      <c r="BM313" s="140" t="str">
        <f>WORKSHEET_CONSTR!M310</f>
        <v>---</v>
      </c>
      <c r="BN313" s="140">
        <f t="shared" si="130"/>
        <v>999.99</v>
      </c>
      <c r="BO313" s="263">
        <f t="shared" si="112"/>
        <v>1</v>
      </c>
      <c r="BP313" s="22"/>
      <c r="BQ313" s="22"/>
      <c r="BR313" s="22"/>
      <c r="BS313" s="22"/>
      <c r="BT313" s="22"/>
      <c r="BU313" s="22"/>
    </row>
    <row r="314" spans="1:73">
      <c r="A314" s="438" t="str">
        <f t="shared" si="113"/>
        <v>---</v>
      </c>
      <c r="B314" s="294" t="str">
        <f t="shared" si="113"/>
        <v>---</v>
      </c>
      <c r="C314" s="294" t="str">
        <f>IF(A314="---","---",INPUT!C127)</f>
        <v>---</v>
      </c>
      <c r="D314" s="294" t="str">
        <f t="shared" si="86"/>
        <v>---</v>
      </c>
      <c r="E314" s="294" t="str">
        <f t="shared" si="87"/>
        <v>---</v>
      </c>
      <c r="F314" s="294" t="str">
        <f t="shared" si="114"/>
        <v>---</v>
      </c>
      <c r="G314" s="294" t="str">
        <f t="shared" si="88"/>
        <v>---</v>
      </c>
      <c r="H314" s="294" t="str">
        <f t="shared" si="89"/>
        <v>---</v>
      </c>
      <c r="I314" s="294" t="str">
        <f t="shared" si="115"/>
        <v>---</v>
      </c>
      <c r="J314" s="294" t="str">
        <f t="shared" si="90"/>
        <v>---</v>
      </c>
      <c r="K314" s="294" t="str">
        <f t="shared" si="91"/>
        <v>---</v>
      </c>
      <c r="L314" s="294" t="str">
        <f t="shared" si="92"/>
        <v>---</v>
      </c>
      <c r="M314" s="291" t="str">
        <f t="shared" si="93"/>
        <v>---</v>
      </c>
      <c r="N314" s="294" t="str">
        <f t="shared" si="94"/>
        <v>---</v>
      </c>
      <c r="O314" s="291" t="str">
        <f t="shared" si="116"/>
        <v>---</v>
      </c>
      <c r="P314" s="294" t="str">
        <f t="shared" si="95"/>
        <v>---</v>
      </c>
      <c r="Q314" s="291" t="str">
        <f t="shared" si="117"/>
        <v>---</v>
      </c>
      <c r="R314" s="294" t="str">
        <f t="shared" si="96"/>
        <v>---</v>
      </c>
      <c r="S314" s="294" t="str">
        <f t="shared" si="97"/>
        <v>---</v>
      </c>
      <c r="T314" s="291" t="str">
        <f t="shared" si="98"/>
        <v>---</v>
      </c>
      <c r="U314" s="291" t="str">
        <f t="shared" si="99"/>
        <v>---</v>
      </c>
      <c r="V314" s="294" t="str">
        <f t="shared" si="100"/>
        <v>---</v>
      </c>
      <c r="W314" s="294" t="str">
        <f t="shared" si="101"/>
        <v>---</v>
      </c>
      <c r="Y314" s="22"/>
      <c r="Z314" s="22"/>
      <c r="AA314" s="22"/>
      <c r="AB314" s="22"/>
      <c r="AC314" s="22"/>
      <c r="AD314" s="22"/>
      <c r="AE314" s="22"/>
      <c r="AF314" s="140" t="str">
        <f t="shared" si="118"/>
        <v>---</v>
      </c>
      <c r="AG314" s="140" t="str">
        <f t="shared" si="119"/>
        <v>---</v>
      </c>
      <c r="AH314" s="140">
        <f t="shared" si="120"/>
        <v>999.99</v>
      </c>
      <c r="AI314" s="263">
        <f t="shared" si="102"/>
        <v>0</v>
      </c>
      <c r="AJ314" s="140" t="str">
        <f t="shared" ref="AJ314:AK314" si="174">F371</f>
        <v>---</v>
      </c>
      <c r="AK314" s="140" t="str">
        <f t="shared" si="174"/>
        <v>---</v>
      </c>
      <c r="AL314" s="140">
        <f t="shared" si="122"/>
        <v>999.99</v>
      </c>
      <c r="AM314" s="263">
        <f t="shared" si="103"/>
        <v>0</v>
      </c>
      <c r="AN314" s="140" t="str">
        <f>WORKSHEET_CONSTR!C311</f>
        <v>---</v>
      </c>
      <c r="AO314" s="140" t="str">
        <f>WORKSHEET_CONSTR!D311</f>
        <v>---</v>
      </c>
      <c r="AP314" s="140">
        <f t="shared" si="123"/>
        <v>999.99</v>
      </c>
      <c r="AQ314" s="263">
        <f t="shared" si="104"/>
        <v>0</v>
      </c>
      <c r="AR314" s="267" t="str">
        <f t="shared" ref="AR314:AS314" si="175">I371</f>
        <v>---</v>
      </c>
      <c r="AS314" s="140" t="str">
        <f t="shared" si="175"/>
        <v>---</v>
      </c>
      <c r="AT314" s="140">
        <f t="shared" si="125"/>
        <v>999.99</v>
      </c>
      <c r="AU314" s="263">
        <f t="shared" si="105"/>
        <v>0</v>
      </c>
      <c r="AV314" s="140" t="str">
        <f>WORKSHEET_CONSTR!F311</f>
        <v>---</v>
      </c>
      <c r="AW314" s="140" t="str">
        <f>WORKSHEET_CONSTR!G311</f>
        <v>---</v>
      </c>
      <c r="AX314" s="140">
        <f t="shared" si="126"/>
        <v>999.99</v>
      </c>
      <c r="AY314" s="263">
        <f t="shared" si="106"/>
        <v>0</v>
      </c>
      <c r="AZ314" s="267" t="str">
        <f t="shared" si="107"/>
        <v>---</v>
      </c>
      <c r="BA314" s="210" t="str">
        <f t="shared" si="108"/>
        <v>---</v>
      </c>
      <c r="BB314" s="140">
        <f t="shared" si="127"/>
        <v>999.99</v>
      </c>
      <c r="BC314" s="263">
        <f t="shared" si="109"/>
        <v>1</v>
      </c>
      <c r="BD314" s="140" t="str">
        <f>WORKSHEET_CONSTR!I311</f>
        <v>---</v>
      </c>
      <c r="BE314" s="140" t="str">
        <f>WORKSHEET_CONSTR!J311</f>
        <v>---</v>
      </c>
      <c r="BF314" s="140">
        <f t="shared" si="128"/>
        <v>999.99</v>
      </c>
      <c r="BG314" s="263">
        <f t="shared" si="110"/>
        <v>1</v>
      </c>
      <c r="BH314" s="210" t="str">
        <f t="shared" ref="BH314:BI314" si="176">O371</f>
        <v>---</v>
      </c>
      <c r="BI314" s="210" t="str">
        <f t="shared" si="176"/>
        <v>---</v>
      </c>
      <c r="BJ314" s="140">
        <f t="shared" si="134"/>
        <v>999.99</v>
      </c>
      <c r="BK314" s="263">
        <f t="shared" si="111"/>
        <v>1</v>
      </c>
      <c r="BL314" s="140" t="str">
        <f>WORKSHEET_CONSTR!L311</f>
        <v>---</v>
      </c>
      <c r="BM314" s="140" t="str">
        <f>WORKSHEET_CONSTR!M311</f>
        <v>---</v>
      </c>
      <c r="BN314" s="140">
        <f t="shared" si="130"/>
        <v>999.99</v>
      </c>
      <c r="BO314" s="263">
        <f t="shared" si="112"/>
        <v>1</v>
      </c>
      <c r="BP314" s="22"/>
      <c r="BQ314" s="22"/>
      <c r="BR314" s="22"/>
      <c r="BS314" s="22"/>
      <c r="BT314" s="22"/>
      <c r="BU314" s="22"/>
    </row>
    <row r="315" spans="1:73">
      <c r="A315" s="438" t="str">
        <f t="shared" si="113"/>
        <v>---</v>
      </c>
      <c r="B315" s="294" t="str">
        <f t="shared" si="113"/>
        <v>---</v>
      </c>
      <c r="C315" s="294" t="str">
        <f>IF(A315="---","---",INPUT!C128)</f>
        <v>---</v>
      </c>
      <c r="D315" s="294" t="str">
        <f t="shared" si="86"/>
        <v>---</v>
      </c>
      <c r="E315" s="294" t="str">
        <f t="shared" si="87"/>
        <v>---</v>
      </c>
      <c r="F315" s="294" t="str">
        <f t="shared" si="114"/>
        <v>---</v>
      </c>
      <c r="G315" s="294" t="str">
        <f t="shared" si="88"/>
        <v>---</v>
      </c>
      <c r="H315" s="294" t="str">
        <f t="shared" si="89"/>
        <v>---</v>
      </c>
      <c r="I315" s="294" t="str">
        <f t="shared" si="115"/>
        <v>---</v>
      </c>
      <c r="J315" s="294" t="str">
        <f t="shared" si="90"/>
        <v>---</v>
      </c>
      <c r="K315" s="294" t="str">
        <f t="shared" si="91"/>
        <v>---</v>
      </c>
      <c r="L315" s="294" t="str">
        <f t="shared" si="92"/>
        <v>---</v>
      </c>
      <c r="M315" s="291" t="str">
        <f t="shared" si="93"/>
        <v>---</v>
      </c>
      <c r="N315" s="294" t="str">
        <f t="shared" si="94"/>
        <v>---</v>
      </c>
      <c r="O315" s="291" t="str">
        <f t="shared" si="116"/>
        <v>---</v>
      </c>
      <c r="P315" s="294" t="str">
        <f t="shared" si="95"/>
        <v>---</v>
      </c>
      <c r="Q315" s="291" t="str">
        <f t="shared" si="117"/>
        <v>---</v>
      </c>
      <c r="R315" s="294" t="str">
        <f t="shared" si="96"/>
        <v>---</v>
      </c>
      <c r="S315" s="294" t="str">
        <f t="shared" si="97"/>
        <v>---</v>
      </c>
      <c r="T315" s="291" t="str">
        <f t="shared" si="98"/>
        <v>---</v>
      </c>
      <c r="U315" s="291" t="str">
        <f t="shared" si="99"/>
        <v>---</v>
      </c>
      <c r="V315" s="294" t="str">
        <f t="shared" si="100"/>
        <v>---</v>
      </c>
      <c r="W315" s="294" t="str">
        <f t="shared" si="101"/>
        <v>---</v>
      </c>
      <c r="Y315" s="22"/>
      <c r="Z315" s="22"/>
      <c r="AA315" s="22"/>
      <c r="AB315" s="22"/>
      <c r="AC315" s="22"/>
      <c r="AD315" s="22"/>
      <c r="AE315" s="22"/>
      <c r="AF315" s="140" t="str">
        <f t="shared" si="118"/>
        <v>---</v>
      </c>
      <c r="AG315" s="140" t="str">
        <f t="shared" si="119"/>
        <v>---</v>
      </c>
      <c r="AH315" s="140">
        <f t="shared" si="120"/>
        <v>999.99</v>
      </c>
      <c r="AI315" s="263">
        <f t="shared" si="102"/>
        <v>0</v>
      </c>
      <c r="AJ315" s="140" t="str">
        <f t="shared" ref="AJ315:AK315" si="177">F372</f>
        <v>---</v>
      </c>
      <c r="AK315" s="140" t="str">
        <f t="shared" si="177"/>
        <v>---</v>
      </c>
      <c r="AL315" s="140">
        <f t="shared" si="122"/>
        <v>999.99</v>
      </c>
      <c r="AM315" s="263">
        <f t="shared" si="103"/>
        <v>0</v>
      </c>
      <c r="AN315" s="140" t="str">
        <f>WORKSHEET_CONSTR!C312</f>
        <v>---</v>
      </c>
      <c r="AO315" s="140" t="str">
        <f>WORKSHEET_CONSTR!D312</f>
        <v>---</v>
      </c>
      <c r="AP315" s="140">
        <f t="shared" si="123"/>
        <v>999.99</v>
      </c>
      <c r="AQ315" s="263">
        <f t="shared" si="104"/>
        <v>0</v>
      </c>
      <c r="AR315" s="267" t="str">
        <f t="shared" ref="AR315:AS315" si="178">I372</f>
        <v>---</v>
      </c>
      <c r="AS315" s="140" t="str">
        <f t="shared" si="178"/>
        <v>---</v>
      </c>
      <c r="AT315" s="140">
        <f t="shared" si="125"/>
        <v>999.99</v>
      </c>
      <c r="AU315" s="263">
        <f t="shared" si="105"/>
        <v>0</v>
      </c>
      <c r="AV315" s="140" t="str">
        <f>WORKSHEET_CONSTR!F312</f>
        <v>---</v>
      </c>
      <c r="AW315" s="140" t="str">
        <f>WORKSHEET_CONSTR!G312</f>
        <v>---</v>
      </c>
      <c r="AX315" s="140">
        <f t="shared" si="126"/>
        <v>999.99</v>
      </c>
      <c r="AY315" s="263">
        <f t="shared" si="106"/>
        <v>0</v>
      </c>
      <c r="AZ315" s="267" t="str">
        <f t="shared" si="107"/>
        <v>---</v>
      </c>
      <c r="BA315" s="210" t="str">
        <f t="shared" si="108"/>
        <v>---</v>
      </c>
      <c r="BB315" s="140">
        <f t="shared" si="127"/>
        <v>999.99</v>
      </c>
      <c r="BC315" s="263">
        <f t="shared" si="109"/>
        <v>1</v>
      </c>
      <c r="BD315" s="140" t="str">
        <f>WORKSHEET_CONSTR!I312</f>
        <v>---</v>
      </c>
      <c r="BE315" s="140" t="str">
        <f>WORKSHEET_CONSTR!J312</f>
        <v>---</v>
      </c>
      <c r="BF315" s="140">
        <f t="shared" si="128"/>
        <v>999.99</v>
      </c>
      <c r="BG315" s="263">
        <f t="shared" si="110"/>
        <v>1</v>
      </c>
      <c r="BH315" s="210" t="str">
        <f t="shared" ref="BH315:BI315" si="179">O372</f>
        <v>---</v>
      </c>
      <c r="BI315" s="210" t="str">
        <f t="shared" si="179"/>
        <v>---</v>
      </c>
      <c r="BJ315" s="140">
        <f t="shared" si="134"/>
        <v>999.99</v>
      </c>
      <c r="BK315" s="263">
        <f t="shared" si="111"/>
        <v>1</v>
      </c>
      <c r="BL315" s="140" t="str">
        <f>WORKSHEET_CONSTR!L312</f>
        <v>---</v>
      </c>
      <c r="BM315" s="140" t="str">
        <f>WORKSHEET_CONSTR!M312</f>
        <v>---</v>
      </c>
      <c r="BN315" s="140">
        <f t="shared" si="130"/>
        <v>999.99</v>
      </c>
      <c r="BO315" s="263">
        <f t="shared" si="112"/>
        <v>1</v>
      </c>
      <c r="BP315" s="22"/>
      <c r="BQ315" s="22"/>
      <c r="BR315" s="22"/>
      <c r="BS315" s="22"/>
      <c r="BT315" s="22"/>
      <c r="BU315" s="22"/>
    </row>
    <row r="316" spans="1:73">
      <c r="A316" s="438" t="str">
        <f t="shared" si="113"/>
        <v>---</v>
      </c>
      <c r="B316" s="294" t="str">
        <f t="shared" si="113"/>
        <v>---</v>
      </c>
      <c r="C316" s="294" t="str">
        <f>IF(A316="---","---",INPUT!C129)</f>
        <v>---</v>
      </c>
      <c r="D316" s="294" t="str">
        <f t="shared" si="86"/>
        <v>---</v>
      </c>
      <c r="E316" s="294" t="str">
        <f t="shared" si="87"/>
        <v>---</v>
      </c>
      <c r="F316" s="294" t="str">
        <f t="shared" si="114"/>
        <v>---</v>
      </c>
      <c r="G316" s="294" t="str">
        <f t="shared" si="88"/>
        <v>---</v>
      </c>
      <c r="H316" s="294" t="str">
        <f t="shared" si="89"/>
        <v>---</v>
      </c>
      <c r="I316" s="294" t="str">
        <f t="shared" si="115"/>
        <v>---</v>
      </c>
      <c r="J316" s="294" t="str">
        <f t="shared" si="90"/>
        <v>---</v>
      </c>
      <c r="K316" s="294" t="str">
        <f t="shared" si="91"/>
        <v>---</v>
      </c>
      <c r="L316" s="294" t="str">
        <f t="shared" si="92"/>
        <v>---</v>
      </c>
      <c r="M316" s="291" t="str">
        <f t="shared" si="93"/>
        <v>---</v>
      </c>
      <c r="N316" s="294" t="str">
        <f t="shared" si="94"/>
        <v>---</v>
      </c>
      <c r="O316" s="291" t="str">
        <f t="shared" si="116"/>
        <v>---</v>
      </c>
      <c r="P316" s="294" t="str">
        <f t="shared" si="95"/>
        <v>---</v>
      </c>
      <c r="Q316" s="291" t="str">
        <f t="shared" si="117"/>
        <v>---</v>
      </c>
      <c r="R316" s="294" t="str">
        <f t="shared" si="96"/>
        <v>---</v>
      </c>
      <c r="S316" s="294" t="str">
        <f t="shared" si="97"/>
        <v>---</v>
      </c>
      <c r="T316" s="291" t="str">
        <f t="shared" si="98"/>
        <v>---</v>
      </c>
      <c r="U316" s="291" t="str">
        <f t="shared" si="99"/>
        <v>---</v>
      </c>
      <c r="V316" s="294" t="str">
        <f t="shared" si="100"/>
        <v>---</v>
      </c>
      <c r="W316" s="294" t="str">
        <f t="shared" si="101"/>
        <v>---</v>
      </c>
      <c r="Y316" s="22"/>
      <c r="Z316" s="22"/>
      <c r="AA316" s="22"/>
      <c r="AB316" s="22"/>
      <c r="AC316" s="22"/>
      <c r="AD316" s="22"/>
      <c r="AE316" s="22"/>
      <c r="AF316" s="140" t="str">
        <f t="shared" si="118"/>
        <v>---</v>
      </c>
      <c r="AG316" s="140" t="str">
        <f t="shared" si="119"/>
        <v>---</v>
      </c>
      <c r="AH316" s="140">
        <f t="shared" si="120"/>
        <v>999.99</v>
      </c>
      <c r="AI316" s="263">
        <f t="shared" si="102"/>
        <v>0</v>
      </c>
      <c r="AJ316" s="140" t="str">
        <f t="shared" ref="AJ316:AK316" si="180">F373</f>
        <v>---</v>
      </c>
      <c r="AK316" s="140" t="str">
        <f t="shared" si="180"/>
        <v>---</v>
      </c>
      <c r="AL316" s="140">
        <f t="shared" si="122"/>
        <v>999.99</v>
      </c>
      <c r="AM316" s="263">
        <f t="shared" si="103"/>
        <v>0</v>
      </c>
      <c r="AN316" s="140" t="str">
        <f>WORKSHEET_CONSTR!C313</f>
        <v>---</v>
      </c>
      <c r="AO316" s="140" t="str">
        <f>WORKSHEET_CONSTR!D313</f>
        <v>---</v>
      </c>
      <c r="AP316" s="140">
        <f t="shared" si="123"/>
        <v>999.99</v>
      </c>
      <c r="AQ316" s="263">
        <f t="shared" si="104"/>
        <v>0</v>
      </c>
      <c r="AR316" s="267" t="str">
        <f t="shared" ref="AR316:AS316" si="181">I373</f>
        <v>---</v>
      </c>
      <c r="AS316" s="140" t="str">
        <f t="shared" si="181"/>
        <v>---</v>
      </c>
      <c r="AT316" s="140">
        <f t="shared" si="125"/>
        <v>999.99</v>
      </c>
      <c r="AU316" s="263">
        <f t="shared" si="105"/>
        <v>0</v>
      </c>
      <c r="AV316" s="140" t="str">
        <f>WORKSHEET_CONSTR!F313</f>
        <v>---</v>
      </c>
      <c r="AW316" s="140" t="str">
        <f>WORKSHEET_CONSTR!G313</f>
        <v>---</v>
      </c>
      <c r="AX316" s="140">
        <f t="shared" si="126"/>
        <v>999.99</v>
      </c>
      <c r="AY316" s="263">
        <f t="shared" si="106"/>
        <v>0</v>
      </c>
      <c r="AZ316" s="267" t="str">
        <f t="shared" si="107"/>
        <v>---</v>
      </c>
      <c r="BA316" s="210" t="str">
        <f t="shared" si="108"/>
        <v>---</v>
      </c>
      <c r="BB316" s="140">
        <f t="shared" si="127"/>
        <v>999.99</v>
      </c>
      <c r="BC316" s="263">
        <f t="shared" si="109"/>
        <v>1</v>
      </c>
      <c r="BD316" s="140" t="str">
        <f>WORKSHEET_CONSTR!I313</f>
        <v>---</v>
      </c>
      <c r="BE316" s="140" t="str">
        <f>WORKSHEET_CONSTR!J313</f>
        <v>---</v>
      </c>
      <c r="BF316" s="140">
        <f t="shared" si="128"/>
        <v>999.99</v>
      </c>
      <c r="BG316" s="263">
        <f t="shared" si="110"/>
        <v>1</v>
      </c>
      <c r="BH316" s="210" t="str">
        <f t="shared" ref="BH316:BI316" si="182">O373</f>
        <v>---</v>
      </c>
      <c r="BI316" s="210" t="str">
        <f t="shared" si="182"/>
        <v>---</v>
      </c>
      <c r="BJ316" s="140">
        <f t="shared" si="134"/>
        <v>999.99</v>
      </c>
      <c r="BK316" s="263">
        <f t="shared" si="111"/>
        <v>1</v>
      </c>
      <c r="BL316" s="140" t="str">
        <f>WORKSHEET_CONSTR!L313</f>
        <v>---</v>
      </c>
      <c r="BM316" s="140" t="str">
        <f>WORKSHEET_CONSTR!M313</f>
        <v>---</v>
      </c>
      <c r="BN316" s="140">
        <f t="shared" si="130"/>
        <v>999.99</v>
      </c>
      <c r="BO316" s="263">
        <f t="shared" si="112"/>
        <v>1</v>
      </c>
      <c r="BP316" s="22"/>
      <c r="BQ316" s="22"/>
      <c r="BR316" s="22"/>
      <c r="BS316" s="22"/>
      <c r="BT316" s="22"/>
      <c r="BU316" s="22"/>
    </row>
    <row r="317" spans="1:73">
      <c r="A317" s="438" t="str">
        <f t="shared" si="113"/>
        <v>---</v>
      </c>
      <c r="B317" s="294" t="str">
        <f t="shared" si="113"/>
        <v>---</v>
      </c>
      <c r="C317" s="294" t="str">
        <f>IF(A317="---","---",INPUT!C130)</f>
        <v>---</v>
      </c>
      <c r="D317" s="294" t="str">
        <f t="shared" si="86"/>
        <v>---</v>
      </c>
      <c r="E317" s="294" t="str">
        <f t="shared" si="87"/>
        <v>---</v>
      </c>
      <c r="F317" s="294" t="str">
        <f t="shared" si="114"/>
        <v>---</v>
      </c>
      <c r="G317" s="294" t="str">
        <f t="shared" si="88"/>
        <v>---</v>
      </c>
      <c r="H317" s="294" t="str">
        <f t="shared" si="89"/>
        <v>---</v>
      </c>
      <c r="I317" s="294" t="str">
        <f t="shared" si="115"/>
        <v>---</v>
      </c>
      <c r="J317" s="294" t="str">
        <f t="shared" si="90"/>
        <v>---</v>
      </c>
      <c r="K317" s="294" t="str">
        <f t="shared" si="91"/>
        <v>---</v>
      </c>
      <c r="L317" s="294" t="str">
        <f t="shared" si="92"/>
        <v>---</v>
      </c>
      <c r="M317" s="291" t="str">
        <f t="shared" si="93"/>
        <v>---</v>
      </c>
      <c r="N317" s="294" t="str">
        <f t="shared" si="94"/>
        <v>---</v>
      </c>
      <c r="O317" s="291" t="str">
        <f t="shared" si="116"/>
        <v>---</v>
      </c>
      <c r="P317" s="294" t="str">
        <f t="shared" si="95"/>
        <v>---</v>
      </c>
      <c r="Q317" s="291" t="str">
        <f t="shared" si="117"/>
        <v>---</v>
      </c>
      <c r="R317" s="294" t="str">
        <f t="shared" si="96"/>
        <v>---</v>
      </c>
      <c r="S317" s="294" t="str">
        <f t="shared" si="97"/>
        <v>---</v>
      </c>
      <c r="T317" s="291" t="str">
        <f t="shared" si="98"/>
        <v>---</v>
      </c>
      <c r="U317" s="291" t="str">
        <f t="shared" si="99"/>
        <v>---</v>
      </c>
      <c r="V317" s="294" t="str">
        <f t="shared" si="100"/>
        <v>---</v>
      </c>
      <c r="W317" s="294" t="str">
        <f t="shared" si="101"/>
        <v>---</v>
      </c>
      <c r="Y317" s="22"/>
      <c r="Z317" s="22"/>
      <c r="AA317" s="22"/>
      <c r="AB317" s="22"/>
      <c r="AC317" s="22"/>
      <c r="AD317" s="22"/>
      <c r="AE317" s="22"/>
      <c r="AF317" s="140" t="str">
        <f t="shared" si="118"/>
        <v>---</v>
      </c>
      <c r="AG317" s="140" t="str">
        <f t="shared" si="119"/>
        <v>---</v>
      </c>
      <c r="AH317" s="140">
        <f t="shared" si="120"/>
        <v>999.99</v>
      </c>
      <c r="AI317" s="263">
        <f t="shared" si="102"/>
        <v>0</v>
      </c>
      <c r="AJ317" s="140" t="str">
        <f t="shared" ref="AJ317:AK317" si="183">F374</f>
        <v>---</v>
      </c>
      <c r="AK317" s="140" t="str">
        <f t="shared" si="183"/>
        <v>---</v>
      </c>
      <c r="AL317" s="140">
        <f t="shared" si="122"/>
        <v>999.99</v>
      </c>
      <c r="AM317" s="263">
        <f t="shared" si="103"/>
        <v>0</v>
      </c>
      <c r="AN317" s="140" t="str">
        <f>WORKSHEET_CONSTR!C314</f>
        <v>---</v>
      </c>
      <c r="AO317" s="140" t="str">
        <f>WORKSHEET_CONSTR!D314</f>
        <v>---</v>
      </c>
      <c r="AP317" s="140">
        <f t="shared" si="123"/>
        <v>999.99</v>
      </c>
      <c r="AQ317" s="263">
        <f t="shared" si="104"/>
        <v>0</v>
      </c>
      <c r="AR317" s="267" t="str">
        <f t="shared" ref="AR317:AS317" si="184">I374</f>
        <v>---</v>
      </c>
      <c r="AS317" s="140" t="str">
        <f t="shared" si="184"/>
        <v>---</v>
      </c>
      <c r="AT317" s="140">
        <f t="shared" si="125"/>
        <v>999.99</v>
      </c>
      <c r="AU317" s="263">
        <f t="shared" si="105"/>
        <v>0</v>
      </c>
      <c r="AV317" s="140" t="str">
        <f>WORKSHEET_CONSTR!F314</f>
        <v>---</v>
      </c>
      <c r="AW317" s="140" t="str">
        <f>WORKSHEET_CONSTR!G314</f>
        <v>---</v>
      </c>
      <c r="AX317" s="140">
        <f t="shared" si="126"/>
        <v>999.99</v>
      </c>
      <c r="AY317" s="263">
        <f t="shared" si="106"/>
        <v>0</v>
      </c>
      <c r="AZ317" s="267" t="str">
        <f t="shared" si="107"/>
        <v>---</v>
      </c>
      <c r="BA317" s="210" t="str">
        <f t="shared" si="108"/>
        <v>---</v>
      </c>
      <c r="BB317" s="140">
        <f t="shared" si="127"/>
        <v>999.99</v>
      </c>
      <c r="BC317" s="263">
        <f t="shared" si="109"/>
        <v>1</v>
      </c>
      <c r="BD317" s="140" t="str">
        <f>WORKSHEET_CONSTR!I314</f>
        <v>---</v>
      </c>
      <c r="BE317" s="140" t="str">
        <f>WORKSHEET_CONSTR!J314</f>
        <v>---</v>
      </c>
      <c r="BF317" s="140">
        <f t="shared" si="128"/>
        <v>999.99</v>
      </c>
      <c r="BG317" s="263">
        <f t="shared" si="110"/>
        <v>1</v>
      </c>
      <c r="BH317" s="210" t="str">
        <f t="shared" ref="BH317:BI317" si="185">O374</f>
        <v>---</v>
      </c>
      <c r="BI317" s="210" t="str">
        <f t="shared" si="185"/>
        <v>---</v>
      </c>
      <c r="BJ317" s="140">
        <f t="shared" si="134"/>
        <v>999.99</v>
      </c>
      <c r="BK317" s="263">
        <f t="shared" si="111"/>
        <v>1</v>
      </c>
      <c r="BL317" s="140" t="str">
        <f>WORKSHEET_CONSTR!L314</f>
        <v>---</v>
      </c>
      <c r="BM317" s="140" t="str">
        <f>WORKSHEET_CONSTR!M314</f>
        <v>---</v>
      </c>
      <c r="BN317" s="140">
        <f t="shared" si="130"/>
        <v>999.99</v>
      </c>
      <c r="BO317" s="263">
        <f t="shared" si="112"/>
        <v>1</v>
      </c>
      <c r="BP317" s="22"/>
      <c r="BQ317" s="22"/>
      <c r="BR317" s="22"/>
      <c r="BS317" s="22"/>
      <c r="BT317" s="22"/>
      <c r="BU317" s="22"/>
    </row>
    <row r="318" spans="1:73">
      <c r="A318" s="438" t="str">
        <f t="shared" si="113"/>
        <v>---</v>
      </c>
      <c r="B318" s="294" t="str">
        <f t="shared" si="113"/>
        <v>---</v>
      </c>
      <c r="C318" s="294" t="str">
        <f>IF(A318="---","---",INPUT!C131)</f>
        <v>---</v>
      </c>
      <c r="D318" s="294" t="str">
        <f t="shared" si="86"/>
        <v>---</v>
      </c>
      <c r="E318" s="294" t="str">
        <f t="shared" si="87"/>
        <v>---</v>
      </c>
      <c r="F318" s="294" t="str">
        <f t="shared" si="114"/>
        <v>---</v>
      </c>
      <c r="G318" s="294" t="str">
        <f t="shared" si="88"/>
        <v>---</v>
      </c>
      <c r="H318" s="294" t="str">
        <f t="shared" si="89"/>
        <v>---</v>
      </c>
      <c r="I318" s="294" t="str">
        <f t="shared" si="115"/>
        <v>---</v>
      </c>
      <c r="J318" s="294" t="str">
        <f t="shared" si="90"/>
        <v>---</v>
      </c>
      <c r="K318" s="294" t="str">
        <f t="shared" si="91"/>
        <v>---</v>
      </c>
      <c r="L318" s="294" t="str">
        <f t="shared" si="92"/>
        <v>---</v>
      </c>
      <c r="M318" s="291" t="str">
        <f t="shared" si="93"/>
        <v>---</v>
      </c>
      <c r="N318" s="294" t="str">
        <f t="shared" si="94"/>
        <v>---</v>
      </c>
      <c r="O318" s="291" t="str">
        <f t="shared" si="116"/>
        <v>---</v>
      </c>
      <c r="P318" s="294" t="str">
        <f t="shared" si="95"/>
        <v>---</v>
      </c>
      <c r="Q318" s="291" t="str">
        <f t="shared" si="117"/>
        <v>---</v>
      </c>
      <c r="R318" s="294" t="str">
        <f t="shared" si="96"/>
        <v>---</v>
      </c>
      <c r="S318" s="294" t="str">
        <f t="shared" si="97"/>
        <v>---</v>
      </c>
      <c r="T318" s="291" t="str">
        <f t="shared" si="98"/>
        <v>---</v>
      </c>
      <c r="U318" s="291" t="str">
        <f t="shared" si="99"/>
        <v>---</v>
      </c>
      <c r="V318" s="294" t="str">
        <f t="shared" si="100"/>
        <v>---</v>
      </c>
      <c r="W318" s="294" t="str">
        <f t="shared" si="101"/>
        <v>---</v>
      </c>
      <c r="Y318" s="22"/>
      <c r="Z318" s="22"/>
      <c r="AA318" s="22"/>
      <c r="AB318" s="22"/>
      <c r="AC318" s="22"/>
      <c r="AD318" s="22"/>
      <c r="AE318" s="22"/>
      <c r="AF318" s="140" t="str">
        <f t="shared" si="118"/>
        <v>---</v>
      </c>
      <c r="AG318" s="140" t="str">
        <f t="shared" si="119"/>
        <v>---</v>
      </c>
      <c r="AH318" s="140">
        <f t="shared" si="120"/>
        <v>999.99</v>
      </c>
      <c r="AI318" s="263">
        <f t="shared" si="102"/>
        <v>0</v>
      </c>
      <c r="AJ318" s="140" t="str">
        <f t="shared" ref="AJ318:AK318" si="186">F375</f>
        <v>---</v>
      </c>
      <c r="AK318" s="140" t="str">
        <f t="shared" si="186"/>
        <v>---</v>
      </c>
      <c r="AL318" s="140">
        <f t="shared" si="122"/>
        <v>999.99</v>
      </c>
      <c r="AM318" s="263">
        <f t="shared" si="103"/>
        <v>0</v>
      </c>
      <c r="AN318" s="140" t="str">
        <f>WORKSHEET_CONSTR!C315</f>
        <v>---</v>
      </c>
      <c r="AO318" s="140" t="str">
        <f>WORKSHEET_CONSTR!D315</f>
        <v>---</v>
      </c>
      <c r="AP318" s="140">
        <f t="shared" si="123"/>
        <v>999.99</v>
      </c>
      <c r="AQ318" s="263">
        <f t="shared" si="104"/>
        <v>0</v>
      </c>
      <c r="AR318" s="267" t="str">
        <f t="shared" ref="AR318:AS318" si="187">I375</f>
        <v>---</v>
      </c>
      <c r="AS318" s="140" t="str">
        <f t="shared" si="187"/>
        <v>---</v>
      </c>
      <c r="AT318" s="140">
        <f t="shared" si="125"/>
        <v>999.99</v>
      </c>
      <c r="AU318" s="263">
        <f t="shared" si="105"/>
        <v>0</v>
      </c>
      <c r="AV318" s="140" t="str">
        <f>WORKSHEET_CONSTR!F315</f>
        <v>---</v>
      </c>
      <c r="AW318" s="140" t="str">
        <f>WORKSHEET_CONSTR!G315</f>
        <v>---</v>
      </c>
      <c r="AX318" s="140">
        <f t="shared" si="126"/>
        <v>999.99</v>
      </c>
      <c r="AY318" s="263">
        <f t="shared" si="106"/>
        <v>0</v>
      </c>
      <c r="AZ318" s="267" t="str">
        <f t="shared" si="107"/>
        <v>---</v>
      </c>
      <c r="BA318" s="210" t="str">
        <f t="shared" si="108"/>
        <v>---</v>
      </c>
      <c r="BB318" s="140">
        <f t="shared" si="127"/>
        <v>999.99</v>
      </c>
      <c r="BC318" s="263">
        <f t="shared" si="109"/>
        <v>1</v>
      </c>
      <c r="BD318" s="140" t="str">
        <f>WORKSHEET_CONSTR!I315</f>
        <v>---</v>
      </c>
      <c r="BE318" s="140" t="str">
        <f>WORKSHEET_CONSTR!J315</f>
        <v>---</v>
      </c>
      <c r="BF318" s="140">
        <f t="shared" si="128"/>
        <v>999.99</v>
      </c>
      <c r="BG318" s="263">
        <f t="shared" si="110"/>
        <v>1</v>
      </c>
      <c r="BH318" s="210" t="str">
        <f t="shared" ref="BH318:BI318" si="188">O375</f>
        <v>---</v>
      </c>
      <c r="BI318" s="210" t="str">
        <f t="shared" si="188"/>
        <v>---</v>
      </c>
      <c r="BJ318" s="140">
        <f t="shared" si="134"/>
        <v>999.99</v>
      </c>
      <c r="BK318" s="263">
        <f t="shared" si="111"/>
        <v>1</v>
      </c>
      <c r="BL318" s="140" t="str">
        <f>WORKSHEET_CONSTR!L315</f>
        <v>---</v>
      </c>
      <c r="BM318" s="140" t="str">
        <f>WORKSHEET_CONSTR!M315</f>
        <v>---</v>
      </c>
      <c r="BN318" s="140">
        <f t="shared" si="130"/>
        <v>999.99</v>
      </c>
      <c r="BO318" s="263">
        <f t="shared" si="112"/>
        <v>1</v>
      </c>
      <c r="BP318" s="22"/>
      <c r="BQ318" s="22"/>
      <c r="BR318" s="22"/>
      <c r="BS318" s="22"/>
      <c r="BT318" s="22"/>
      <c r="BU318" s="22"/>
    </row>
    <row r="319" spans="1:73">
      <c r="A319" s="438" t="str">
        <f t="shared" si="113"/>
        <v>---</v>
      </c>
      <c r="B319" s="294" t="str">
        <f t="shared" si="113"/>
        <v>---</v>
      </c>
      <c r="C319" s="294" t="str">
        <f>IF(A319="---","---",INPUT!C132)</f>
        <v>---</v>
      </c>
      <c r="D319" s="294" t="str">
        <f t="shared" si="86"/>
        <v>---</v>
      </c>
      <c r="E319" s="294" t="str">
        <f t="shared" si="87"/>
        <v>---</v>
      </c>
      <c r="F319" s="294" t="str">
        <f t="shared" si="114"/>
        <v>---</v>
      </c>
      <c r="G319" s="294" t="str">
        <f t="shared" si="88"/>
        <v>---</v>
      </c>
      <c r="H319" s="294" t="str">
        <f t="shared" si="89"/>
        <v>---</v>
      </c>
      <c r="I319" s="294" t="str">
        <f t="shared" si="115"/>
        <v>---</v>
      </c>
      <c r="J319" s="294" t="str">
        <f t="shared" si="90"/>
        <v>---</v>
      </c>
      <c r="K319" s="294" t="str">
        <f t="shared" si="91"/>
        <v>---</v>
      </c>
      <c r="L319" s="294" t="str">
        <f t="shared" si="92"/>
        <v>---</v>
      </c>
      <c r="M319" s="291" t="str">
        <f t="shared" si="93"/>
        <v>---</v>
      </c>
      <c r="N319" s="294" t="str">
        <f t="shared" si="94"/>
        <v>---</v>
      </c>
      <c r="O319" s="291" t="str">
        <f t="shared" si="116"/>
        <v>---</v>
      </c>
      <c r="P319" s="294" t="str">
        <f t="shared" si="95"/>
        <v>---</v>
      </c>
      <c r="Q319" s="291" t="str">
        <f t="shared" si="117"/>
        <v>---</v>
      </c>
      <c r="R319" s="294" t="str">
        <f t="shared" si="96"/>
        <v>---</v>
      </c>
      <c r="S319" s="294" t="str">
        <f t="shared" si="97"/>
        <v>---</v>
      </c>
      <c r="T319" s="291" t="str">
        <f t="shared" si="98"/>
        <v>---</v>
      </c>
      <c r="U319" s="291" t="str">
        <f t="shared" si="99"/>
        <v>---</v>
      </c>
      <c r="V319" s="294" t="str">
        <f t="shared" si="100"/>
        <v>---</v>
      </c>
      <c r="W319" s="294" t="str">
        <f t="shared" si="101"/>
        <v>---</v>
      </c>
      <c r="Y319" s="22"/>
      <c r="Z319" s="22"/>
      <c r="AA319" s="22"/>
      <c r="AB319" s="22"/>
      <c r="AC319" s="22"/>
      <c r="AD319" s="22"/>
      <c r="AE319" s="22"/>
      <c r="AF319" s="140" t="str">
        <f t="shared" si="118"/>
        <v>---</v>
      </c>
      <c r="AG319" s="140" t="str">
        <f t="shared" si="119"/>
        <v>---</v>
      </c>
      <c r="AH319" s="140">
        <f t="shared" si="120"/>
        <v>999.99</v>
      </c>
      <c r="AI319" s="263">
        <f t="shared" si="102"/>
        <v>0</v>
      </c>
      <c r="AJ319" s="140" t="str">
        <f t="shared" ref="AJ319:AK319" si="189">F376</f>
        <v>---</v>
      </c>
      <c r="AK319" s="140" t="str">
        <f t="shared" si="189"/>
        <v>---</v>
      </c>
      <c r="AL319" s="140">
        <f t="shared" si="122"/>
        <v>999.99</v>
      </c>
      <c r="AM319" s="263">
        <f t="shared" si="103"/>
        <v>0</v>
      </c>
      <c r="AN319" s="140" t="str">
        <f>WORKSHEET_CONSTR!C316</f>
        <v>---</v>
      </c>
      <c r="AO319" s="140" t="str">
        <f>WORKSHEET_CONSTR!D316</f>
        <v>---</v>
      </c>
      <c r="AP319" s="140">
        <f t="shared" si="123"/>
        <v>999.99</v>
      </c>
      <c r="AQ319" s="263">
        <f t="shared" si="104"/>
        <v>0</v>
      </c>
      <c r="AR319" s="267" t="str">
        <f t="shared" ref="AR319:AS319" si="190">I376</f>
        <v>---</v>
      </c>
      <c r="AS319" s="140" t="str">
        <f t="shared" si="190"/>
        <v>---</v>
      </c>
      <c r="AT319" s="140">
        <f t="shared" si="125"/>
        <v>999.99</v>
      </c>
      <c r="AU319" s="263">
        <f t="shared" si="105"/>
        <v>0</v>
      </c>
      <c r="AV319" s="140" t="str">
        <f>WORKSHEET_CONSTR!F316</f>
        <v>---</v>
      </c>
      <c r="AW319" s="140" t="str">
        <f>WORKSHEET_CONSTR!G316</f>
        <v>---</v>
      </c>
      <c r="AX319" s="140">
        <f t="shared" si="126"/>
        <v>999.99</v>
      </c>
      <c r="AY319" s="263">
        <f t="shared" si="106"/>
        <v>0</v>
      </c>
      <c r="AZ319" s="267" t="str">
        <f t="shared" si="107"/>
        <v>---</v>
      </c>
      <c r="BA319" s="210" t="str">
        <f t="shared" si="108"/>
        <v>---</v>
      </c>
      <c r="BB319" s="140">
        <f t="shared" si="127"/>
        <v>999.99</v>
      </c>
      <c r="BC319" s="263">
        <f t="shared" si="109"/>
        <v>1</v>
      </c>
      <c r="BD319" s="140" t="str">
        <f>WORKSHEET_CONSTR!I316</f>
        <v>---</v>
      </c>
      <c r="BE319" s="140" t="str">
        <f>WORKSHEET_CONSTR!J316</f>
        <v>---</v>
      </c>
      <c r="BF319" s="140">
        <f t="shared" si="128"/>
        <v>999.99</v>
      </c>
      <c r="BG319" s="263">
        <f t="shared" si="110"/>
        <v>1</v>
      </c>
      <c r="BH319" s="210" t="str">
        <f t="shared" ref="BH319:BI319" si="191">O376</f>
        <v>---</v>
      </c>
      <c r="BI319" s="210" t="str">
        <f t="shared" si="191"/>
        <v>---</v>
      </c>
      <c r="BJ319" s="140">
        <f t="shared" si="134"/>
        <v>999.99</v>
      </c>
      <c r="BK319" s="263">
        <f t="shared" si="111"/>
        <v>1</v>
      </c>
      <c r="BL319" s="140" t="str">
        <f>WORKSHEET_CONSTR!L316</f>
        <v>---</v>
      </c>
      <c r="BM319" s="140" t="str">
        <f>WORKSHEET_CONSTR!M316</f>
        <v>---</v>
      </c>
      <c r="BN319" s="140">
        <f t="shared" si="130"/>
        <v>999.99</v>
      </c>
      <c r="BO319" s="263">
        <f t="shared" si="112"/>
        <v>1</v>
      </c>
      <c r="BP319" s="22"/>
      <c r="BQ319" s="22"/>
      <c r="BR319" s="22"/>
      <c r="BS319" s="22"/>
      <c r="BT319" s="22"/>
      <c r="BU319" s="22"/>
    </row>
    <row r="320" spans="1:73">
      <c r="A320" s="438" t="str">
        <f t="shared" si="113"/>
        <v>---</v>
      </c>
      <c r="B320" s="294" t="str">
        <f t="shared" si="113"/>
        <v>---</v>
      </c>
      <c r="C320" s="294" t="str">
        <f>IF(A320="---","---",INPUT!C133)</f>
        <v>---</v>
      </c>
      <c r="D320" s="294" t="str">
        <f t="shared" si="86"/>
        <v>---</v>
      </c>
      <c r="E320" s="294" t="str">
        <f t="shared" si="87"/>
        <v>---</v>
      </c>
      <c r="F320" s="294" t="str">
        <f t="shared" si="114"/>
        <v>---</v>
      </c>
      <c r="G320" s="294" t="str">
        <f t="shared" si="88"/>
        <v>---</v>
      </c>
      <c r="H320" s="294" t="str">
        <f t="shared" si="89"/>
        <v>---</v>
      </c>
      <c r="I320" s="294" t="str">
        <f t="shared" si="115"/>
        <v>---</v>
      </c>
      <c r="J320" s="294" t="str">
        <f t="shared" si="90"/>
        <v>---</v>
      </c>
      <c r="K320" s="294" t="str">
        <f t="shared" si="91"/>
        <v>---</v>
      </c>
      <c r="L320" s="294" t="str">
        <f t="shared" si="92"/>
        <v>---</v>
      </c>
      <c r="M320" s="291" t="str">
        <f t="shared" si="93"/>
        <v>---</v>
      </c>
      <c r="N320" s="294" t="str">
        <f t="shared" si="94"/>
        <v>---</v>
      </c>
      <c r="O320" s="291" t="str">
        <f t="shared" si="116"/>
        <v>---</v>
      </c>
      <c r="P320" s="294" t="str">
        <f t="shared" si="95"/>
        <v>---</v>
      </c>
      <c r="Q320" s="291" t="str">
        <f t="shared" si="117"/>
        <v>---</v>
      </c>
      <c r="R320" s="294" t="str">
        <f t="shared" si="96"/>
        <v>---</v>
      </c>
      <c r="S320" s="294" t="str">
        <f t="shared" si="97"/>
        <v>---</v>
      </c>
      <c r="T320" s="291" t="str">
        <f t="shared" si="98"/>
        <v>---</v>
      </c>
      <c r="U320" s="291" t="str">
        <f t="shared" si="99"/>
        <v>---</v>
      </c>
      <c r="V320" s="294" t="str">
        <f t="shared" si="100"/>
        <v>---</v>
      </c>
      <c r="W320" s="294" t="str">
        <f t="shared" si="101"/>
        <v>---</v>
      </c>
      <c r="Y320" s="22"/>
      <c r="Z320" s="22"/>
      <c r="AA320" s="22"/>
      <c r="AB320" s="22"/>
      <c r="AC320" s="22"/>
      <c r="AD320" s="22"/>
      <c r="AE320" s="22"/>
      <c r="AF320" s="140" t="str">
        <f t="shared" si="118"/>
        <v>---</v>
      </c>
      <c r="AG320" s="140" t="str">
        <f t="shared" si="119"/>
        <v>---</v>
      </c>
      <c r="AH320" s="140">
        <f t="shared" si="120"/>
        <v>999.99</v>
      </c>
      <c r="AI320" s="263">
        <f t="shared" si="102"/>
        <v>0</v>
      </c>
      <c r="AJ320" s="140" t="str">
        <f t="shared" ref="AJ320:AK320" si="192">F377</f>
        <v>---</v>
      </c>
      <c r="AK320" s="140" t="str">
        <f t="shared" si="192"/>
        <v>---</v>
      </c>
      <c r="AL320" s="140">
        <f t="shared" si="122"/>
        <v>999.99</v>
      </c>
      <c r="AM320" s="263">
        <f t="shared" si="103"/>
        <v>0</v>
      </c>
      <c r="AN320" s="140" t="str">
        <f>WORKSHEET_CONSTR!C317</f>
        <v>---</v>
      </c>
      <c r="AO320" s="140" t="str">
        <f>WORKSHEET_CONSTR!D317</f>
        <v>---</v>
      </c>
      <c r="AP320" s="140">
        <f t="shared" si="123"/>
        <v>999.99</v>
      </c>
      <c r="AQ320" s="263">
        <f t="shared" si="104"/>
        <v>0</v>
      </c>
      <c r="AR320" s="267" t="str">
        <f t="shared" ref="AR320:AS320" si="193">I377</f>
        <v>---</v>
      </c>
      <c r="AS320" s="140" t="str">
        <f t="shared" si="193"/>
        <v>---</v>
      </c>
      <c r="AT320" s="140">
        <f t="shared" si="125"/>
        <v>999.99</v>
      </c>
      <c r="AU320" s="263">
        <f t="shared" si="105"/>
        <v>0</v>
      </c>
      <c r="AV320" s="140" t="str">
        <f>WORKSHEET_CONSTR!F317</f>
        <v>---</v>
      </c>
      <c r="AW320" s="140" t="str">
        <f>WORKSHEET_CONSTR!G317</f>
        <v>---</v>
      </c>
      <c r="AX320" s="140">
        <f t="shared" si="126"/>
        <v>999.99</v>
      </c>
      <c r="AY320" s="263">
        <f t="shared" si="106"/>
        <v>0</v>
      </c>
      <c r="AZ320" s="267" t="str">
        <f t="shared" si="107"/>
        <v>---</v>
      </c>
      <c r="BA320" s="210" t="str">
        <f t="shared" si="108"/>
        <v>---</v>
      </c>
      <c r="BB320" s="140">
        <f t="shared" si="127"/>
        <v>999.99</v>
      </c>
      <c r="BC320" s="263">
        <f t="shared" si="109"/>
        <v>1</v>
      </c>
      <c r="BD320" s="140" t="str">
        <f>WORKSHEET_CONSTR!I317</f>
        <v>---</v>
      </c>
      <c r="BE320" s="140" t="str">
        <f>WORKSHEET_CONSTR!J317</f>
        <v>---</v>
      </c>
      <c r="BF320" s="140">
        <f t="shared" si="128"/>
        <v>999.99</v>
      </c>
      <c r="BG320" s="263">
        <f t="shared" si="110"/>
        <v>1</v>
      </c>
      <c r="BH320" s="210" t="str">
        <f t="shared" ref="BH320:BI320" si="194">O377</f>
        <v>---</v>
      </c>
      <c r="BI320" s="210" t="str">
        <f t="shared" si="194"/>
        <v>---</v>
      </c>
      <c r="BJ320" s="140">
        <f t="shared" si="134"/>
        <v>999.99</v>
      </c>
      <c r="BK320" s="263">
        <f t="shared" si="111"/>
        <v>1</v>
      </c>
      <c r="BL320" s="140" t="str">
        <f>WORKSHEET_CONSTR!L317</f>
        <v>---</v>
      </c>
      <c r="BM320" s="140" t="str">
        <f>WORKSHEET_CONSTR!M317</f>
        <v>---</v>
      </c>
      <c r="BN320" s="140">
        <f t="shared" si="130"/>
        <v>999.99</v>
      </c>
      <c r="BO320" s="263">
        <f t="shared" si="112"/>
        <v>1</v>
      </c>
      <c r="BP320" s="22"/>
      <c r="BQ320" s="22"/>
      <c r="BR320" s="22"/>
      <c r="BS320" s="22"/>
      <c r="BT320" s="22"/>
      <c r="BU320" s="22"/>
    </row>
    <row r="321" spans="1:73">
      <c r="A321" s="438" t="str">
        <f t="shared" si="113"/>
        <v>---</v>
      </c>
      <c r="B321" s="294" t="str">
        <f t="shared" si="113"/>
        <v>---</v>
      </c>
      <c r="C321" s="294" t="str">
        <f>IF(A321="---","---",INPUT!C134)</f>
        <v>---</v>
      </c>
      <c r="D321" s="294" t="str">
        <f t="shared" si="86"/>
        <v>---</v>
      </c>
      <c r="E321" s="294" t="str">
        <f t="shared" si="87"/>
        <v>---</v>
      </c>
      <c r="F321" s="294" t="str">
        <f t="shared" si="114"/>
        <v>---</v>
      </c>
      <c r="G321" s="294" t="str">
        <f t="shared" si="88"/>
        <v>---</v>
      </c>
      <c r="H321" s="294" t="str">
        <f t="shared" si="89"/>
        <v>---</v>
      </c>
      <c r="I321" s="294" t="str">
        <f t="shared" si="115"/>
        <v>---</v>
      </c>
      <c r="J321" s="294" t="str">
        <f t="shared" si="90"/>
        <v>---</v>
      </c>
      <c r="K321" s="294" t="str">
        <f t="shared" si="91"/>
        <v>---</v>
      </c>
      <c r="L321" s="294" t="str">
        <f t="shared" si="92"/>
        <v>---</v>
      </c>
      <c r="M321" s="291" t="str">
        <f t="shared" si="93"/>
        <v>---</v>
      </c>
      <c r="N321" s="294" t="str">
        <f t="shared" si="94"/>
        <v>---</v>
      </c>
      <c r="O321" s="291" t="str">
        <f t="shared" si="116"/>
        <v>---</v>
      </c>
      <c r="P321" s="294" t="str">
        <f t="shared" si="95"/>
        <v>---</v>
      </c>
      <c r="Q321" s="291" t="str">
        <f t="shared" si="117"/>
        <v>---</v>
      </c>
      <c r="R321" s="294" t="str">
        <f t="shared" si="96"/>
        <v>---</v>
      </c>
      <c r="S321" s="294" t="str">
        <f t="shared" si="97"/>
        <v>---</v>
      </c>
      <c r="T321" s="291" t="str">
        <f t="shared" si="98"/>
        <v>---</v>
      </c>
      <c r="U321" s="291" t="str">
        <f t="shared" si="99"/>
        <v>---</v>
      </c>
      <c r="V321" s="294" t="str">
        <f t="shared" si="100"/>
        <v>---</v>
      </c>
      <c r="W321" s="294" t="str">
        <f t="shared" si="101"/>
        <v>---</v>
      </c>
      <c r="Y321" s="22"/>
      <c r="Z321" s="22"/>
      <c r="AA321" s="22"/>
      <c r="AB321" s="22"/>
      <c r="AC321" s="22"/>
      <c r="AD321" s="22"/>
      <c r="AE321" s="22"/>
      <c r="AF321" s="140" t="str">
        <f t="shared" si="118"/>
        <v>---</v>
      </c>
      <c r="AG321" s="140" t="str">
        <f t="shared" si="119"/>
        <v>---</v>
      </c>
      <c r="AH321" s="140">
        <f t="shared" si="120"/>
        <v>999.99</v>
      </c>
      <c r="AI321" s="263">
        <f t="shared" si="102"/>
        <v>0</v>
      </c>
      <c r="AJ321" s="140" t="str">
        <f t="shared" ref="AJ321:AK321" si="195">F378</f>
        <v>---</v>
      </c>
      <c r="AK321" s="140" t="str">
        <f t="shared" si="195"/>
        <v>---</v>
      </c>
      <c r="AL321" s="140">
        <f t="shared" si="122"/>
        <v>999.99</v>
      </c>
      <c r="AM321" s="263">
        <f t="shared" si="103"/>
        <v>0</v>
      </c>
      <c r="AN321" s="140" t="str">
        <f>WORKSHEET_CONSTR!C318</f>
        <v>---</v>
      </c>
      <c r="AO321" s="140" t="str">
        <f>WORKSHEET_CONSTR!D318</f>
        <v>---</v>
      </c>
      <c r="AP321" s="140">
        <f t="shared" si="123"/>
        <v>999.99</v>
      </c>
      <c r="AQ321" s="263">
        <f t="shared" si="104"/>
        <v>0</v>
      </c>
      <c r="AR321" s="267" t="str">
        <f t="shared" ref="AR321:AS321" si="196">I378</f>
        <v>---</v>
      </c>
      <c r="AS321" s="140" t="str">
        <f t="shared" si="196"/>
        <v>---</v>
      </c>
      <c r="AT321" s="140">
        <f t="shared" si="125"/>
        <v>999.99</v>
      </c>
      <c r="AU321" s="263">
        <f t="shared" si="105"/>
        <v>0</v>
      </c>
      <c r="AV321" s="140" t="str">
        <f>WORKSHEET_CONSTR!F318</f>
        <v>---</v>
      </c>
      <c r="AW321" s="140" t="str">
        <f>WORKSHEET_CONSTR!G318</f>
        <v>---</v>
      </c>
      <c r="AX321" s="140">
        <f t="shared" si="126"/>
        <v>999.99</v>
      </c>
      <c r="AY321" s="263">
        <f t="shared" si="106"/>
        <v>0</v>
      </c>
      <c r="AZ321" s="267" t="str">
        <f t="shared" si="107"/>
        <v>---</v>
      </c>
      <c r="BA321" s="210" t="str">
        <f t="shared" si="108"/>
        <v>---</v>
      </c>
      <c r="BB321" s="140">
        <f t="shared" si="127"/>
        <v>999.99</v>
      </c>
      <c r="BC321" s="263">
        <f t="shared" si="109"/>
        <v>1</v>
      </c>
      <c r="BD321" s="140" t="str">
        <f>WORKSHEET_CONSTR!I318</f>
        <v>---</v>
      </c>
      <c r="BE321" s="140" t="str">
        <f>WORKSHEET_CONSTR!J318</f>
        <v>---</v>
      </c>
      <c r="BF321" s="140">
        <f t="shared" si="128"/>
        <v>999.99</v>
      </c>
      <c r="BG321" s="263">
        <f t="shared" si="110"/>
        <v>1</v>
      </c>
      <c r="BH321" s="210" t="str">
        <f t="shared" ref="BH321:BI321" si="197">O378</f>
        <v>---</v>
      </c>
      <c r="BI321" s="210" t="str">
        <f t="shared" si="197"/>
        <v>---</v>
      </c>
      <c r="BJ321" s="140">
        <f t="shared" si="134"/>
        <v>999.99</v>
      </c>
      <c r="BK321" s="263">
        <f t="shared" si="111"/>
        <v>1</v>
      </c>
      <c r="BL321" s="140" t="str">
        <f>WORKSHEET_CONSTR!L318</f>
        <v>---</v>
      </c>
      <c r="BM321" s="140" t="str">
        <f>WORKSHEET_CONSTR!M318</f>
        <v>---</v>
      </c>
      <c r="BN321" s="140">
        <f t="shared" si="130"/>
        <v>999.99</v>
      </c>
      <c r="BO321" s="263">
        <f t="shared" si="112"/>
        <v>1</v>
      </c>
      <c r="BP321" s="22"/>
      <c r="BQ321" s="22"/>
      <c r="BR321" s="22"/>
      <c r="BS321" s="22"/>
      <c r="BT321" s="22"/>
      <c r="BU321" s="22"/>
    </row>
    <row r="322" spans="1:73">
      <c r="A322" s="438" t="str">
        <f t="shared" si="113"/>
        <v>---</v>
      </c>
      <c r="B322" s="294" t="str">
        <f t="shared" si="113"/>
        <v>---</v>
      </c>
      <c r="C322" s="294" t="str">
        <f>IF(A322="---","---",INPUT!C135)</f>
        <v>---</v>
      </c>
      <c r="D322" s="294" t="str">
        <f t="shared" si="86"/>
        <v>---</v>
      </c>
      <c r="E322" s="294" t="str">
        <f t="shared" si="87"/>
        <v>---</v>
      </c>
      <c r="F322" s="294" t="str">
        <f t="shared" si="114"/>
        <v>---</v>
      </c>
      <c r="G322" s="294" t="str">
        <f t="shared" si="88"/>
        <v>---</v>
      </c>
      <c r="H322" s="294" t="str">
        <f t="shared" si="89"/>
        <v>---</v>
      </c>
      <c r="I322" s="294" t="str">
        <f t="shared" si="115"/>
        <v>---</v>
      </c>
      <c r="J322" s="294" t="str">
        <f t="shared" si="90"/>
        <v>---</v>
      </c>
      <c r="K322" s="294" t="str">
        <f t="shared" si="91"/>
        <v>---</v>
      </c>
      <c r="L322" s="294" t="str">
        <f t="shared" si="92"/>
        <v>---</v>
      </c>
      <c r="M322" s="291" t="str">
        <f t="shared" si="93"/>
        <v>---</v>
      </c>
      <c r="N322" s="294" t="str">
        <f t="shared" si="94"/>
        <v>---</v>
      </c>
      <c r="O322" s="291" t="str">
        <f t="shared" si="116"/>
        <v>---</v>
      </c>
      <c r="P322" s="294" t="str">
        <f t="shared" si="95"/>
        <v>---</v>
      </c>
      <c r="Q322" s="291" t="str">
        <f t="shared" si="117"/>
        <v>---</v>
      </c>
      <c r="R322" s="294" t="str">
        <f t="shared" si="96"/>
        <v>---</v>
      </c>
      <c r="S322" s="294" t="str">
        <f t="shared" si="97"/>
        <v>---</v>
      </c>
      <c r="T322" s="291" t="str">
        <f t="shared" si="98"/>
        <v>---</v>
      </c>
      <c r="U322" s="291" t="str">
        <f t="shared" si="99"/>
        <v>---</v>
      </c>
      <c r="V322" s="294" t="str">
        <f t="shared" si="100"/>
        <v>---</v>
      </c>
      <c r="W322" s="294" t="str">
        <f t="shared" si="101"/>
        <v>---</v>
      </c>
      <c r="Y322" s="22"/>
      <c r="Z322" s="22"/>
      <c r="AA322" s="22"/>
      <c r="AB322" s="22"/>
      <c r="AC322" s="22"/>
      <c r="AD322" s="22"/>
      <c r="AE322" s="22"/>
      <c r="AF322" s="140" t="str">
        <f t="shared" si="118"/>
        <v>---</v>
      </c>
      <c r="AG322" s="140" t="str">
        <f t="shared" si="119"/>
        <v>---</v>
      </c>
      <c r="AH322" s="140">
        <f t="shared" si="120"/>
        <v>999.99</v>
      </c>
      <c r="AI322" s="263">
        <f t="shared" si="102"/>
        <v>0</v>
      </c>
      <c r="AJ322" s="140" t="str">
        <f t="shared" ref="AJ322:AK322" si="198">F379</f>
        <v>---</v>
      </c>
      <c r="AK322" s="140" t="str">
        <f t="shared" si="198"/>
        <v>---</v>
      </c>
      <c r="AL322" s="140">
        <f t="shared" si="122"/>
        <v>999.99</v>
      </c>
      <c r="AM322" s="263">
        <f t="shared" si="103"/>
        <v>0</v>
      </c>
      <c r="AN322" s="140" t="str">
        <f>WORKSHEET_CONSTR!C319</f>
        <v>---</v>
      </c>
      <c r="AO322" s="140" t="str">
        <f>WORKSHEET_CONSTR!D319</f>
        <v>---</v>
      </c>
      <c r="AP322" s="140">
        <f t="shared" si="123"/>
        <v>999.99</v>
      </c>
      <c r="AQ322" s="263">
        <f t="shared" si="104"/>
        <v>0</v>
      </c>
      <c r="AR322" s="267" t="str">
        <f t="shared" ref="AR322:AS322" si="199">I379</f>
        <v>---</v>
      </c>
      <c r="AS322" s="140" t="str">
        <f t="shared" si="199"/>
        <v>---</v>
      </c>
      <c r="AT322" s="140">
        <f t="shared" si="125"/>
        <v>999.99</v>
      </c>
      <c r="AU322" s="263">
        <f t="shared" si="105"/>
        <v>0</v>
      </c>
      <c r="AV322" s="140" t="str">
        <f>WORKSHEET_CONSTR!F319</f>
        <v>---</v>
      </c>
      <c r="AW322" s="140" t="str">
        <f>WORKSHEET_CONSTR!G319</f>
        <v>---</v>
      </c>
      <c r="AX322" s="140">
        <f t="shared" si="126"/>
        <v>999.99</v>
      </c>
      <c r="AY322" s="263">
        <f t="shared" si="106"/>
        <v>0</v>
      </c>
      <c r="AZ322" s="267" t="str">
        <f t="shared" si="107"/>
        <v>---</v>
      </c>
      <c r="BA322" s="210" t="str">
        <f t="shared" si="108"/>
        <v>---</v>
      </c>
      <c r="BB322" s="140">
        <f t="shared" si="127"/>
        <v>999.99</v>
      </c>
      <c r="BC322" s="263">
        <f t="shared" si="109"/>
        <v>1</v>
      </c>
      <c r="BD322" s="140" t="str">
        <f>WORKSHEET_CONSTR!I319</f>
        <v>---</v>
      </c>
      <c r="BE322" s="140" t="str">
        <f>WORKSHEET_CONSTR!J319</f>
        <v>---</v>
      </c>
      <c r="BF322" s="140">
        <f t="shared" si="128"/>
        <v>999.99</v>
      </c>
      <c r="BG322" s="263">
        <f t="shared" si="110"/>
        <v>1</v>
      </c>
      <c r="BH322" s="210" t="str">
        <f t="shared" ref="BH322:BI322" si="200">O379</f>
        <v>---</v>
      </c>
      <c r="BI322" s="210" t="str">
        <f t="shared" si="200"/>
        <v>---</v>
      </c>
      <c r="BJ322" s="140">
        <f t="shared" si="134"/>
        <v>999.99</v>
      </c>
      <c r="BK322" s="263">
        <f t="shared" si="111"/>
        <v>1</v>
      </c>
      <c r="BL322" s="140" t="str">
        <f>WORKSHEET_CONSTR!L319</f>
        <v>---</v>
      </c>
      <c r="BM322" s="140" t="str">
        <f>WORKSHEET_CONSTR!M319</f>
        <v>---</v>
      </c>
      <c r="BN322" s="140">
        <f t="shared" si="130"/>
        <v>999.99</v>
      </c>
      <c r="BO322" s="263">
        <f t="shared" si="112"/>
        <v>1</v>
      </c>
      <c r="BP322" s="22"/>
      <c r="BQ322" s="22"/>
      <c r="BR322" s="22"/>
      <c r="BS322" s="22"/>
      <c r="BT322" s="22"/>
      <c r="BU322" s="22"/>
    </row>
    <row r="323" spans="1:73">
      <c r="A323" s="438" t="str">
        <f t="shared" si="113"/>
        <v>---</v>
      </c>
      <c r="B323" s="294" t="str">
        <f t="shared" si="113"/>
        <v>---</v>
      </c>
      <c r="C323" s="294" t="str">
        <f>IF(A323="---","---",INPUT!C136)</f>
        <v>---</v>
      </c>
      <c r="D323" s="294" t="str">
        <f t="shared" si="86"/>
        <v>---</v>
      </c>
      <c r="E323" s="294" t="str">
        <f t="shared" si="87"/>
        <v>---</v>
      </c>
      <c r="F323" s="294" t="str">
        <f t="shared" si="114"/>
        <v>---</v>
      </c>
      <c r="G323" s="294" t="str">
        <f t="shared" si="88"/>
        <v>---</v>
      </c>
      <c r="H323" s="294" t="str">
        <f t="shared" si="89"/>
        <v>---</v>
      </c>
      <c r="I323" s="294" t="str">
        <f t="shared" si="115"/>
        <v>---</v>
      </c>
      <c r="J323" s="294" t="str">
        <f t="shared" si="90"/>
        <v>---</v>
      </c>
      <c r="K323" s="294" t="str">
        <f t="shared" si="91"/>
        <v>---</v>
      </c>
      <c r="L323" s="294" t="str">
        <f t="shared" si="92"/>
        <v>---</v>
      </c>
      <c r="M323" s="291" t="str">
        <f t="shared" si="93"/>
        <v>---</v>
      </c>
      <c r="N323" s="294" t="str">
        <f t="shared" si="94"/>
        <v>---</v>
      </c>
      <c r="O323" s="291" t="str">
        <f t="shared" si="116"/>
        <v>---</v>
      </c>
      <c r="P323" s="294" t="str">
        <f t="shared" si="95"/>
        <v>---</v>
      </c>
      <c r="Q323" s="291" t="str">
        <f t="shared" si="117"/>
        <v>---</v>
      </c>
      <c r="R323" s="294" t="str">
        <f t="shared" si="96"/>
        <v>---</v>
      </c>
      <c r="S323" s="294" t="str">
        <f t="shared" si="97"/>
        <v>---</v>
      </c>
      <c r="T323" s="291" t="str">
        <f t="shared" si="98"/>
        <v>---</v>
      </c>
      <c r="U323" s="291" t="str">
        <f t="shared" si="99"/>
        <v>---</v>
      </c>
      <c r="V323" s="294" t="str">
        <f t="shared" si="100"/>
        <v>---</v>
      </c>
      <c r="W323" s="294" t="str">
        <f t="shared" si="101"/>
        <v>---</v>
      </c>
      <c r="Y323" s="22"/>
      <c r="Z323" s="22"/>
      <c r="AA323" s="22"/>
      <c r="AB323" s="22"/>
      <c r="AC323" s="22"/>
      <c r="AD323" s="22"/>
      <c r="AE323" s="22"/>
      <c r="AF323" s="140" t="str">
        <f t="shared" si="118"/>
        <v>---</v>
      </c>
      <c r="AG323" s="140" t="str">
        <f t="shared" si="119"/>
        <v>---</v>
      </c>
      <c r="AH323" s="140">
        <f t="shared" si="120"/>
        <v>999.99</v>
      </c>
      <c r="AI323" s="263">
        <f t="shared" si="102"/>
        <v>0</v>
      </c>
      <c r="AJ323" s="140" t="str">
        <f t="shared" ref="AJ323:AK323" si="201">F380</f>
        <v>---</v>
      </c>
      <c r="AK323" s="140" t="str">
        <f t="shared" si="201"/>
        <v>---</v>
      </c>
      <c r="AL323" s="140">
        <f t="shared" si="122"/>
        <v>999.99</v>
      </c>
      <c r="AM323" s="263">
        <f t="shared" si="103"/>
        <v>0</v>
      </c>
      <c r="AN323" s="140" t="str">
        <f>WORKSHEET_CONSTR!C320</f>
        <v>---</v>
      </c>
      <c r="AO323" s="140" t="str">
        <f>WORKSHEET_CONSTR!D320</f>
        <v>---</v>
      </c>
      <c r="AP323" s="140">
        <f t="shared" si="123"/>
        <v>999.99</v>
      </c>
      <c r="AQ323" s="263">
        <f t="shared" si="104"/>
        <v>0</v>
      </c>
      <c r="AR323" s="267" t="str">
        <f t="shared" ref="AR323:AS323" si="202">I380</f>
        <v>---</v>
      </c>
      <c r="AS323" s="140" t="str">
        <f t="shared" si="202"/>
        <v>---</v>
      </c>
      <c r="AT323" s="140">
        <f t="shared" si="125"/>
        <v>999.99</v>
      </c>
      <c r="AU323" s="263">
        <f t="shared" si="105"/>
        <v>0</v>
      </c>
      <c r="AV323" s="140" t="str">
        <f>WORKSHEET_CONSTR!F320</f>
        <v>---</v>
      </c>
      <c r="AW323" s="140" t="str">
        <f>WORKSHEET_CONSTR!G320</f>
        <v>---</v>
      </c>
      <c r="AX323" s="140">
        <f t="shared" si="126"/>
        <v>999.99</v>
      </c>
      <c r="AY323" s="263">
        <f t="shared" si="106"/>
        <v>0</v>
      </c>
      <c r="AZ323" s="267" t="str">
        <f t="shared" si="107"/>
        <v>---</v>
      </c>
      <c r="BA323" s="210" t="str">
        <f t="shared" si="108"/>
        <v>---</v>
      </c>
      <c r="BB323" s="140">
        <f t="shared" si="127"/>
        <v>999.99</v>
      </c>
      <c r="BC323" s="263">
        <f t="shared" si="109"/>
        <v>1</v>
      </c>
      <c r="BD323" s="140" t="str">
        <f>WORKSHEET_CONSTR!I320</f>
        <v>---</v>
      </c>
      <c r="BE323" s="140" t="str">
        <f>WORKSHEET_CONSTR!J320</f>
        <v>---</v>
      </c>
      <c r="BF323" s="140">
        <f t="shared" si="128"/>
        <v>999.99</v>
      </c>
      <c r="BG323" s="263">
        <f t="shared" si="110"/>
        <v>1</v>
      </c>
      <c r="BH323" s="210" t="str">
        <f t="shared" ref="BH323:BI323" si="203">O380</f>
        <v>---</v>
      </c>
      <c r="BI323" s="210" t="str">
        <f t="shared" si="203"/>
        <v>---</v>
      </c>
      <c r="BJ323" s="140">
        <f t="shared" si="134"/>
        <v>999.99</v>
      </c>
      <c r="BK323" s="263">
        <f t="shared" si="111"/>
        <v>1</v>
      </c>
      <c r="BL323" s="140" t="str">
        <f>WORKSHEET_CONSTR!L320</f>
        <v>---</v>
      </c>
      <c r="BM323" s="140" t="str">
        <f>WORKSHEET_CONSTR!M320</f>
        <v>---</v>
      </c>
      <c r="BN323" s="140">
        <f t="shared" si="130"/>
        <v>999.99</v>
      </c>
      <c r="BO323" s="263">
        <f t="shared" si="112"/>
        <v>1</v>
      </c>
      <c r="BP323" s="22"/>
      <c r="BQ323" s="22"/>
      <c r="BR323" s="22"/>
      <c r="BS323" s="22"/>
      <c r="BT323" s="22"/>
      <c r="BU323" s="22"/>
    </row>
    <row r="324" spans="1:73">
      <c r="A324" s="438" t="str">
        <f t="shared" si="113"/>
        <v>---</v>
      </c>
      <c r="B324" s="294" t="str">
        <f t="shared" si="113"/>
        <v>---</v>
      </c>
      <c r="C324" s="294" t="str">
        <f>IF(A324="---","---",INPUT!C137)</f>
        <v>---</v>
      </c>
      <c r="D324" s="294" t="str">
        <f t="shared" si="86"/>
        <v>---</v>
      </c>
      <c r="E324" s="294" t="str">
        <f t="shared" si="87"/>
        <v>---</v>
      </c>
      <c r="F324" s="294" t="str">
        <f t="shared" si="114"/>
        <v>---</v>
      </c>
      <c r="G324" s="294" t="str">
        <f t="shared" si="88"/>
        <v>---</v>
      </c>
      <c r="H324" s="294" t="str">
        <f t="shared" si="89"/>
        <v>---</v>
      </c>
      <c r="I324" s="294" t="str">
        <f t="shared" si="115"/>
        <v>---</v>
      </c>
      <c r="J324" s="294" t="str">
        <f t="shared" si="90"/>
        <v>---</v>
      </c>
      <c r="K324" s="294" t="str">
        <f t="shared" si="91"/>
        <v>---</v>
      </c>
      <c r="L324" s="294" t="str">
        <f t="shared" si="92"/>
        <v>---</v>
      </c>
      <c r="M324" s="291" t="str">
        <f t="shared" si="93"/>
        <v>---</v>
      </c>
      <c r="N324" s="294" t="str">
        <f t="shared" si="94"/>
        <v>---</v>
      </c>
      <c r="O324" s="291" t="str">
        <f t="shared" si="116"/>
        <v>---</v>
      </c>
      <c r="P324" s="294" t="str">
        <f t="shared" si="95"/>
        <v>---</v>
      </c>
      <c r="Q324" s="291" t="str">
        <f t="shared" si="117"/>
        <v>---</v>
      </c>
      <c r="R324" s="294" t="str">
        <f t="shared" si="96"/>
        <v>---</v>
      </c>
      <c r="S324" s="294" t="str">
        <f t="shared" si="97"/>
        <v>---</v>
      </c>
      <c r="T324" s="291" t="str">
        <f t="shared" si="98"/>
        <v>---</v>
      </c>
      <c r="U324" s="291" t="str">
        <f t="shared" si="99"/>
        <v>---</v>
      </c>
      <c r="V324" s="294" t="str">
        <f t="shared" si="100"/>
        <v>---</v>
      </c>
      <c r="W324" s="294" t="str">
        <f t="shared" si="101"/>
        <v>---</v>
      </c>
      <c r="Y324" s="22"/>
      <c r="Z324" s="22"/>
      <c r="AA324" s="22"/>
      <c r="AB324" s="22"/>
      <c r="AC324" s="22"/>
      <c r="AD324" s="22"/>
      <c r="AE324" s="22"/>
      <c r="AF324" s="140" t="str">
        <f t="shared" si="118"/>
        <v>---</v>
      </c>
      <c r="AG324" s="140" t="str">
        <f t="shared" si="119"/>
        <v>---</v>
      </c>
      <c r="AH324" s="140">
        <f t="shared" si="120"/>
        <v>999.99</v>
      </c>
      <c r="AI324" s="263">
        <f t="shared" si="102"/>
        <v>0</v>
      </c>
      <c r="AJ324" s="140" t="str">
        <f t="shared" ref="AJ324:AK324" si="204">F381</f>
        <v>---</v>
      </c>
      <c r="AK324" s="140" t="str">
        <f t="shared" si="204"/>
        <v>---</v>
      </c>
      <c r="AL324" s="140">
        <f t="shared" si="122"/>
        <v>999.99</v>
      </c>
      <c r="AM324" s="263">
        <f t="shared" si="103"/>
        <v>0</v>
      </c>
      <c r="AN324" s="140" t="str">
        <f>WORKSHEET_CONSTR!C321</f>
        <v>---</v>
      </c>
      <c r="AO324" s="140" t="str">
        <f>WORKSHEET_CONSTR!D321</f>
        <v>---</v>
      </c>
      <c r="AP324" s="140">
        <f t="shared" si="123"/>
        <v>999.99</v>
      </c>
      <c r="AQ324" s="263">
        <f t="shared" si="104"/>
        <v>0</v>
      </c>
      <c r="AR324" s="267" t="str">
        <f t="shared" ref="AR324:AS324" si="205">I381</f>
        <v>---</v>
      </c>
      <c r="AS324" s="140" t="str">
        <f t="shared" si="205"/>
        <v>---</v>
      </c>
      <c r="AT324" s="140">
        <f t="shared" si="125"/>
        <v>999.99</v>
      </c>
      <c r="AU324" s="263">
        <f t="shared" si="105"/>
        <v>0</v>
      </c>
      <c r="AV324" s="140" t="str">
        <f>WORKSHEET_CONSTR!F321</f>
        <v>---</v>
      </c>
      <c r="AW324" s="140" t="str">
        <f>WORKSHEET_CONSTR!G321</f>
        <v>---</v>
      </c>
      <c r="AX324" s="140">
        <f t="shared" si="126"/>
        <v>999.99</v>
      </c>
      <c r="AY324" s="263">
        <f t="shared" si="106"/>
        <v>0</v>
      </c>
      <c r="AZ324" s="267" t="str">
        <f t="shared" si="107"/>
        <v>---</v>
      </c>
      <c r="BA324" s="210" t="str">
        <f t="shared" si="108"/>
        <v>---</v>
      </c>
      <c r="BB324" s="140">
        <f t="shared" si="127"/>
        <v>999.99</v>
      </c>
      <c r="BC324" s="263">
        <f t="shared" si="109"/>
        <v>1</v>
      </c>
      <c r="BD324" s="140" t="str">
        <f>WORKSHEET_CONSTR!I321</f>
        <v>---</v>
      </c>
      <c r="BE324" s="140" t="str">
        <f>WORKSHEET_CONSTR!J321</f>
        <v>---</v>
      </c>
      <c r="BF324" s="140">
        <f t="shared" si="128"/>
        <v>999.99</v>
      </c>
      <c r="BG324" s="263">
        <f t="shared" si="110"/>
        <v>1</v>
      </c>
      <c r="BH324" s="210" t="str">
        <f t="shared" ref="BH324:BI324" si="206">O381</f>
        <v>---</v>
      </c>
      <c r="BI324" s="210" t="str">
        <f t="shared" si="206"/>
        <v>---</v>
      </c>
      <c r="BJ324" s="140">
        <f t="shared" si="134"/>
        <v>999.99</v>
      </c>
      <c r="BK324" s="263">
        <f t="shared" si="111"/>
        <v>1</v>
      </c>
      <c r="BL324" s="140" t="str">
        <f>WORKSHEET_CONSTR!L321</f>
        <v>---</v>
      </c>
      <c r="BM324" s="140" t="str">
        <f>WORKSHEET_CONSTR!M321</f>
        <v>---</v>
      </c>
      <c r="BN324" s="140">
        <f t="shared" si="130"/>
        <v>999.99</v>
      </c>
      <c r="BO324" s="263">
        <f t="shared" si="112"/>
        <v>1</v>
      </c>
      <c r="BP324" s="22"/>
      <c r="BQ324" s="22"/>
      <c r="BR324" s="22"/>
      <c r="BS324" s="22"/>
      <c r="BT324" s="22"/>
      <c r="BU324" s="22"/>
    </row>
    <row r="325" spans="1:73">
      <c r="A325" s="438" t="str">
        <f t="shared" si="113"/>
        <v>---</v>
      </c>
      <c r="B325" s="294" t="str">
        <f t="shared" si="113"/>
        <v>---</v>
      </c>
      <c r="C325" s="294" t="str">
        <f>IF(A325="---","---",INPUT!C138)</f>
        <v>---</v>
      </c>
      <c r="D325" s="294" t="str">
        <f t="shared" si="86"/>
        <v>---</v>
      </c>
      <c r="E325" s="294" t="str">
        <f t="shared" si="87"/>
        <v>---</v>
      </c>
      <c r="F325" s="294" t="str">
        <f t="shared" si="114"/>
        <v>---</v>
      </c>
      <c r="G325" s="294" t="str">
        <f t="shared" si="88"/>
        <v>---</v>
      </c>
      <c r="H325" s="294" t="str">
        <f t="shared" si="89"/>
        <v>---</v>
      </c>
      <c r="I325" s="294" t="str">
        <f t="shared" si="115"/>
        <v>---</v>
      </c>
      <c r="J325" s="294" t="str">
        <f t="shared" si="90"/>
        <v>---</v>
      </c>
      <c r="K325" s="294" t="str">
        <f t="shared" si="91"/>
        <v>---</v>
      </c>
      <c r="L325" s="294" t="str">
        <f t="shared" si="92"/>
        <v>---</v>
      </c>
      <c r="M325" s="291" t="str">
        <f t="shared" si="93"/>
        <v>---</v>
      </c>
      <c r="N325" s="294" t="str">
        <f t="shared" si="94"/>
        <v>---</v>
      </c>
      <c r="O325" s="291" t="str">
        <f t="shared" si="116"/>
        <v>---</v>
      </c>
      <c r="P325" s="294" t="str">
        <f t="shared" si="95"/>
        <v>---</v>
      </c>
      <c r="Q325" s="291" t="str">
        <f t="shared" si="117"/>
        <v>---</v>
      </c>
      <c r="R325" s="294" t="str">
        <f t="shared" si="96"/>
        <v>---</v>
      </c>
      <c r="S325" s="294" t="str">
        <f t="shared" si="97"/>
        <v>---</v>
      </c>
      <c r="T325" s="291" t="str">
        <f t="shared" si="98"/>
        <v>---</v>
      </c>
      <c r="U325" s="291" t="str">
        <f t="shared" si="99"/>
        <v>---</v>
      </c>
      <c r="V325" s="294" t="str">
        <f t="shared" si="100"/>
        <v>---</v>
      </c>
      <c r="W325" s="294" t="str">
        <f t="shared" si="101"/>
        <v>---</v>
      </c>
      <c r="Y325" s="22"/>
      <c r="Z325" s="22"/>
      <c r="AA325" s="22"/>
      <c r="AB325" s="22"/>
      <c r="AC325" s="22"/>
      <c r="AD325" s="22"/>
      <c r="AE325" s="22"/>
      <c r="AF325" s="140" t="str">
        <f t="shared" si="118"/>
        <v>---</v>
      </c>
      <c r="AG325" s="140" t="str">
        <f t="shared" si="119"/>
        <v>---</v>
      </c>
      <c r="AH325" s="140">
        <f t="shared" si="120"/>
        <v>999.99</v>
      </c>
      <c r="AI325" s="263">
        <f t="shared" si="102"/>
        <v>0</v>
      </c>
      <c r="AJ325" s="140" t="str">
        <f t="shared" ref="AJ325:AK325" si="207">F382</f>
        <v>---</v>
      </c>
      <c r="AK325" s="140" t="str">
        <f t="shared" si="207"/>
        <v>---</v>
      </c>
      <c r="AL325" s="140">
        <f t="shared" si="122"/>
        <v>999.99</v>
      </c>
      <c r="AM325" s="263">
        <f t="shared" si="103"/>
        <v>0</v>
      </c>
      <c r="AN325" s="140" t="str">
        <f>WORKSHEET_CONSTR!C322</f>
        <v>---</v>
      </c>
      <c r="AO325" s="140" t="str">
        <f>WORKSHEET_CONSTR!D322</f>
        <v>---</v>
      </c>
      <c r="AP325" s="140">
        <f t="shared" si="123"/>
        <v>999.99</v>
      </c>
      <c r="AQ325" s="263">
        <f t="shared" si="104"/>
        <v>0</v>
      </c>
      <c r="AR325" s="267" t="str">
        <f t="shared" ref="AR325:AS325" si="208">I382</f>
        <v>---</v>
      </c>
      <c r="AS325" s="140" t="str">
        <f t="shared" si="208"/>
        <v>---</v>
      </c>
      <c r="AT325" s="140">
        <f t="shared" si="125"/>
        <v>999.99</v>
      </c>
      <c r="AU325" s="263">
        <f t="shared" si="105"/>
        <v>0</v>
      </c>
      <c r="AV325" s="140" t="str">
        <f>WORKSHEET_CONSTR!F322</f>
        <v>---</v>
      </c>
      <c r="AW325" s="140" t="str">
        <f>WORKSHEET_CONSTR!G322</f>
        <v>---</v>
      </c>
      <c r="AX325" s="140">
        <f t="shared" si="126"/>
        <v>999.99</v>
      </c>
      <c r="AY325" s="263">
        <f t="shared" si="106"/>
        <v>0</v>
      </c>
      <c r="AZ325" s="267" t="str">
        <f t="shared" si="107"/>
        <v>---</v>
      </c>
      <c r="BA325" s="210" t="str">
        <f t="shared" si="108"/>
        <v>---</v>
      </c>
      <c r="BB325" s="140">
        <f t="shared" si="127"/>
        <v>999.99</v>
      </c>
      <c r="BC325" s="263">
        <f t="shared" si="109"/>
        <v>1</v>
      </c>
      <c r="BD325" s="140" t="str">
        <f>WORKSHEET_CONSTR!I322</f>
        <v>---</v>
      </c>
      <c r="BE325" s="140" t="str">
        <f>WORKSHEET_CONSTR!J322</f>
        <v>---</v>
      </c>
      <c r="BF325" s="140">
        <f t="shared" si="128"/>
        <v>999.99</v>
      </c>
      <c r="BG325" s="263">
        <f t="shared" si="110"/>
        <v>1</v>
      </c>
      <c r="BH325" s="210" t="str">
        <f t="shared" ref="BH325:BI325" si="209">O382</f>
        <v>---</v>
      </c>
      <c r="BI325" s="210" t="str">
        <f t="shared" si="209"/>
        <v>---</v>
      </c>
      <c r="BJ325" s="140">
        <f t="shared" si="134"/>
        <v>999.99</v>
      </c>
      <c r="BK325" s="263">
        <f t="shared" si="111"/>
        <v>1</v>
      </c>
      <c r="BL325" s="140" t="str">
        <f>WORKSHEET_CONSTR!L322</f>
        <v>---</v>
      </c>
      <c r="BM325" s="140" t="str">
        <f>WORKSHEET_CONSTR!M322</f>
        <v>---</v>
      </c>
      <c r="BN325" s="140">
        <f t="shared" si="130"/>
        <v>999.99</v>
      </c>
      <c r="BO325" s="263">
        <f t="shared" si="112"/>
        <v>1</v>
      </c>
      <c r="BP325" s="22"/>
      <c r="BQ325" s="22"/>
      <c r="BR325" s="22"/>
      <c r="BS325" s="22"/>
      <c r="BT325" s="22"/>
      <c r="BU325" s="22"/>
    </row>
    <row r="326" spans="1:73">
      <c r="A326" s="438" t="str">
        <f t="shared" si="113"/>
        <v>---</v>
      </c>
      <c r="B326" s="294" t="str">
        <f t="shared" si="113"/>
        <v>---</v>
      </c>
      <c r="C326" s="294" t="str">
        <f>IF(A326="---","---",INPUT!C139)</f>
        <v>---</v>
      </c>
      <c r="D326" s="294" t="str">
        <f t="shared" si="86"/>
        <v>---</v>
      </c>
      <c r="E326" s="294" t="str">
        <f t="shared" si="87"/>
        <v>---</v>
      </c>
      <c r="F326" s="294" t="str">
        <f t="shared" si="114"/>
        <v>---</v>
      </c>
      <c r="G326" s="294" t="str">
        <f t="shared" si="88"/>
        <v>---</v>
      </c>
      <c r="H326" s="294" t="str">
        <f t="shared" si="89"/>
        <v>---</v>
      </c>
      <c r="I326" s="294" t="str">
        <f t="shared" si="115"/>
        <v>---</v>
      </c>
      <c r="J326" s="294" t="str">
        <f t="shared" si="90"/>
        <v>---</v>
      </c>
      <c r="K326" s="294" t="str">
        <f t="shared" si="91"/>
        <v>---</v>
      </c>
      <c r="L326" s="294" t="str">
        <f t="shared" si="92"/>
        <v>---</v>
      </c>
      <c r="M326" s="291" t="str">
        <f t="shared" si="93"/>
        <v>---</v>
      </c>
      <c r="N326" s="294" t="str">
        <f t="shared" si="94"/>
        <v>---</v>
      </c>
      <c r="O326" s="291" t="str">
        <f t="shared" si="116"/>
        <v>---</v>
      </c>
      <c r="P326" s="294" t="str">
        <f t="shared" si="95"/>
        <v>---</v>
      </c>
      <c r="Q326" s="291" t="str">
        <f t="shared" si="117"/>
        <v>---</v>
      </c>
      <c r="R326" s="294" t="str">
        <f t="shared" si="96"/>
        <v>---</v>
      </c>
      <c r="S326" s="294" t="str">
        <f t="shared" si="97"/>
        <v>---</v>
      </c>
      <c r="T326" s="291" t="str">
        <f t="shared" si="98"/>
        <v>---</v>
      </c>
      <c r="U326" s="291" t="str">
        <f t="shared" si="99"/>
        <v>---</v>
      </c>
      <c r="V326" s="294" t="str">
        <f t="shared" si="100"/>
        <v>---</v>
      </c>
      <c r="W326" s="294" t="str">
        <f t="shared" si="101"/>
        <v>---</v>
      </c>
      <c r="Y326" s="22"/>
      <c r="Z326" s="22"/>
      <c r="AA326" s="22"/>
      <c r="AB326" s="22"/>
      <c r="AC326" s="22"/>
      <c r="AD326" s="22"/>
      <c r="AE326" s="22"/>
      <c r="AF326" s="140" t="str">
        <f t="shared" si="118"/>
        <v>---</v>
      </c>
      <c r="AG326" s="140" t="str">
        <f t="shared" si="119"/>
        <v>---</v>
      </c>
      <c r="AH326" s="140">
        <f t="shared" si="120"/>
        <v>999.99</v>
      </c>
      <c r="AI326" s="263">
        <f t="shared" si="102"/>
        <v>0</v>
      </c>
      <c r="AJ326" s="140" t="str">
        <f t="shared" ref="AJ326:AK326" si="210">F383</f>
        <v>---</v>
      </c>
      <c r="AK326" s="140" t="str">
        <f t="shared" si="210"/>
        <v>---</v>
      </c>
      <c r="AL326" s="140">
        <f t="shared" si="122"/>
        <v>999.99</v>
      </c>
      <c r="AM326" s="263">
        <f t="shared" si="103"/>
        <v>0</v>
      </c>
      <c r="AN326" s="140" t="str">
        <f>WORKSHEET_CONSTR!C323</f>
        <v>---</v>
      </c>
      <c r="AO326" s="140" t="str">
        <f>WORKSHEET_CONSTR!D323</f>
        <v>---</v>
      </c>
      <c r="AP326" s="140">
        <f t="shared" si="123"/>
        <v>999.99</v>
      </c>
      <c r="AQ326" s="263">
        <f t="shared" si="104"/>
        <v>0</v>
      </c>
      <c r="AR326" s="267" t="str">
        <f t="shared" ref="AR326:AS326" si="211">I383</f>
        <v>---</v>
      </c>
      <c r="AS326" s="140" t="str">
        <f t="shared" si="211"/>
        <v>---</v>
      </c>
      <c r="AT326" s="140">
        <f t="shared" si="125"/>
        <v>999.99</v>
      </c>
      <c r="AU326" s="263">
        <f t="shared" si="105"/>
        <v>0</v>
      </c>
      <c r="AV326" s="140" t="str">
        <f>WORKSHEET_CONSTR!F323</f>
        <v>---</v>
      </c>
      <c r="AW326" s="140" t="str">
        <f>WORKSHEET_CONSTR!G323</f>
        <v>---</v>
      </c>
      <c r="AX326" s="140">
        <f t="shared" si="126"/>
        <v>999.99</v>
      </c>
      <c r="AY326" s="263">
        <f t="shared" si="106"/>
        <v>0</v>
      </c>
      <c r="AZ326" s="267" t="str">
        <f t="shared" si="107"/>
        <v>---</v>
      </c>
      <c r="BA326" s="210" t="str">
        <f t="shared" si="108"/>
        <v>---</v>
      </c>
      <c r="BB326" s="140">
        <f t="shared" si="127"/>
        <v>999.99</v>
      </c>
      <c r="BC326" s="263">
        <f t="shared" si="109"/>
        <v>1</v>
      </c>
      <c r="BD326" s="140" t="str">
        <f>WORKSHEET_CONSTR!I323</f>
        <v>---</v>
      </c>
      <c r="BE326" s="140" t="str">
        <f>WORKSHEET_CONSTR!J323</f>
        <v>---</v>
      </c>
      <c r="BF326" s="140">
        <f t="shared" si="128"/>
        <v>999.99</v>
      </c>
      <c r="BG326" s="263">
        <f t="shared" si="110"/>
        <v>1</v>
      </c>
      <c r="BH326" s="210" t="str">
        <f t="shared" ref="BH326:BI326" si="212">O383</f>
        <v>---</v>
      </c>
      <c r="BI326" s="210" t="str">
        <f t="shared" si="212"/>
        <v>---</v>
      </c>
      <c r="BJ326" s="140">
        <f t="shared" si="134"/>
        <v>999.99</v>
      </c>
      <c r="BK326" s="263">
        <f t="shared" si="111"/>
        <v>1</v>
      </c>
      <c r="BL326" s="140" t="str">
        <f>WORKSHEET_CONSTR!L323</f>
        <v>---</v>
      </c>
      <c r="BM326" s="140" t="str">
        <f>WORKSHEET_CONSTR!M323</f>
        <v>---</v>
      </c>
      <c r="BN326" s="140">
        <f t="shared" si="130"/>
        <v>999.99</v>
      </c>
      <c r="BO326" s="263">
        <f t="shared" si="112"/>
        <v>1</v>
      </c>
      <c r="BP326" s="22"/>
      <c r="BQ326" s="22"/>
      <c r="BR326" s="22"/>
      <c r="BS326" s="22"/>
      <c r="BT326" s="22"/>
      <c r="BU326" s="22"/>
    </row>
    <row r="327" spans="1:73">
      <c r="A327" s="438" t="str">
        <f t="shared" si="113"/>
        <v>---</v>
      </c>
      <c r="B327" s="294" t="str">
        <f t="shared" si="113"/>
        <v>---</v>
      </c>
      <c r="C327" s="294" t="str">
        <f>IF(A327="---","---",INPUT!C140)</f>
        <v>---</v>
      </c>
      <c r="D327" s="294" t="str">
        <f t="shared" si="86"/>
        <v>---</v>
      </c>
      <c r="E327" s="294" t="str">
        <f t="shared" si="87"/>
        <v>---</v>
      </c>
      <c r="F327" s="294" t="str">
        <f t="shared" si="114"/>
        <v>---</v>
      </c>
      <c r="G327" s="294" t="str">
        <f t="shared" si="88"/>
        <v>---</v>
      </c>
      <c r="H327" s="294" t="str">
        <f t="shared" si="89"/>
        <v>---</v>
      </c>
      <c r="I327" s="294" t="str">
        <f t="shared" si="115"/>
        <v>---</v>
      </c>
      <c r="J327" s="294" t="str">
        <f t="shared" si="90"/>
        <v>---</v>
      </c>
      <c r="K327" s="294" t="str">
        <f t="shared" si="91"/>
        <v>---</v>
      </c>
      <c r="L327" s="294" t="str">
        <f t="shared" si="92"/>
        <v>---</v>
      </c>
      <c r="M327" s="291" t="str">
        <f t="shared" si="93"/>
        <v>---</v>
      </c>
      <c r="N327" s="294" t="str">
        <f t="shared" si="94"/>
        <v>---</v>
      </c>
      <c r="O327" s="291" t="str">
        <f t="shared" si="116"/>
        <v>---</v>
      </c>
      <c r="P327" s="294" t="str">
        <f t="shared" si="95"/>
        <v>---</v>
      </c>
      <c r="Q327" s="291" t="str">
        <f t="shared" si="117"/>
        <v>---</v>
      </c>
      <c r="R327" s="294" t="str">
        <f t="shared" si="96"/>
        <v>---</v>
      </c>
      <c r="S327" s="294" t="str">
        <f t="shared" si="97"/>
        <v>---</v>
      </c>
      <c r="T327" s="291" t="str">
        <f t="shared" si="98"/>
        <v>---</v>
      </c>
      <c r="U327" s="291" t="str">
        <f t="shared" si="99"/>
        <v>---</v>
      </c>
      <c r="V327" s="294" t="str">
        <f t="shared" si="100"/>
        <v>---</v>
      </c>
      <c r="W327" s="294" t="str">
        <f t="shared" si="101"/>
        <v>---</v>
      </c>
      <c r="Y327" s="22"/>
      <c r="Z327" s="22"/>
      <c r="AA327" s="22"/>
      <c r="AB327" s="22"/>
      <c r="AC327" s="22"/>
      <c r="AD327" s="22"/>
      <c r="AE327" s="22"/>
      <c r="AF327" s="140" t="str">
        <f t="shared" si="118"/>
        <v>---</v>
      </c>
      <c r="AG327" s="140" t="str">
        <f t="shared" si="119"/>
        <v>---</v>
      </c>
      <c r="AH327" s="140">
        <f t="shared" si="120"/>
        <v>999.99</v>
      </c>
      <c r="AI327" s="263">
        <f t="shared" si="102"/>
        <v>0</v>
      </c>
      <c r="AJ327" s="140" t="str">
        <f t="shared" ref="AJ327:AK327" si="213">F384</f>
        <v>---</v>
      </c>
      <c r="AK327" s="140" t="str">
        <f t="shared" si="213"/>
        <v>---</v>
      </c>
      <c r="AL327" s="140">
        <f t="shared" si="122"/>
        <v>999.99</v>
      </c>
      <c r="AM327" s="263">
        <f t="shared" si="103"/>
        <v>0</v>
      </c>
      <c r="AN327" s="140" t="str">
        <f>WORKSHEET_CONSTR!C324</f>
        <v>---</v>
      </c>
      <c r="AO327" s="140" t="str">
        <f>WORKSHEET_CONSTR!D324</f>
        <v>---</v>
      </c>
      <c r="AP327" s="140">
        <f t="shared" si="123"/>
        <v>999.99</v>
      </c>
      <c r="AQ327" s="263">
        <f t="shared" si="104"/>
        <v>0</v>
      </c>
      <c r="AR327" s="267" t="str">
        <f t="shared" ref="AR327:AS327" si="214">I384</f>
        <v>---</v>
      </c>
      <c r="AS327" s="140" t="str">
        <f t="shared" si="214"/>
        <v>---</v>
      </c>
      <c r="AT327" s="140">
        <f t="shared" si="125"/>
        <v>999.99</v>
      </c>
      <c r="AU327" s="263">
        <f t="shared" si="105"/>
        <v>0</v>
      </c>
      <c r="AV327" s="140" t="str">
        <f>WORKSHEET_CONSTR!F324</f>
        <v>---</v>
      </c>
      <c r="AW327" s="140" t="str">
        <f>WORKSHEET_CONSTR!G324</f>
        <v>---</v>
      </c>
      <c r="AX327" s="140">
        <f t="shared" si="126"/>
        <v>999.99</v>
      </c>
      <c r="AY327" s="263">
        <f t="shared" si="106"/>
        <v>0</v>
      </c>
      <c r="AZ327" s="267" t="str">
        <f t="shared" si="107"/>
        <v>---</v>
      </c>
      <c r="BA327" s="210" t="str">
        <f t="shared" si="108"/>
        <v>---</v>
      </c>
      <c r="BB327" s="140">
        <f t="shared" si="127"/>
        <v>999.99</v>
      </c>
      <c r="BC327" s="263">
        <f t="shared" si="109"/>
        <v>1</v>
      </c>
      <c r="BD327" s="140" t="str">
        <f>WORKSHEET_CONSTR!I324</f>
        <v>---</v>
      </c>
      <c r="BE327" s="140" t="str">
        <f>WORKSHEET_CONSTR!J324</f>
        <v>---</v>
      </c>
      <c r="BF327" s="140">
        <f t="shared" si="128"/>
        <v>999.99</v>
      </c>
      <c r="BG327" s="263">
        <f t="shared" si="110"/>
        <v>1</v>
      </c>
      <c r="BH327" s="210" t="str">
        <f t="shared" ref="BH327:BI327" si="215">O384</f>
        <v>---</v>
      </c>
      <c r="BI327" s="210" t="str">
        <f t="shared" si="215"/>
        <v>---</v>
      </c>
      <c r="BJ327" s="140">
        <f t="shared" si="134"/>
        <v>999.99</v>
      </c>
      <c r="BK327" s="263">
        <f t="shared" si="111"/>
        <v>1</v>
      </c>
      <c r="BL327" s="140" t="str">
        <f>WORKSHEET_CONSTR!L324</f>
        <v>---</v>
      </c>
      <c r="BM327" s="140" t="str">
        <f>WORKSHEET_CONSTR!M324</f>
        <v>---</v>
      </c>
      <c r="BN327" s="140">
        <f t="shared" si="130"/>
        <v>999.99</v>
      </c>
      <c r="BO327" s="263">
        <f t="shared" si="112"/>
        <v>1</v>
      </c>
      <c r="BP327" s="22"/>
      <c r="BQ327" s="22"/>
      <c r="BR327" s="22"/>
      <c r="BS327" s="22"/>
      <c r="BT327" s="22"/>
      <c r="BU327" s="22"/>
    </row>
    <row r="328" spans="1:73">
      <c r="A328" s="438" t="str">
        <f t="shared" si="113"/>
        <v>---</v>
      </c>
      <c r="B328" s="294" t="str">
        <f t="shared" si="113"/>
        <v>---</v>
      </c>
      <c r="C328" s="294" t="str">
        <f>IF(A328="---","---",INPUT!C141)</f>
        <v>---</v>
      </c>
      <c r="D328" s="294" t="str">
        <f t="shared" si="86"/>
        <v>---</v>
      </c>
      <c r="E328" s="294" t="str">
        <f t="shared" si="87"/>
        <v>---</v>
      </c>
      <c r="F328" s="294" t="str">
        <f t="shared" si="114"/>
        <v>---</v>
      </c>
      <c r="G328" s="294" t="str">
        <f t="shared" si="88"/>
        <v>---</v>
      </c>
      <c r="H328" s="294" t="str">
        <f t="shared" si="89"/>
        <v>---</v>
      </c>
      <c r="I328" s="294" t="str">
        <f t="shared" si="115"/>
        <v>---</v>
      </c>
      <c r="J328" s="294" t="str">
        <f t="shared" si="90"/>
        <v>---</v>
      </c>
      <c r="K328" s="294" t="str">
        <f t="shared" si="91"/>
        <v>---</v>
      </c>
      <c r="L328" s="294" t="str">
        <f t="shared" si="92"/>
        <v>---</v>
      </c>
      <c r="M328" s="291" t="str">
        <f t="shared" si="93"/>
        <v>---</v>
      </c>
      <c r="N328" s="294" t="str">
        <f t="shared" si="94"/>
        <v>---</v>
      </c>
      <c r="O328" s="291" t="str">
        <f t="shared" si="116"/>
        <v>---</v>
      </c>
      <c r="P328" s="294" t="str">
        <f t="shared" si="95"/>
        <v>---</v>
      </c>
      <c r="Q328" s="291" t="str">
        <f t="shared" si="117"/>
        <v>---</v>
      </c>
      <c r="R328" s="294" t="str">
        <f t="shared" si="96"/>
        <v>---</v>
      </c>
      <c r="S328" s="294" t="str">
        <f t="shared" si="97"/>
        <v>---</v>
      </c>
      <c r="T328" s="291" t="str">
        <f t="shared" si="98"/>
        <v>---</v>
      </c>
      <c r="U328" s="291" t="str">
        <f t="shared" si="99"/>
        <v>---</v>
      </c>
      <c r="V328" s="294" t="str">
        <f t="shared" si="100"/>
        <v>---</v>
      </c>
      <c r="W328" s="294" t="str">
        <f t="shared" si="101"/>
        <v>---</v>
      </c>
      <c r="Y328" s="22"/>
      <c r="Z328" s="22"/>
      <c r="AA328" s="22"/>
      <c r="AB328" s="22"/>
      <c r="AC328" s="22"/>
      <c r="AD328" s="22"/>
      <c r="AE328" s="22"/>
      <c r="AF328" s="140" t="str">
        <f t="shared" si="118"/>
        <v>---</v>
      </c>
      <c r="AG328" s="140" t="str">
        <f t="shared" si="119"/>
        <v>---</v>
      </c>
      <c r="AH328" s="140">
        <f t="shared" si="120"/>
        <v>999.99</v>
      </c>
      <c r="AI328" s="263">
        <f t="shared" si="102"/>
        <v>0</v>
      </c>
      <c r="AJ328" s="140" t="str">
        <f t="shared" ref="AJ328:AK328" si="216">F385</f>
        <v>---</v>
      </c>
      <c r="AK328" s="140" t="str">
        <f t="shared" si="216"/>
        <v>---</v>
      </c>
      <c r="AL328" s="140">
        <f t="shared" si="122"/>
        <v>999.99</v>
      </c>
      <c r="AM328" s="263">
        <f t="shared" si="103"/>
        <v>0</v>
      </c>
      <c r="AN328" s="140" t="str">
        <f>WORKSHEET_CONSTR!C325</f>
        <v>---</v>
      </c>
      <c r="AO328" s="140" t="str">
        <f>WORKSHEET_CONSTR!D325</f>
        <v>---</v>
      </c>
      <c r="AP328" s="140">
        <f t="shared" si="123"/>
        <v>999.99</v>
      </c>
      <c r="AQ328" s="263">
        <f t="shared" si="104"/>
        <v>0</v>
      </c>
      <c r="AR328" s="267" t="str">
        <f t="shared" ref="AR328:AS328" si="217">I385</f>
        <v>---</v>
      </c>
      <c r="AS328" s="140" t="str">
        <f t="shared" si="217"/>
        <v>---</v>
      </c>
      <c r="AT328" s="140">
        <f t="shared" si="125"/>
        <v>999.99</v>
      </c>
      <c r="AU328" s="263">
        <f t="shared" si="105"/>
        <v>0</v>
      </c>
      <c r="AV328" s="140" t="str">
        <f>WORKSHEET_CONSTR!F325</f>
        <v>---</v>
      </c>
      <c r="AW328" s="140" t="str">
        <f>WORKSHEET_CONSTR!G325</f>
        <v>---</v>
      </c>
      <c r="AX328" s="140">
        <f t="shared" si="126"/>
        <v>999.99</v>
      </c>
      <c r="AY328" s="263">
        <f t="shared" si="106"/>
        <v>0</v>
      </c>
      <c r="AZ328" s="267" t="str">
        <f t="shared" si="107"/>
        <v>---</v>
      </c>
      <c r="BA328" s="210" t="str">
        <f t="shared" si="108"/>
        <v>---</v>
      </c>
      <c r="BB328" s="140">
        <f t="shared" si="127"/>
        <v>999.99</v>
      </c>
      <c r="BC328" s="263">
        <f t="shared" si="109"/>
        <v>1</v>
      </c>
      <c r="BD328" s="140" t="str">
        <f>WORKSHEET_CONSTR!I325</f>
        <v>---</v>
      </c>
      <c r="BE328" s="140" t="str">
        <f>WORKSHEET_CONSTR!J325</f>
        <v>---</v>
      </c>
      <c r="BF328" s="140">
        <f t="shared" si="128"/>
        <v>999.99</v>
      </c>
      <c r="BG328" s="263">
        <f t="shared" si="110"/>
        <v>1</v>
      </c>
      <c r="BH328" s="210" t="str">
        <f t="shared" ref="BH328:BI328" si="218">O385</f>
        <v>---</v>
      </c>
      <c r="BI328" s="210" t="str">
        <f t="shared" si="218"/>
        <v>---</v>
      </c>
      <c r="BJ328" s="140">
        <f t="shared" si="134"/>
        <v>999.99</v>
      </c>
      <c r="BK328" s="263">
        <f t="shared" si="111"/>
        <v>1</v>
      </c>
      <c r="BL328" s="140" t="str">
        <f>WORKSHEET_CONSTR!L325</f>
        <v>---</v>
      </c>
      <c r="BM328" s="140" t="str">
        <f>WORKSHEET_CONSTR!M325</f>
        <v>---</v>
      </c>
      <c r="BN328" s="140">
        <f t="shared" si="130"/>
        <v>999.99</v>
      </c>
      <c r="BO328" s="263">
        <f t="shared" si="112"/>
        <v>1</v>
      </c>
      <c r="BP328" s="22"/>
      <c r="BQ328" s="22"/>
      <c r="BR328" s="22"/>
      <c r="BS328" s="22"/>
      <c r="BT328" s="22"/>
      <c r="BU328" s="22"/>
    </row>
    <row r="329" spans="1:73">
      <c r="A329" s="438" t="str">
        <f t="shared" si="113"/>
        <v>---</v>
      </c>
      <c r="B329" s="294" t="str">
        <f t="shared" si="113"/>
        <v>---</v>
      </c>
      <c r="C329" s="294" t="str">
        <f>IF(A329="---","---",INPUT!C142)</f>
        <v>---</v>
      </c>
      <c r="D329" s="294" t="str">
        <f t="shared" si="86"/>
        <v>---</v>
      </c>
      <c r="E329" s="294" t="str">
        <f t="shared" si="87"/>
        <v>---</v>
      </c>
      <c r="F329" s="294" t="str">
        <f t="shared" si="114"/>
        <v>---</v>
      </c>
      <c r="G329" s="294" t="str">
        <f t="shared" si="88"/>
        <v>---</v>
      </c>
      <c r="H329" s="294" t="str">
        <f t="shared" si="89"/>
        <v>---</v>
      </c>
      <c r="I329" s="294" t="str">
        <f t="shared" si="115"/>
        <v>---</v>
      </c>
      <c r="J329" s="294" t="str">
        <f t="shared" si="90"/>
        <v>---</v>
      </c>
      <c r="K329" s="294" t="str">
        <f t="shared" si="91"/>
        <v>---</v>
      </c>
      <c r="L329" s="294" t="str">
        <f t="shared" si="92"/>
        <v>---</v>
      </c>
      <c r="M329" s="291" t="str">
        <f t="shared" si="93"/>
        <v>---</v>
      </c>
      <c r="N329" s="294" t="str">
        <f t="shared" si="94"/>
        <v>---</v>
      </c>
      <c r="O329" s="291" t="str">
        <f t="shared" si="116"/>
        <v>---</v>
      </c>
      <c r="P329" s="294" t="str">
        <f t="shared" si="95"/>
        <v>---</v>
      </c>
      <c r="Q329" s="291" t="str">
        <f t="shared" si="117"/>
        <v>---</v>
      </c>
      <c r="R329" s="294" t="str">
        <f t="shared" si="96"/>
        <v>---</v>
      </c>
      <c r="S329" s="294" t="str">
        <f t="shared" si="97"/>
        <v>---</v>
      </c>
      <c r="T329" s="291" t="str">
        <f t="shared" si="98"/>
        <v>---</v>
      </c>
      <c r="U329" s="291" t="str">
        <f t="shared" si="99"/>
        <v>---</v>
      </c>
      <c r="V329" s="294" t="str">
        <f t="shared" si="100"/>
        <v>---</v>
      </c>
      <c r="W329" s="294" t="str">
        <f t="shared" si="101"/>
        <v>---</v>
      </c>
      <c r="Y329" s="22"/>
      <c r="Z329" s="22"/>
      <c r="AA329" s="22"/>
      <c r="AB329" s="22"/>
      <c r="AC329" s="22"/>
      <c r="AD329" s="22"/>
      <c r="AE329" s="22"/>
      <c r="AF329" s="140" t="str">
        <f t="shared" si="118"/>
        <v>---</v>
      </c>
      <c r="AG329" s="140" t="str">
        <f t="shared" si="119"/>
        <v>---</v>
      </c>
      <c r="AH329" s="140">
        <f t="shared" si="120"/>
        <v>999.99</v>
      </c>
      <c r="AI329" s="263">
        <f t="shared" si="102"/>
        <v>0</v>
      </c>
      <c r="AJ329" s="140" t="str">
        <f t="shared" ref="AJ329:AK329" si="219">F386</f>
        <v>---</v>
      </c>
      <c r="AK329" s="140" t="str">
        <f t="shared" si="219"/>
        <v>---</v>
      </c>
      <c r="AL329" s="140">
        <f t="shared" si="122"/>
        <v>999.99</v>
      </c>
      <c r="AM329" s="263">
        <f t="shared" si="103"/>
        <v>0</v>
      </c>
      <c r="AN329" s="140" t="str">
        <f>WORKSHEET_CONSTR!C326</f>
        <v>---</v>
      </c>
      <c r="AO329" s="140" t="str">
        <f>WORKSHEET_CONSTR!D326</f>
        <v>---</v>
      </c>
      <c r="AP329" s="140">
        <f t="shared" si="123"/>
        <v>999.99</v>
      </c>
      <c r="AQ329" s="263">
        <f t="shared" si="104"/>
        <v>0</v>
      </c>
      <c r="AR329" s="267" t="str">
        <f t="shared" ref="AR329:AS329" si="220">I386</f>
        <v>---</v>
      </c>
      <c r="AS329" s="140" t="str">
        <f t="shared" si="220"/>
        <v>---</v>
      </c>
      <c r="AT329" s="140">
        <f t="shared" si="125"/>
        <v>999.99</v>
      </c>
      <c r="AU329" s="263">
        <f t="shared" si="105"/>
        <v>0</v>
      </c>
      <c r="AV329" s="140" t="str">
        <f>WORKSHEET_CONSTR!F326</f>
        <v>---</v>
      </c>
      <c r="AW329" s="140" t="str">
        <f>WORKSHEET_CONSTR!G326</f>
        <v>---</v>
      </c>
      <c r="AX329" s="140">
        <f t="shared" si="126"/>
        <v>999.99</v>
      </c>
      <c r="AY329" s="263">
        <f t="shared" si="106"/>
        <v>0</v>
      </c>
      <c r="AZ329" s="267" t="str">
        <f t="shared" si="107"/>
        <v>---</v>
      </c>
      <c r="BA329" s="210" t="str">
        <f t="shared" si="108"/>
        <v>---</v>
      </c>
      <c r="BB329" s="140">
        <f t="shared" si="127"/>
        <v>999.99</v>
      </c>
      <c r="BC329" s="263">
        <f t="shared" si="109"/>
        <v>1</v>
      </c>
      <c r="BD329" s="140" t="str">
        <f>WORKSHEET_CONSTR!I326</f>
        <v>---</v>
      </c>
      <c r="BE329" s="140" t="str">
        <f>WORKSHEET_CONSTR!J326</f>
        <v>---</v>
      </c>
      <c r="BF329" s="140">
        <f t="shared" si="128"/>
        <v>999.99</v>
      </c>
      <c r="BG329" s="263">
        <f t="shared" si="110"/>
        <v>1</v>
      </c>
      <c r="BH329" s="210" t="str">
        <f t="shared" ref="BH329:BI329" si="221">O386</f>
        <v>---</v>
      </c>
      <c r="BI329" s="210" t="str">
        <f t="shared" si="221"/>
        <v>---</v>
      </c>
      <c r="BJ329" s="140">
        <f t="shared" si="134"/>
        <v>999.99</v>
      </c>
      <c r="BK329" s="263">
        <f t="shared" si="111"/>
        <v>1</v>
      </c>
      <c r="BL329" s="140" t="str">
        <f>WORKSHEET_CONSTR!L326</f>
        <v>---</v>
      </c>
      <c r="BM329" s="140" t="str">
        <f>WORKSHEET_CONSTR!M326</f>
        <v>---</v>
      </c>
      <c r="BN329" s="140">
        <f t="shared" si="130"/>
        <v>999.99</v>
      </c>
      <c r="BO329" s="263">
        <f t="shared" si="112"/>
        <v>1</v>
      </c>
      <c r="BP329" s="22"/>
      <c r="BQ329" s="22"/>
      <c r="BR329" s="22"/>
      <c r="BS329" s="22"/>
      <c r="BT329" s="22"/>
      <c r="BU329" s="22"/>
    </row>
    <row r="330" spans="1:73">
      <c r="A330" s="438" t="str">
        <f t="shared" si="113"/>
        <v>---</v>
      </c>
      <c r="B330" s="294" t="str">
        <f t="shared" si="113"/>
        <v>---</v>
      </c>
      <c r="C330" s="294" t="str">
        <f>IF(A330="---","---",INPUT!C143)</f>
        <v>---</v>
      </c>
      <c r="D330" s="294" t="str">
        <f t="shared" ref="D330:D347" si="222">IF(A330="---","---",IF(Abut_on_Piles="y",MIN(IF(B330&gt;Z_2_Pv,(bf+B330-Ad)/2+d,bf+B330-Ad),L_reinf),"---"))</f>
        <v>---</v>
      </c>
      <c r="E330" s="294" t="str">
        <f t="shared" si="87"/>
        <v>---</v>
      </c>
      <c r="F330" s="294" t="str">
        <f t="shared" ref="F330:F347" si="223">IF(A330="---","---",IF(Type_Reinf="g",1,IF(Type_Reinf="s",MAX((1.2+0.5*(20-B330)/20),1.2),MAX((1.2+1.3*(20-B330)/20),1.2))))</f>
        <v>---</v>
      </c>
      <c r="G330" s="294" t="str">
        <f t="shared" ref="G330:G347" si="224">IF(A330="---","---",F330*ka_int)</f>
        <v>---</v>
      </c>
      <c r="H330" s="294" t="str">
        <f t="shared" ref="H330:H347" si="225">IF(A330="---","---",IF(Abut_on_Piles="y",Pv*bfi/D330,0))</f>
        <v>---</v>
      </c>
      <c r="I330" s="294" t="str">
        <f t="shared" ref="I330:I347" si="226">IF(A330="---","---",gamma_reinf*B330+gamma_fill*S+(1*q_LS_int+q_DW_int+q_ES_int)*(L_reinf/E330)+H330)</f>
        <v>---</v>
      </c>
      <c r="J330" s="294" t="str">
        <f t="shared" ref="J330:J347" si="227">IF(A330="---","---",gamma_reinf*B330+gamma_fill*S+(0*q_LS_int+q_DW_int+q_ES_int)*(L_reinf/E330)+H330)</f>
        <v>---</v>
      </c>
      <c r="K330" s="294" t="str">
        <f t="shared" ref="K330:K347" si="228">IF(A330="---","---",gamma_reinf*B330+gamma_fill*S+(0.5*q_LS_int+q_DW_int+q_ES_int)*(L_reinf/E330)+H330)</f>
        <v>---</v>
      </c>
      <c r="L330" s="294" t="str">
        <f t="shared" ref="L330:L347" si="229">IF(A330="---","---",IF(L_1=0,0,MAX(0,IF(Abut_on_Piles="y",0,0)*2*(L_1-B330)/(L_1^2))))</f>
        <v>---</v>
      </c>
      <c r="M330" s="291" t="str">
        <f t="shared" ref="M330:M347" si="230">IF(A330="---","---",IF(L_1=0,0,MAX(0,IF(Abut_on_Piles="y",0,PH_1)*2*(L_1-B330)/(L_1^2))))</f>
        <v>---</v>
      </c>
      <c r="N330" s="294" t="str">
        <f t="shared" ref="N330:N347" si="231">IF($A330="---","---",gamma_P*(I330*$G330+L330))</f>
        <v>---</v>
      </c>
      <c r="O330" s="291" t="str">
        <f t="shared" si="116"/>
        <v>---</v>
      </c>
      <c r="P330" s="294" t="str">
        <f t="shared" si="95"/>
        <v>---</v>
      </c>
      <c r="Q330" s="291" t="str">
        <f t="shared" si="117"/>
        <v>---</v>
      </c>
      <c r="R330" s="294" t="str">
        <f t="shared" ref="R330:R347" si="232">IF(A330="---","---",IF(V268="N/A","---",$B$291*($B$292*I330*G330+L330)))</f>
        <v>---</v>
      </c>
      <c r="S330" s="294" t="str">
        <f t="shared" ref="S330:S347" si="233">IF(A330="---","---",IF(R330="---","---",R330*C330))</f>
        <v>---</v>
      </c>
      <c r="T330" s="291" t="str">
        <f t="shared" ref="T330:T347" si="234">IF(A330="---","---",IF(Type_Reinf="g",N330*C330,"---"))</f>
        <v>---</v>
      </c>
      <c r="U330" s="291" t="str">
        <f t="shared" ref="U330:U347" si="235">IF(A330="---","---",IF(Type_Reinf="g",IF(L_1=0,0,IF(Abut_on_Piles="y",0,PH_1)*2*(L_1-B330)/(L_1^2))*C330,"---"))</f>
        <v>---</v>
      </c>
      <c r="V330" s="294" t="str">
        <f t="shared" ref="V330:V347" si="236">IF(A330="---","---",gamma_reinf*B330+gamma_fill*S+(0*q_LS_int+q_DW_int+q_ES_int)*(L_reinf/E330)+H330)</f>
        <v>---</v>
      </c>
      <c r="W330" s="294" t="str">
        <f t="shared" ref="W330:W347" si="237">IF(A330="---","---",IF(L_1=0,0,MAX(0,IF(Abut_on_Piles="y",0,0)*2*(L_1-B330)/(L_1^2))))</f>
        <v>---</v>
      </c>
      <c r="Y330" s="22"/>
      <c r="Z330" s="22"/>
      <c r="AA330" s="22"/>
      <c r="AB330" s="22"/>
      <c r="AC330" s="22"/>
      <c r="AD330" s="22"/>
      <c r="AE330" s="22"/>
      <c r="AF330" s="140" t="str">
        <f t="shared" si="118"/>
        <v>---</v>
      </c>
      <c r="AG330" s="140" t="str">
        <f t="shared" si="119"/>
        <v>---</v>
      </c>
      <c r="AH330" s="140">
        <f t="shared" si="120"/>
        <v>999.99</v>
      </c>
      <c r="AI330" s="263">
        <f t="shared" ref="AI330:AI347" si="238">IF(MIN(AH330)=MIN($AH$298:$AH$347,$AL$298:$AL$347,$AP$298:$AP$347),1,0)</f>
        <v>0</v>
      </c>
      <c r="AJ330" s="140" t="str">
        <f t="shared" ref="AJ330:AK330" si="239">F387</f>
        <v>---</v>
      </c>
      <c r="AK330" s="140" t="str">
        <f t="shared" si="239"/>
        <v>---</v>
      </c>
      <c r="AL330" s="140">
        <f t="shared" si="122"/>
        <v>999.99</v>
      </c>
      <c r="AM330" s="263">
        <f t="shared" ref="AM330:AM347" si="240">IF(MIN(AL330)=MIN($AH$298:$AH$347,$AL$298:$AL$347,$AP$298:$AP$347),1,0)</f>
        <v>0</v>
      </c>
      <c r="AN330" s="140" t="str">
        <f>WORKSHEET_CONSTR!C327</f>
        <v>---</v>
      </c>
      <c r="AO330" s="140" t="str">
        <f>WORKSHEET_CONSTR!D327</f>
        <v>---</v>
      </c>
      <c r="AP330" s="140">
        <f t="shared" si="123"/>
        <v>999.99</v>
      </c>
      <c r="AQ330" s="263">
        <f t="shared" ref="AQ330:AQ347" si="241">IF(MIN(AP330)=MIN($AH$298:$AH$347,$AL$298:$AL$347,$AP$298:$AP$347),1,0)</f>
        <v>0</v>
      </c>
      <c r="AR330" s="267" t="str">
        <f t="shared" ref="AR330:AS330" si="242">I387</f>
        <v>---</v>
      </c>
      <c r="AS330" s="140" t="str">
        <f t="shared" si="242"/>
        <v>---</v>
      </c>
      <c r="AT330" s="140">
        <f t="shared" si="125"/>
        <v>999.99</v>
      </c>
      <c r="AU330" s="263">
        <f t="shared" ref="AU330:AU347" si="243">IF(AT330=MIN($AT$298:$AT$347,$AX$298:$AX$347),1,0)</f>
        <v>0</v>
      </c>
      <c r="AV330" s="140" t="str">
        <f>WORKSHEET_CONSTR!F327</f>
        <v>---</v>
      </c>
      <c r="AW330" s="140" t="str">
        <f>WORKSHEET_CONSTR!G327</f>
        <v>---</v>
      </c>
      <c r="AX330" s="140">
        <f t="shared" si="126"/>
        <v>999.99</v>
      </c>
      <c r="AY330" s="263">
        <f t="shared" ref="AY330:AY347" si="244">IF(AX330=MIN($AT$298:$AT$347,$AX$298:$AX$347),1,0)</f>
        <v>0</v>
      </c>
      <c r="AZ330" s="267" t="str">
        <f t="shared" ref="AZ330:AZ347" si="245">L387</f>
        <v>---</v>
      </c>
      <c r="BA330" s="210" t="str">
        <f t="shared" ref="BA330:BA347" si="246">M387</f>
        <v>---</v>
      </c>
      <c r="BB330" s="140">
        <f t="shared" si="127"/>
        <v>999.99</v>
      </c>
      <c r="BC330" s="263">
        <f t="shared" ref="BC330:BC347" si="247">IF(BB330=MIN($BB$298:$BB$347,$BF$298:$BF$347),1,0)</f>
        <v>1</v>
      </c>
      <c r="BD330" s="140" t="str">
        <f>WORKSHEET_CONSTR!I327</f>
        <v>---</v>
      </c>
      <c r="BE330" s="140" t="str">
        <f>WORKSHEET_CONSTR!J327</f>
        <v>---</v>
      </c>
      <c r="BF330" s="140">
        <f t="shared" si="128"/>
        <v>999.99</v>
      </c>
      <c r="BG330" s="263">
        <f t="shared" ref="BG330:BG347" si="248">IF(BF330=MIN($BB$298:$BB$347,$BF$298:$BF$347),1,0)</f>
        <v>1</v>
      </c>
      <c r="BH330" s="210" t="str">
        <f t="shared" ref="BH330:BI330" si="249">O387</f>
        <v>---</v>
      </c>
      <c r="BI330" s="210" t="str">
        <f t="shared" si="249"/>
        <v>---</v>
      </c>
      <c r="BJ330" s="140">
        <f t="shared" si="134"/>
        <v>999.99</v>
      </c>
      <c r="BK330" s="263">
        <f t="shared" ref="BK330:BK347" si="250">IF(BJ330=MIN($BJ$298:$BJ$347,$BN$298:$BN$347),1,0)</f>
        <v>1</v>
      </c>
      <c r="BL330" s="140" t="str">
        <f>WORKSHEET_CONSTR!L327</f>
        <v>---</v>
      </c>
      <c r="BM330" s="140" t="str">
        <f>WORKSHEET_CONSTR!M327</f>
        <v>---</v>
      </c>
      <c r="BN330" s="140">
        <f t="shared" si="130"/>
        <v>999.99</v>
      </c>
      <c r="BO330" s="263">
        <f t="shared" ref="BO330:BO347" si="251">IF(BN330=MIN($BJ$298:$BJ$347,$BN$298:$BN$347),1,0)</f>
        <v>1</v>
      </c>
      <c r="BP330" s="22"/>
      <c r="BQ330" s="22"/>
      <c r="BR330" s="22"/>
      <c r="BS330" s="22"/>
      <c r="BT330" s="22"/>
      <c r="BU330" s="22"/>
    </row>
    <row r="331" spans="1:73">
      <c r="A331" s="438" t="str">
        <f t="shared" si="113"/>
        <v>---</v>
      </c>
      <c r="B331" s="294" t="str">
        <f t="shared" si="113"/>
        <v>---</v>
      </c>
      <c r="C331" s="294" t="str">
        <f>IF(A331="---","---",INPUT!C144)</f>
        <v>---</v>
      </c>
      <c r="D331" s="294" t="str">
        <f t="shared" si="222"/>
        <v>---</v>
      </c>
      <c r="E331" s="294" t="str">
        <f t="shared" si="87"/>
        <v>---</v>
      </c>
      <c r="F331" s="294" t="str">
        <f t="shared" si="223"/>
        <v>---</v>
      </c>
      <c r="G331" s="294" t="str">
        <f t="shared" si="224"/>
        <v>---</v>
      </c>
      <c r="H331" s="294" t="str">
        <f t="shared" si="225"/>
        <v>---</v>
      </c>
      <c r="I331" s="294" t="str">
        <f t="shared" si="226"/>
        <v>---</v>
      </c>
      <c r="J331" s="294" t="str">
        <f t="shared" si="227"/>
        <v>---</v>
      </c>
      <c r="K331" s="294" t="str">
        <f t="shared" si="228"/>
        <v>---</v>
      </c>
      <c r="L331" s="294" t="str">
        <f t="shared" si="229"/>
        <v>---</v>
      </c>
      <c r="M331" s="291" t="str">
        <f t="shared" si="230"/>
        <v>---</v>
      </c>
      <c r="N331" s="294" t="str">
        <f t="shared" si="231"/>
        <v>---</v>
      </c>
      <c r="O331" s="291" t="str">
        <f t="shared" si="116"/>
        <v>---</v>
      </c>
      <c r="P331" s="294" t="str">
        <f t="shared" si="95"/>
        <v>---</v>
      </c>
      <c r="Q331" s="291" t="str">
        <f t="shared" si="117"/>
        <v>---</v>
      </c>
      <c r="R331" s="294" t="str">
        <f t="shared" si="232"/>
        <v>---</v>
      </c>
      <c r="S331" s="294" t="str">
        <f t="shared" si="233"/>
        <v>---</v>
      </c>
      <c r="T331" s="291" t="str">
        <f t="shared" si="234"/>
        <v>---</v>
      </c>
      <c r="U331" s="291" t="str">
        <f t="shared" si="235"/>
        <v>---</v>
      </c>
      <c r="V331" s="294" t="str">
        <f t="shared" si="236"/>
        <v>---</v>
      </c>
      <c r="W331" s="294" t="str">
        <f t="shared" si="237"/>
        <v>---</v>
      </c>
      <c r="Y331" s="22"/>
      <c r="Z331" s="22"/>
      <c r="AA331" s="22"/>
      <c r="AB331" s="22"/>
      <c r="AC331" s="22"/>
      <c r="AD331" s="22"/>
      <c r="AE331" s="22"/>
      <c r="AF331" s="140" t="str">
        <f t="shared" ref="AF331:AF347" si="252">C388</f>
        <v>---</v>
      </c>
      <c r="AG331" s="140" t="str">
        <f t="shared" si="119"/>
        <v>---</v>
      </c>
      <c r="AH331" s="140">
        <f t="shared" si="120"/>
        <v>999.99</v>
      </c>
      <c r="AI331" s="263">
        <f t="shared" si="238"/>
        <v>0</v>
      </c>
      <c r="AJ331" s="140" t="str">
        <f t="shared" ref="AJ331:AK331" si="253">F388</f>
        <v>---</v>
      </c>
      <c r="AK331" s="140" t="str">
        <f t="shared" si="253"/>
        <v>---</v>
      </c>
      <c r="AL331" s="140">
        <f t="shared" si="122"/>
        <v>999.99</v>
      </c>
      <c r="AM331" s="263">
        <f t="shared" si="240"/>
        <v>0</v>
      </c>
      <c r="AN331" s="140" t="str">
        <f>WORKSHEET_CONSTR!C328</f>
        <v>---</v>
      </c>
      <c r="AO331" s="140" t="str">
        <f>WORKSHEET_CONSTR!D328</f>
        <v>---</v>
      </c>
      <c r="AP331" s="140">
        <f t="shared" si="123"/>
        <v>999.99</v>
      </c>
      <c r="AQ331" s="263">
        <f t="shared" si="241"/>
        <v>0</v>
      </c>
      <c r="AR331" s="267" t="str">
        <f t="shared" ref="AR331:AS331" si="254">I388</f>
        <v>---</v>
      </c>
      <c r="AS331" s="140" t="str">
        <f t="shared" si="254"/>
        <v>---</v>
      </c>
      <c r="AT331" s="140">
        <f t="shared" si="125"/>
        <v>999.99</v>
      </c>
      <c r="AU331" s="263">
        <f t="shared" si="243"/>
        <v>0</v>
      </c>
      <c r="AV331" s="140" t="str">
        <f>WORKSHEET_CONSTR!F328</f>
        <v>---</v>
      </c>
      <c r="AW331" s="140" t="str">
        <f>WORKSHEET_CONSTR!G328</f>
        <v>---</v>
      </c>
      <c r="AX331" s="140">
        <f t="shared" si="126"/>
        <v>999.99</v>
      </c>
      <c r="AY331" s="263">
        <f t="shared" si="244"/>
        <v>0</v>
      </c>
      <c r="AZ331" s="267" t="str">
        <f t="shared" si="245"/>
        <v>---</v>
      </c>
      <c r="BA331" s="210" t="str">
        <f t="shared" si="246"/>
        <v>---</v>
      </c>
      <c r="BB331" s="140">
        <f t="shared" si="127"/>
        <v>999.99</v>
      </c>
      <c r="BC331" s="263">
        <f t="shared" si="247"/>
        <v>1</v>
      </c>
      <c r="BD331" s="140" t="str">
        <f>WORKSHEET_CONSTR!I328</f>
        <v>---</v>
      </c>
      <c r="BE331" s="140" t="str">
        <f>WORKSHEET_CONSTR!J328</f>
        <v>---</v>
      </c>
      <c r="BF331" s="140">
        <f t="shared" si="128"/>
        <v>999.99</v>
      </c>
      <c r="BG331" s="263">
        <f t="shared" si="248"/>
        <v>1</v>
      </c>
      <c r="BH331" s="210" t="str">
        <f t="shared" ref="BH331:BI331" si="255">O388</f>
        <v>---</v>
      </c>
      <c r="BI331" s="210" t="str">
        <f t="shared" si="255"/>
        <v>---</v>
      </c>
      <c r="BJ331" s="140">
        <f t="shared" si="134"/>
        <v>999.99</v>
      </c>
      <c r="BK331" s="263">
        <f t="shared" si="250"/>
        <v>1</v>
      </c>
      <c r="BL331" s="140" t="str">
        <f>WORKSHEET_CONSTR!L328</f>
        <v>---</v>
      </c>
      <c r="BM331" s="140" t="str">
        <f>WORKSHEET_CONSTR!M328</f>
        <v>---</v>
      </c>
      <c r="BN331" s="140">
        <f t="shared" si="130"/>
        <v>999.99</v>
      </c>
      <c r="BO331" s="263">
        <f t="shared" si="251"/>
        <v>1</v>
      </c>
      <c r="BP331" s="22"/>
      <c r="BQ331" s="22"/>
      <c r="BR331" s="22"/>
      <c r="BS331" s="22"/>
      <c r="BT331" s="22"/>
      <c r="BU331" s="22"/>
    </row>
    <row r="332" spans="1:73">
      <c r="A332" s="438" t="str">
        <f t="shared" si="113"/>
        <v>---</v>
      </c>
      <c r="B332" s="294" t="str">
        <f t="shared" si="113"/>
        <v>---</v>
      </c>
      <c r="C332" s="294" t="str">
        <f>IF(A332="---","---",INPUT!C145)</f>
        <v>---</v>
      </c>
      <c r="D332" s="294" t="str">
        <f t="shared" si="222"/>
        <v>---</v>
      </c>
      <c r="E332" s="294" t="str">
        <f t="shared" si="87"/>
        <v>---</v>
      </c>
      <c r="F332" s="294" t="str">
        <f t="shared" si="223"/>
        <v>---</v>
      </c>
      <c r="G332" s="294" t="str">
        <f t="shared" si="224"/>
        <v>---</v>
      </c>
      <c r="H332" s="294" t="str">
        <f t="shared" si="225"/>
        <v>---</v>
      </c>
      <c r="I332" s="294" t="str">
        <f t="shared" si="226"/>
        <v>---</v>
      </c>
      <c r="J332" s="294" t="str">
        <f t="shared" si="227"/>
        <v>---</v>
      </c>
      <c r="K332" s="294" t="str">
        <f t="shared" si="228"/>
        <v>---</v>
      </c>
      <c r="L332" s="294" t="str">
        <f t="shared" si="229"/>
        <v>---</v>
      </c>
      <c r="M332" s="291" t="str">
        <f t="shared" si="230"/>
        <v>---</v>
      </c>
      <c r="N332" s="294" t="str">
        <f t="shared" si="231"/>
        <v>---</v>
      </c>
      <c r="O332" s="291" t="str">
        <f t="shared" si="116"/>
        <v>---</v>
      </c>
      <c r="P332" s="294" t="str">
        <f t="shared" si="95"/>
        <v>---</v>
      </c>
      <c r="Q332" s="291" t="str">
        <f t="shared" si="117"/>
        <v>---</v>
      </c>
      <c r="R332" s="294" t="str">
        <f t="shared" si="232"/>
        <v>---</v>
      </c>
      <c r="S332" s="294" t="str">
        <f t="shared" si="233"/>
        <v>---</v>
      </c>
      <c r="T332" s="291" t="str">
        <f t="shared" si="234"/>
        <v>---</v>
      </c>
      <c r="U332" s="291" t="str">
        <f t="shared" si="235"/>
        <v>---</v>
      </c>
      <c r="V332" s="294" t="str">
        <f t="shared" si="236"/>
        <v>---</v>
      </c>
      <c r="W332" s="294" t="str">
        <f t="shared" si="237"/>
        <v>---</v>
      </c>
      <c r="Y332" s="22"/>
      <c r="Z332" s="22"/>
      <c r="AA332" s="22"/>
      <c r="AB332" s="22"/>
      <c r="AC332" s="22"/>
      <c r="AD332" s="22"/>
      <c r="AE332" s="22"/>
      <c r="AF332" s="140" t="str">
        <f t="shared" si="252"/>
        <v>---</v>
      </c>
      <c r="AG332" s="140" t="str">
        <f t="shared" si="119"/>
        <v>---</v>
      </c>
      <c r="AH332" s="140">
        <f t="shared" si="120"/>
        <v>999.99</v>
      </c>
      <c r="AI332" s="263">
        <f t="shared" si="238"/>
        <v>0</v>
      </c>
      <c r="AJ332" s="140" t="str">
        <f t="shared" ref="AJ332:AK332" si="256">F389</f>
        <v>---</v>
      </c>
      <c r="AK332" s="140" t="str">
        <f t="shared" si="256"/>
        <v>---</v>
      </c>
      <c r="AL332" s="140">
        <f t="shared" si="122"/>
        <v>999.99</v>
      </c>
      <c r="AM332" s="263">
        <f t="shared" si="240"/>
        <v>0</v>
      </c>
      <c r="AN332" s="140" t="str">
        <f>WORKSHEET_CONSTR!C329</f>
        <v>---</v>
      </c>
      <c r="AO332" s="140" t="str">
        <f>WORKSHEET_CONSTR!D329</f>
        <v>---</v>
      </c>
      <c r="AP332" s="140">
        <f t="shared" si="123"/>
        <v>999.99</v>
      </c>
      <c r="AQ332" s="263">
        <f t="shared" si="241"/>
        <v>0</v>
      </c>
      <c r="AR332" s="267" t="str">
        <f t="shared" ref="AR332:AS332" si="257">I389</f>
        <v>---</v>
      </c>
      <c r="AS332" s="140" t="str">
        <f t="shared" si="257"/>
        <v>---</v>
      </c>
      <c r="AT332" s="140">
        <f t="shared" si="125"/>
        <v>999.99</v>
      </c>
      <c r="AU332" s="263">
        <f t="shared" si="243"/>
        <v>0</v>
      </c>
      <c r="AV332" s="140" t="str">
        <f>WORKSHEET_CONSTR!F329</f>
        <v>---</v>
      </c>
      <c r="AW332" s="140" t="str">
        <f>WORKSHEET_CONSTR!G329</f>
        <v>---</v>
      </c>
      <c r="AX332" s="140">
        <f t="shared" si="126"/>
        <v>999.99</v>
      </c>
      <c r="AY332" s="263">
        <f t="shared" si="244"/>
        <v>0</v>
      </c>
      <c r="AZ332" s="267" t="str">
        <f t="shared" si="245"/>
        <v>---</v>
      </c>
      <c r="BA332" s="210" t="str">
        <f t="shared" si="246"/>
        <v>---</v>
      </c>
      <c r="BB332" s="140">
        <f t="shared" si="127"/>
        <v>999.99</v>
      </c>
      <c r="BC332" s="263">
        <f t="shared" si="247"/>
        <v>1</v>
      </c>
      <c r="BD332" s="140" t="str">
        <f>WORKSHEET_CONSTR!I329</f>
        <v>---</v>
      </c>
      <c r="BE332" s="140" t="str">
        <f>WORKSHEET_CONSTR!J329</f>
        <v>---</v>
      </c>
      <c r="BF332" s="140">
        <f t="shared" si="128"/>
        <v>999.99</v>
      </c>
      <c r="BG332" s="263">
        <f t="shared" si="248"/>
        <v>1</v>
      </c>
      <c r="BH332" s="210" t="str">
        <f t="shared" ref="BH332:BI332" si="258">O389</f>
        <v>---</v>
      </c>
      <c r="BI332" s="210" t="str">
        <f t="shared" si="258"/>
        <v>---</v>
      </c>
      <c r="BJ332" s="140">
        <f t="shared" si="134"/>
        <v>999.99</v>
      </c>
      <c r="BK332" s="263">
        <f t="shared" si="250"/>
        <v>1</v>
      </c>
      <c r="BL332" s="140" t="str">
        <f>WORKSHEET_CONSTR!L329</f>
        <v>---</v>
      </c>
      <c r="BM332" s="140" t="str">
        <f>WORKSHEET_CONSTR!M329</f>
        <v>---</v>
      </c>
      <c r="BN332" s="140">
        <f t="shared" si="130"/>
        <v>999.99</v>
      </c>
      <c r="BO332" s="263">
        <f t="shared" si="251"/>
        <v>1</v>
      </c>
      <c r="BP332" s="22"/>
      <c r="BQ332" s="22"/>
      <c r="BR332" s="22"/>
      <c r="BS332" s="22"/>
      <c r="BT332" s="22"/>
      <c r="BU332" s="22"/>
    </row>
    <row r="333" spans="1:73">
      <c r="A333" s="438" t="str">
        <f t="shared" si="113"/>
        <v>---</v>
      </c>
      <c r="B333" s="294" t="str">
        <f t="shared" si="113"/>
        <v>---</v>
      </c>
      <c r="C333" s="294" t="str">
        <f>IF(A333="---","---",INPUT!C146)</f>
        <v>---</v>
      </c>
      <c r="D333" s="294" t="str">
        <f t="shared" si="222"/>
        <v>---</v>
      </c>
      <c r="E333" s="294" t="str">
        <f t="shared" si="87"/>
        <v>---</v>
      </c>
      <c r="F333" s="294" t="str">
        <f t="shared" si="223"/>
        <v>---</v>
      </c>
      <c r="G333" s="294" t="str">
        <f t="shared" si="224"/>
        <v>---</v>
      </c>
      <c r="H333" s="294" t="str">
        <f t="shared" si="225"/>
        <v>---</v>
      </c>
      <c r="I333" s="294" t="str">
        <f t="shared" si="226"/>
        <v>---</v>
      </c>
      <c r="J333" s="294" t="str">
        <f t="shared" si="227"/>
        <v>---</v>
      </c>
      <c r="K333" s="294" t="str">
        <f t="shared" si="228"/>
        <v>---</v>
      </c>
      <c r="L333" s="294" t="str">
        <f t="shared" si="229"/>
        <v>---</v>
      </c>
      <c r="M333" s="291" t="str">
        <f t="shared" si="230"/>
        <v>---</v>
      </c>
      <c r="N333" s="294" t="str">
        <f t="shared" si="231"/>
        <v>---</v>
      </c>
      <c r="O333" s="291" t="str">
        <f t="shared" si="116"/>
        <v>---</v>
      </c>
      <c r="P333" s="294" t="str">
        <f t="shared" si="95"/>
        <v>---</v>
      </c>
      <c r="Q333" s="291" t="str">
        <f t="shared" si="117"/>
        <v>---</v>
      </c>
      <c r="R333" s="294" t="str">
        <f t="shared" si="232"/>
        <v>---</v>
      </c>
      <c r="S333" s="294" t="str">
        <f t="shared" si="233"/>
        <v>---</v>
      </c>
      <c r="T333" s="291" t="str">
        <f t="shared" si="234"/>
        <v>---</v>
      </c>
      <c r="U333" s="291" t="str">
        <f t="shared" si="235"/>
        <v>---</v>
      </c>
      <c r="V333" s="294" t="str">
        <f t="shared" si="236"/>
        <v>---</v>
      </c>
      <c r="W333" s="294" t="str">
        <f t="shared" si="237"/>
        <v>---</v>
      </c>
      <c r="Y333" s="22"/>
      <c r="Z333" s="22"/>
      <c r="AA333" s="22"/>
      <c r="AB333" s="22"/>
      <c r="AC333" s="22"/>
      <c r="AD333" s="22"/>
      <c r="AE333" s="22"/>
      <c r="AF333" s="140" t="str">
        <f t="shared" si="252"/>
        <v>---</v>
      </c>
      <c r="AG333" s="140" t="str">
        <f t="shared" si="119"/>
        <v>---</v>
      </c>
      <c r="AH333" s="140">
        <f t="shared" si="120"/>
        <v>999.99</v>
      </c>
      <c r="AI333" s="263">
        <f t="shared" si="238"/>
        <v>0</v>
      </c>
      <c r="AJ333" s="140" t="str">
        <f t="shared" ref="AJ333:AK333" si="259">F390</f>
        <v>---</v>
      </c>
      <c r="AK333" s="140" t="str">
        <f t="shared" si="259"/>
        <v>---</v>
      </c>
      <c r="AL333" s="140">
        <f t="shared" si="122"/>
        <v>999.99</v>
      </c>
      <c r="AM333" s="263">
        <f t="shared" si="240"/>
        <v>0</v>
      </c>
      <c r="AN333" s="140" t="str">
        <f>WORKSHEET_CONSTR!C330</f>
        <v>---</v>
      </c>
      <c r="AO333" s="140" t="str">
        <f>WORKSHEET_CONSTR!D330</f>
        <v>---</v>
      </c>
      <c r="AP333" s="140">
        <f t="shared" si="123"/>
        <v>999.99</v>
      </c>
      <c r="AQ333" s="263">
        <f t="shared" si="241"/>
        <v>0</v>
      </c>
      <c r="AR333" s="267" t="str">
        <f t="shared" ref="AR333:AS333" si="260">I390</f>
        <v>---</v>
      </c>
      <c r="AS333" s="140" t="str">
        <f t="shared" si="260"/>
        <v>---</v>
      </c>
      <c r="AT333" s="140">
        <f t="shared" si="125"/>
        <v>999.99</v>
      </c>
      <c r="AU333" s="263">
        <f t="shared" si="243"/>
        <v>0</v>
      </c>
      <c r="AV333" s="140" t="str">
        <f>WORKSHEET_CONSTR!F330</f>
        <v>---</v>
      </c>
      <c r="AW333" s="140" t="str">
        <f>WORKSHEET_CONSTR!G330</f>
        <v>---</v>
      </c>
      <c r="AX333" s="140">
        <f t="shared" si="126"/>
        <v>999.99</v>
      </c>
      <c r="AY333" s="263">
        <f t="shared" si="244"/>
        <v>0</v>
      </c>
      <c r="AZ333" s="267" t="str">
        <f t="shared" si="245"/>
        <v>---</v>
      </c>
      <c r="BA333" s="210" t="str">
        <f t="shared" si="246"/>
        <v>---</v>
      </c>
      <c r="BB333" s="140">
        <f t="shared" si="127"/>
        <v>999.99</v>
      </c>
      <c r="BC333" s="263">
        <f t="shared" si="247"/>
        <v>1</v>
      </c>
      <c r="BD333" s="140" t="str">
        <f>WORKSHEET_CONSTR!I330</f>
        <v>---</v>
      </c>
      <c r="BE333" s="140" t="str">
        <f>WORKSHEET_CONSTR!J330</f>
        <v>---</v>
      </c>
      <c r="BF333" s="140">
        <f t="shared" si="128"/>
        <v>999.99</v>
      </c>
      <c r="BG333" s="263">
        <f t="shared" si="248"/>
        <v>1</v>
      </c>
      <c r="BH333" s="210" t="str">
        <f t="shared" ref="BH333:BI333" si="261">O390</f>
        <v>---</v>
      </c>
      <c r="BI333" s="210" t="str">
        <f t="shared" si="261"/>
        <v>---</v>
      </c>
      <c r="BJ333" s="140">
        <f t="shared" si="134"/>
        <v>999.99</v>
      </c>
      <c r="BK333" s="263">
        <f t="shared" si="250"/>
        <v>1</v>
      </c>
      <c r="BL333" s="140" t="str">
        <f>WORKSHEET_CONSTR!L330</f>
        <v>---</v>
      </c>
      <c r="BM333" s="140" t="str">
        <f>WORKSHEET_CONSTR!M330</f>
        <v>---</v>
      </c>
      <c r="BN333" s="140">
        <f t="shared" si="130"/>
        <v>999.99</v>
      </c>
      <c r="BO333" s="263">
        <f t="shared" si="251"/>
        <v>1</v>
      </c>
      <c r="BP333" s="22"/>
      <c r="BQ333" s="22"/>
      <c r="BR333" s="22"/>
      <c r="BS333" s="22"/>
      <c r="BT333" s="22"/>
      <c r="BU333" s="22"/>
    </row>
    <row r="334" spans="1:73">
      <c r="A334" s="438" t="str">
        <f t="shared" si="113"/>
        <v>---</v>
      </c>
      <c r="B334" s="294" t="str">
        <f t="shared" si="113"/>
        <v>---</v>
      </c>
      <c r="C334" s="294" t="str">
        <f>IF(A334="---","---",INPUT!C147)</f>
        <v>---</v>
      </c>
      <c r="D334" s="294" t="str">
        <f t="shared" si="222"/>
        <v>---</v>
      </c>
      <c r="E334" s="294" t="str">
        <f t="shared" si="87"/>
        <v>---</v>
      </c>
      <c r="F334" s="294" t="str">
        <f t="shared" si="223"/>
        <v>---</v>
      </c>
      <c r="G334" s="294" t="str">
        <f t="shared" si="224"/>
        <v>---</v>
      </c>
      <c r="H334" s="294" t="str">
        <f t="shared" si="225"/>
        <v>---</v>
      </c>
      <c r="I334" s="294" t="str">
        <f t="shared" si="226"/>
        <v>---</v>
      </c>
      <c r="J334" s="294" t="str">
        <f t="shared" si="227"/>
        <v>---</v>
      </c>
      <c r="K334" s="294" t="str">
        <f t="shared" si="228"/>
        <v>---</v>
      </c>
      <c r="L334" s="294" t="str">
        <f t="shared" si="229"/>
        <v>---</v>
      </c>
      <c r="M334" s="291" t="str">
        <f t="shared" si="230"/>
        <v>---</v>
      </c>
      <c r="N334" s="294" t="str">
        <f t="shared" si="231"/>
        <v>---</v>
      </c>
      <c r="O334" s="291" t="str">
        <f t="shared" si="116"/>
        <v>---</v>
      </c>
      <c r="P334" s="294" t="str">
        <f t="shared" si="95"/>
        <v>---</v>
      </c>
      <c r="Q334" s="291" t="str">
        <f t="shared" si="117"/>
        <v>---</v>
      </c>
      <c r="R334" s="294" t="str">
        <f t="shared" si="232"/>
        <v>---</v>
      </c>
      <c r="S334" s="294" t="str">
        <f t="shared" si="233"/>
        <v>---</v>
      </c>
      <c r="T334" s="291" t="str">
        <f t="shared" si="234"/>
        <v>---</v>
      </c>
      <c r="U334" s="291" t="str">
        <f t="shared" si="235"/>
        <v>---</v>
      </c>
      <c r="V334" s="294" t="str">
        <f t="shared" si="236"/>
        <v>---</v>
      </c>
      <c r="W334" s="294" t="str">
        <f t="shared" si="237"/>
        <v>---</v>
      </c>
      <c r="Y334" s="22"/>
      <c r="Z334" s="22"/>
      <c r="AA334" s="22"/>
      <c r="AB334" s="22"/>
      <c r="AC334" s="22"/>
      <c r="AD334" s="22"/>
      <c r="AE334" s="22"/>
      <c r="AF334" s="140" t="str">
        <f t="shared" si="252"/>
        <v>---</v>
      </c>
      <c r="AG334" s="140" t="str">
        <f t="shared" si="119"/>
        <v>---</v>
      </c>
      <c r="AH334" s="140">
        <f t="shared" si="120"/>
        <v>999.99</v>
      </c>
      <c r="AI334" s="263">
        <f t="shared" si="238"/>
        <v>0</v>
      </c>
      <c r="AJ334" s="140" t="str">
        <f t="shared" ref="AJ334:AK334" si="262">F391</f>
        <v>---</v>
      </c>
      <c r="AK334" s="140" t="str">
        <f t="shared" si="262"/>
        <v>---</v>
      </c>
      <c r="AL334" s="140">
        <f t="shared" si="122"/>
        <v>999.99</v>
      </c>
      <c r="AM334" s="263">
        <f t="shared" si="240"/>
        <v>0</v>
      </c>
      <c r="AN334" s="140" t="str">
        <f>WORKSHEET_CONSTR!C331</f>
        <v>---</v>
      </c>
      <c r="AO334" s="140" t="str">
        <f>WORKSHEET_CONSTR!D331</f>
        <v>---</v>
      </c>
      <c r="AP334" s="140">
        <f t="shared" si="123"/>
        <v>999.99</v>
      </c>
      <c r="AQ334" s="263">
        <f t="shared" si="241"/>
        <v>0</v>
      </c>
      <c r="AR334" s="267" t="str">
        <f t="shared" ref="AR334:AS334" si="263">I391</f>
        <v>---</v>
      </c>
      <c r="AS334" s="140" t="str">
        <f t="shared" si="263"/>
        <v>---</v>
      </c>
      <c r="AT334" s="140">
        <f t="shared" si="125"/>
        <v>999.99</v>
      </c>
      <c r="AU334" s="263">
        <f t="shared" si="243"/>
        <v>0</v>
      </c>
      <c r="AV334" s="140" t="str">
        <f>WORKSHEET_CONSTR!F331</f>
        <v>---</v>
      </c>
      <c r="AW334" s="140" t="str">
        <f>WORKSHEET_CONSTR!G331</f>
        <v>---</v>
      </c>
      <c r="AX334" s="140">
        <f t="shared" si="126"/>
        <v>999.99</v>
      </c>
      <c r="AY334" s="263">
        <f t="shared" si="244"/>
        <v>0</v>
      </c>
      <c r="AZ334" s="267" t="str">
        <f t="shared" si="245"/>
        <v>---</v>
      </c>
      <c r="BA334" s="210" t="str">
        <f t="shared" si="246"/>
        <v>---</v>
      </c>
      <c r="BB334" s="140">
        <f t="shared" si="127"/>
        <v>999.99</v>
      </c>
      <c r="BC334" s="263">
        <f t="shared" si="247"/>
        <v>1</v>
      </c>
      <c r="BD334" s="140" t="str">
        <f>WORKSHEET_CONSTR!I331</f>
        <v>---</v>
      </c>
      <c r="BE334" s="140" t="str">
        <f>WORKSHEET_CONSTR!J331</f>
        <v>---</v>
      </c>
      <c r="BF334" s="140">
        <f t="shared" si="128"/>
        <v>999.99</v>
      </c>
      <c r="BG334" s="263">
        <f t="shared" si="248"/>
        <v>1</v>
      </c>
      <c r="BH334" s="210" t="str">
        <f t="shared" ref="BH334:BI334" si="264">O391</f>
        <v>---</v>
      </c>
      <c r="BI334" s="210" t="str">
        <f t="shared" si="264"/>
        <v>---</v>
      </c>
      <c r="BJ334" s="140">
        <f t="shared" si="134"/>
        <v>999.99</v>
      </c>
      <c r="BK334" s="263">
        <f t="shared" si="250"/>
        <v>1</v>
      </c>
      <c r="BL334" s="140" t="str">
        <f>WORKSHEET_CONSTR!L331</f>
        <v>---</v>
      </c>
      <c r="BM334" s="140" t="str">
        <f>WORKSHEET_CONSTR!M331</f>
        <v>---</v>
      </c>
      <c r="BN334" s="140">
        <f t="shared" si="130"/>
        <v>999.99</v>
      </c>
      <c r="BO334" s="263">
        <f t="shared" si="251"/>
        <v>1</v>
      </c>
      <c r="BP334" s="22"/>
      <c r="BQ334" s="22"/>
      <c r="BR334" s="22"/>
      <c r="BS334" s="22"/>
      <c r="BT334" s="22"/>
      <c r="BU334" s="22"/>
    </row>
    <row r="335" spans="1:73">
      <c r="A335" s="438" t="str">
        <f t="shared" si="113"/>
        <v>---</v>
      </c>
      <c r="B335" s="294" t="str">
        <f t="shared" si="113"/>
        <v>---</v>
      </c>
      <c r="C335" s="294" t="str">
        <f>IF(A335="---","---",INPUT!C148)</f>
        <v>---</v>
      </c>
      <c r="D335" s="294" t="str">
        <f t="shared" si="222"/>
        <v>---</v>
      </c>
      <c r="E335" s="294" t="str">
        <f t="shared" si="87"/>
        <v>---</v>
      </c>
      <c r="F335" s="294" t="str">
        <f t="shared" si="223"/>
        <v>---</v>
      </c>
      <c r="G335" s="294" t="str">
        <f t="shared" si="224"/>
        <v>---</v>
      </c>
      <c r="H335" s="294" t="str">
        <f t="shared" si="225"/>
        <v>---</v>
      </c>
      <c r="I335" s="294" t="str">
        <f t="shared" si="226"/>
        <v>---</v>
      </c>
      <c r="J335" s="294" t="str">
        <f t="shared" si="227"/>
        <v>---</v>
      </c>
      <c r="K335" s="294" t="str">
        <f t="shared" si="228"/>
        <v>---</v>
      </c>
      <c r="L335" s="294" t="str">
        <f t="shared" si="229"/>
        <v>---</v>
      </c>
      <c r="M335" s="291" t="str">
        <f t="shared" si="230"/>
        <v>---</v>
      </c>
      <c r="N335" s="294" t="str">
        <f t="shared" si="231"/>
        <v>---</v>
      </c>
      <c r="O335" s="291" t="str">
        <f t="shared" si="116"/>
        <v>---</v>
      </c>
      <c r="P335" s="294" t="str">
        <f t="shared" si="95"/>
        <v>---</v>
      </c>
      <c r="Q335" s="291" t="str">
        <f t="shared" si="117"/>
        <v>---</v>
      </c>
      <c r="R335" s="294" t="str">
        <f t="shared" si="232"/>
        <v>---</v>
      </c>
      <c r="S335" s="294" t="str">
        <f t="shared" si="233"/>
        <v>---</v>
      </c>
      <c r="T335" s="291" t="str">
        <f t="shared" si="234"/>
        <v>---</v>
      </c>
      <c r="U335" s="291" t="str">
        <f t="shared" si="235"/>
        <v>---</v>
      </c>
      <c r="V335" s="294" t="str">
        <f t="shared" si="236"/>
        <v>---</v>
      </c>
      <c r="W335" s="294" t="str">
        <f t="shared" si="237"/>
        <v>---</v>
      </c>
      <c r="Y335" s="22"/>
      <c r="Z335" s="22"/>
      <c r="AA335" s="22"/>
      <c r="AB335" s="22"/>
      <c r="AC335" s="22"/>
      <c r="AD335" s="22"/>
      <c r="AE335" s="22"/>
      <c r="AF335" s="140" t="str">
        <f t="shared" si="252"/>
        <v>---</v>
      </c>
      <c r="AG335" s="140" t="str">
        <f t="shared" si="119"/>
        <v>---</v>
      </c>
      <c r="AH335" s="140">
        <f t="shared" si="120"/>
        <v>999.99</v>
      </c>
      <c r="AI335" s="263">
        <f t="shared" si="238"/>
        <v>0</v>
      </c>
      <c r="AJ335" s="140" t="str">
        <f t="shared" ref="AJ335:AK335" si="265">F392</f>
        <v>---</v>
      </c>
      <c r="AK335" s="140" t="str">
        <f t="shared" si="265"/>
        <v>---</v>
      </c>
      <c r="AL335" s="140">
        <f t="shared" si="122"/>
        <v>999.99</v>
      </c>
      <c r="AM335" s="263">
        <f t="shared" si="240"/>
        <v>0</v>
      </c>
      <c r="AN335" s="140" t="str">
        <f>WORKSHEET_CONSTR!C332</f>
        <v>---</v>
      </c>
      <c r="AO335" s="140" t="str">
        <f>WORKSHEET_CONSTR!D332</f>
        <v>---</v>
      </c>
      <c r="AP335" s="140">
        <f t="shared" si="123"/>
        <v>999.99</v>
      </c>
      <c r="AQ335" s="263">
        <f t="shared" si="241"/>
        <v>0</v>
      </c>
      <c r="AR335" s="267" t="str">
        <f t="shared" ref="AR335:AS335" si="266">I392</f>
        <v>---</v>
      </c>
      <c r="AS335" s="140" t="str">
        <f t="shared" si="266"/>
        <v>---</v>
      </c>
      <c r="AT335" s="140">
        <f t="shared" si="125"/>
        <v>999.99</v>
      </c>
      <c r="AU335" s="263">
        <f t="shared" si="243"/>
        <v>0</v>
      </c>
      <c r="AV335" s="140" t="str">
        <f>WORKSHEET_CONSTR!F332</f>
        <v>---</v>
      </c>
      <c r="AW335" s="140" t="str">
        <f>WORKSHEET_CONSTR!G332</f>
        <v>---</v>
      </c>
      <c r="AX335" s="140">
        <f t="shared" si="126"/>
        <v>999.99</v>
      </c>
      <c r="AY335" s="263">
        <f t="shared" si="244"/>
        <v>0</v>
      </c>
      <c r="AZ335" s="267" t="str">
        <f t="shared" si="245"/>
        <v>---</v>
      </c>
      <c r="BA335" s="210" t="str">
        <f t="shared" si="246"/>
        <v>---</v>
      </c>
      <c r="BB335" s="140">
        <f t="shared" si="127"/>
        <v>999.99</v>
      </c>
      <c r="BC335" s="263">
        <f t="shared" si="247"/>
        <v>1</v>
      </c>
      <c r="BD335" s="140" t="str">
        <f>WORKSHEET_CONSTR!I332</f>
        <v>---</v>
      </c>
      <c r="BE335" s="140" t="str">
        <f>WORKSHEET_CONSTR!J332</f>
        <v>---</v>
      </c>
      <c r="BF335" s="140">
        <f t="shared" si="128"/>
        <v>999.99</v>
      </c>
      <c r="BG335" s="263">
        <f t="shared" si="248"/>
        <v>1</v>
      </c>
      <c r="BH335" s="210" t="str">
        <f t="shared" ref="BH335:BI335" si="267">O392</f>
        <v>---</v>
      </c>
      <c r="BI335" s="210" t="str">
        <f t="shared" si="267"/>
        <v>---</v>
      </c>
      <c r="BJ335" s="140">
        <f t="shared" si="134"/>
        <v>999.99</v>
      </c>
      <c r="BK335" s="263">
        <f t="shared" si="250"/>
        <v>1</v>
      </c>
      <c r="BL335" s="140" t="str">
        <f>WORKSHEET_CONSTR!L332</f>
        <v>---</v>
      </c>
      <c r="BM335" s="140" t="str">
        <f>WORKSHEET_CONSTR!M332</f>
        <v>---</v>
      </c>
      <c r="BN335" s="140">
        <f t="shared" si="130"/>
        <v>999.99</v>
      </c>
      <c r="BO335" s="263">
        <f t="shared" si="251"/>
        <v>1</v>
      </c>
      <c r="BP335" s="22"/>
      <c r="BQ335" s="22"/>
      <c r="BR335" s="22"/>
      <c r="BS335" s="22"/>
      <c r="BT335" s="22"/>
      <c r="BU335" s="22"/>
    </row>
    <row r="336" spans="1:73">
      <c r="A336" s="438" t="str">
        <f t="shared" si="113"/>
        <v>---</v>
      </c>
      <c r="B336" s="294" t="str">
        <f t="shared" si="113"/>
        <v>---</v>
      </c>
      <c r="C336" s="294" t="str">
        <f>IF(A336="---","---",INPUT!C149)</f>
        <v>---</v>
      </c>
      <c r="D336" s="294" t="str">
        <f t="shared" si="222"/>
        <v>---</v>
      </c>
      <c r="E336" s="294" t="str">
        <f t="shared" si="87"/>
        <v>---</v>
      </c>
      <c r="F336" s="294" t="str">
        <f t="shared" si="223"/>
        <v>---</v>
      </c>
      <c r="G336" s="294" t="str">
        <f t="shared" si="224"/>
        <v>---</v>
      </c>
      <c r="H336" s="294" t="str">
        <f t="shared" si="225"/>
        <v>---</v>
      </c>
      <c r="I336" s="294" t="str">
        <f t="shared" si="226"/>
        <v>---</v>
      </c>
      <c r="J336" s="294" t="str">
        <f t="shared" si="227"/>
        <v>---</v>
      </c>
      <c r="K336" s="294" t="str">
        <f t="shared" si="228"/>
        <v>---</v>
      </c>
      <c r="L336" s="294" t="str">
        <f t="shared" si="229"/>
        <v>---</v>
      </c>
      <c r="M336" s="291" t="str">
        <f t="shared" si="230"/>
        <v>---</v>
      </c>
      <c r="N336" s="294" t="str">
        <f t="shared" si="231"/>
        <v>---</v>
      </c>
      <c r="O336" s="291" t="str">
        <f t="shared" si="116"/>
        <v>---</v>
      </c>
      <c r="P336" s="294" t="str">
        <f t="shared" si="95"/>
        <v>---</v>
      </c>
      <c r="Q336" s="291" t="str">
        <f t="shared" si="117"/>
        <v>---</v>
      </c>
      <c r="R336" s="294" t="str">
        <f t="shared" si="232"/>
        <v>---</v>
      </c>
      <c r="S336" s="294" t="str">
        <f t="shared" si="233"/>
        <v>---</v>
      </c>
      <c r="T336" s="291" t="str">
        <f t="shared" si="234"/>
        <v>---</v>
      </c>
      <c r="U336" s="291" t="str">
        <f t="shared" si="235"/>
        <v>---</v>
      </c>
      <c r="V336" s="294" t="str">
        <f t="shared" si="236"/>
        <v>---</v>
      </c>
      <c r="W336" s="294" t="str">
        <f t="shared" si="237"/>
        <v>---</v>
      </c>
      <c r="Y336" s="22"/>
      <c r="Z336" s="22"/>
      <c r="AA336" s="22"/>
      <c r="AB336" s="22"/>
      <c r="AC336" s="22"/>
      <c r="AD336" s="22"/>
      <c r="AE336" s="22"/>
      <c r="AF336" s="140" t="str">
        <f t="shared" si="252"/>
        <v>---</v>
      </c>
      <c r="AG336" s="140" t="str">
        <f t="shared" si="119"/>
        <v>---</v>
      </c>
      <c r="AH336" s="140">
        <f t="shared" si="120"/>
        <v>999.99</v>
      </c>
      <c r="AI336" s="263">
        <f t="shared" si="238"/>
        <v>0</v>
      </c>
      <c r="AJ336" s="140" t="str">
        <f t="shared" ref="AJ336:AK336" si="268">F393</f>
        <v>---</v>
      </c>
      <c r="AK336" s="140" t="str">
        <f t="shared" si="268"/>
        <v>---</v>
      </c>
      <c r="AL336" s="140">
        <f t="shared" si="122"/>
        <v>999.99</v>
      </c>
      <c r="AM336" s="263">
        <f t="shared" si="240"/>
        <v>0</v>
      </c>
      <c r="AN336" s="140" t="str">
        <f>WORKSHEET_CONSTR!C333</f>
        <v>---</v>
      </c>
      <c r="AO336" s="140" t="str">
        <f>WORKSHEET_CONSTR!D333</f>
        <v>---</v>
      </c>
      <c r="AP336" s="140">
        <f t="shared" si="123"/>
        <v>999.99</v>
      </c>
      <c r="AQ336" s="263">
        <f t="shared" si="241"/>
        <v>0</v>
      </c>
      <c r="AR336" s="267" t="str">
        <f t="shared" ref="AR336:AS336" si="269">I393</f>
        <v>---</v>
      </c>
      <c r="AS336" s="140" t="str">
        <f t="shared" si="269"/>
        <v>---</v>
      </c>
      <c r="AT336" s="140">
        <f t="shared" si="125"/>
        <v>999.99</v>
      </c>
      <c r="AU336" s="263">
        <f t="shared" si="243"/>
        <v>0</v>
      </c>
      <c r="AV336" s="140" t="str">
        <f>WORKSHEET_CONSTR!F333</f>
        <v>---</v>
      </c>
      <c r="AW336" s="140" t="str">
        <f>WORKSHEET_CONSTR!G333</f>
        <v>---</v>
      </c>
      <c r="AX336" s="140">
        <f t="shared" si="126"/>
        <v>999.99</v>
      </c>
      <c r="AY336" s="263">
        <f t="shared" si="244"/>
        <v>0</v>
      </c>
      <c r="AZ336" s="267" t="str">
        <f t="shared" si="245"/>
        <v>---</v>
      </c>
      <c r="BA336" s="210" t="str">
        <f t="shared" si="246"/>
        <v>---</v>
      </c>
      <c r="BB336" s="140">
        <f t="shared" si="127"/>
        <v>999.99</v>
      </c>
      <c r="BC336" s="263">
        <f t="shared" si="247"/>
        <v>1</v>
      </c>
      <c r="BD336" s="140" t="str">
        <f>WORKSHEET_CONSTR!I333</f>
        <v>---</v>
      </c>
      <c r="BE336" s="140" t="str">
        <f>WORKSHEET_CONSTR!J333</f>
        <v>---</v>
      </c>
      <c r="BF336" s="140">
        <f t="shared" si="128"/>
        <v>999.99</v>
      </c>
      <c r="BG336" s="263">
        <f t="shared" si="248"/>
        <v>1</v>
      </c>
      <c r="BH336" s="210" t="str">
        <f t="shared" ref="BH336:BI336" si="270">O393</f>
        <v>---</v>
      </c>
      <c r="BI336" s="210" t="str">
        <f t="shared" si="270"/>
        <v>---</v>
      </c>
      <c r="BJ336" s="140">
        <f t="shared" si="134"/>
        <v>999.99</v>
      </c>
      <c r="BK336" s="263">
        <f t="shared" si="250"/>
        <v>1</v>
      </c>
      <c r="BL336" s="140" t="str">
        <f>WORKSHEET_CONSTR!L333</f>
        <v>---</v>
      </c>
      <c r="BM336" s="140" t="str">
        <f>WORKSHEET_CONSTR!M333</f>
        <v>---</v>
      </c>
      <c r="BN336" s="140">
        <f t="shared" si="130"/>
        <v>999.99</v>
      </c>
      <c r="BO336" s="263">
        <f t="shared" si="251"/>
        <v>1</v>
      </c>
      <c r="BP336" s="22"/>
      <c r="BQ336" s="22"/>
      <c r="BR336" s="22"/>
      <c r="BS336" s="22"/>
      <c r="BT336" s="22"/>
      <c r="BU336" s="22"/>
    </row>
    <row r="337" spans="1:73">
      <c r="A337" s="438" t="str">
        <f t="shared" si="113"/>
        <v>---</v>
      </c>
      <c r="B337" s="294" t="str">
        <f t="shared" si="113"/>
        <v>---</v>
      </c>
      <c r="C337" s="294" t="str">
        <f>IF(A337="---","---",INPUT!C150)</f>
        <v>---</v>
      </c>
      <c r="D337" s="294" t="str">
        <f t="shared" si="222"/>
        <v>---</v>
      </c>
      <c r="E337" s="294" t="str">
        <f t="shared" si="87"/>
        <v>---</v>
      </c>
      <c r="F337" s="294" t="str">
        <f t="shared" si="223"/>
        <v>---</v>
      </c>
      <c r="G337" s="294" t="str">
        <f t="shared" si="224"/>
        <v>---</v>
      </c>
      <c r="H337" s="294" t="str">
        <f t="shared" si="225"/>
        <v>---</v>
      </c>
      <c r="I337" s="294" t="str">
        <f t="shared" si="226"/>
        <v>---</v>
      </c>
      <c r="J337" s="294" t="str">
        <f t="shared" si="227"/>
        <v>---</v>
      </c>
      <c r="K337" s="294" t="str">
        <f t="shared" si="228"/>
        <v>---</v>
      </c>
      <c r="L337" s="294" t="str">
        <f t="shared" si="229"/>
        <v>---</v>
      </c>
      <c r="M337" s="291" t="str">
        <f t="shared" si="230"/>
        <v>---</v>
      </c>
      <c r="N337" s="294" t="str">
        <f t="shared" si="231"/>
        <v>---</v>
      </c>
      <c r="O337" s="291" t="str">
        <f t="shared" si="116"/>
        <v>---</v>
      </c>
      <c r="P337" s="294" t="str">
        <f t="shared" si="95"/>
        <v>---</v>
      </c>
      <c r="Q337" s="291" t="str">
        <f t="shared" si="117"/>
        <v>---</v>
      </c>
      <c r="R337" s="294" t="str">
        <f t="shared" si="232"/>
        <v>---</v>
      </c>
      <c r="S337" s="294" t="str">
        <f t="shared" si="233"/>
        <v>---</v>
      </c>
      <c r="T337" s="291" t="str">
        <f t="shared" si="234"/>
        <v>---</v>
      </c>
      <c r="U337" s="291" t="str">
        <f t="shared" si="235"/>
        <v>---</v>
      </c>
      <c r="V337" s="294" t="str">
        <f t="shared" si="236"/>
        <v>---</v>
      </c>
      <c r="W337" s="294" t="str">
        <f t="shared" si="237"/>
        <v>---</v>
      </c>
      <c r="Y337" s="22"/>
      <c r="Z337" s="22"/>
      <c r="AA337" s="22"/>
      <c r="AB337" s="22"/>
      <c r="AC337" s="22"/>
      <c r="AD337" s="22"/>
      <c r="AE337" s="22"/>
      <c r="AF337" s="140" t="str">
        <f t="shared" si="252"/>
        <v>---</v>
      </c>
      <c r="AG337" s="140" t="str">
        <f t="shared" si="119"/>
        <v>---</v>
      </c>
      <c r="AH337" s="140">
        <f t="shared" si="120"/>
        <v>999.99</v>
      </c>
      <c r="AI337" s="263">
        <f t="shared" si="238"/>
        <v>0</v>
      </c>
      <c r="AJ337" s="140" t="str">
        <f t="shared" ref="AJ337:AK337" si="271">F394</f>
        <v>---</v>
      </c>
      <c r="AK337" s="140" t="str">
        <f t="shared" si="271"/>
        <v>---</v>
      </c>
      <c r="AL337" s="140">
        <f t="shared" si="122"/>
        <v>999.99</v>
      </c>
      <c r="AM337" s="263">
        <f t="shared" si="240"/>
        <v>0</v>
      </c>
      <c r="AN337" s="140" t="str">
        <f>WORKSHEET_CONSTR!C334</f>
        <v>---</v>
      </c>
      <c r="AO337" s="140" t="str">
        <f>WORKSHEET_CONSTR!D334</f>
        <v>---</v>
      </c>
      <c r="AP337" s="140">
        <f t="shared" si="123"/>
        <v>999.99</v>
      </c>
      <c r="AQ337" s="263">
        <f t="shared" si="241"/>
        <v>0</v>
      </c>
      <c r="AR337" s="267" t="str">
        <f t="shared" ref="AR337:AS337" si="272">I394</f>
        <v>---</v>
      </c>
      <c r="AS337" s="140" t="str">
        <f t="shared" si="272"/>
        <v>---</v>
      </c>
      <c r="AT337" s="140">
        <f t="shared" si="125"/>
        <v>999.99</v>
      </c>
      <c r="AU337" s="263">
        <f t="shared" si="243"/>
        <v>0</v>
      </c>
      <c r="AV337" s="140" t="str">
        <f>WORKSHEET_CONSTR!F334</f>
        <v>---</v>
      </c>
      <c r="AW337" s="140" t="str">
        <f>WORKSHEET_CONSTR!G334</f>
        <v>---</v>
      </c>
      <c r="AX337" s="140">
        <f t="shared" si="126"/>
        <v>999.99</v>
      </c>
      <c r="AY337" s="263">
        <f t="shared" si="244"/>
        <v>0</v>
      </c>
      <c r="AZ337" s="267" t="str">
        <f t="shared" si="245"/>
        <v>---</v>
      </c>
      <c r="BA337" s="210" t="str">
        <f t="shared" si="246"/>
        <v>---</v>
      </c>
      <c r="BB337" s="140">
        <f t="shared" si="127"/>
        <v>999.99</v>
      </c>
      <c r="BC337" s="263">
        <f t="shared" si="247"/>
        <v>1</v>
      </c>
      <c r="BD337" s="140" t="str">
        <f>WORKSHEET_CONSTR!I334</f>
        <v>---</v>
      </c>
      <c r="BE337" s="140" t="str">
        <f>WORKSHEET_CONSTR!J334</f>
        <v>---</v>
      </c>
      <c r="BF337" s="140">
        <f t="shared" si="128"/>
        <v>999.99</v>
      </c>
      <c r="BG337" s="263">
        <f t="shared" si="248"/>
        <v>1</v>
      </c>
      <c r="BH337" s="210" t="str">
        <f t="shared" ref="BH337:BI337" si="273">O394</f>
        <v>---</v>
      </c>
      <c r="BI337" s="210" t="str">
        <f t="shared" si="273"/>
        <v>---</v>
      </c>
      <c r="BJ337" s="140">
        <f t="shared" si="134"/>
        <v>999.99</v>
      </c>
      <c r="BK337" s="263">
        <f t="shared" si="250"/>
        <v>1</v>
      </c>
      <c r="BL337" s="140" t="str">
        <f>WORKSHEET_CONSTR!L334</f>
        <v>---</v>
      </c>
      <c r="BM337" s="140" t="str">
        <f>WORKSHEET_CONSTR!M334</f>
        <v>---</v>
      </c>
      <c r="BN337" s="140">
        <f t="shared" si="130"/>
        <v>999.99</v>
      </c>
      <c r="BO337" s="263">
        <f t="shared" si="251"/>
        <v>1</v>
      </c>
      <c r="BP337" s="22"/>
      <c r="BQ337" s="22"/>
      <c r="BR337" s="22"/>
      <c r="BS337" s="22"/>
      <c r="BT337" s="22"/>
      <c r="BU337" s="22"/>
    </row>
    <row r="338" spans="1:73">
      <c r="A338" s="438" t="str">
        <f t="shared" si="113"/>
        <v>---</v>
      </c>
      <c r="B338" s="294" t="str">
        <f t="shared" si="113"/>
        <v>---</v>
      </c>
      <c r="C338" s="294" t="str">
        <f>IF(A338="---","---",INPUT!C151)</f>
        <v>---</v>
      </c>
      <c r="D338" s="294" t="str">
        <f t="shared" si="222"/>
        <v>---</v>
      </c>
      <c r="E338" s="294" t="str">
        <f t="shared" si="87"/>
        <v>---</v>
      </c>
      <c r="F338" s="294" t="str">
        <f t="shared" si="223"/>
        <v>---</v>
      </c>
      <c r="G338" s="294" t="str">
        <f t="shared" si="224"/>
        <v>---</v>
      </c>
      <c r="H338" s="294" t="str">
        <f t="shared" si="225"/>
        <v>---</v>
      </c>
      <c r="I338" s="294" t="str">
        <f t="shared" si="226"/>
        <v>---</v>
      </c>
      <c r="J338" s="294" t="str">
        <f t="shared" si="227"/>
        <v>---</v>
      </c>
      <c r="K338" s="294" t="str">
        <f t="shared" si="228"/>
        <v>---</v>
      </c>
      <c r="L338" s="294" t="str">
        <f t="shared" si="229"/>
        <v>---</v>
      </c>
      <c r="M338" s="291" t="str">
        <f t="shared" si="230"/>
        <v>---</v>
      </c>
      <c r="N338" s="294" t="str">
        <f t="shared" si="231"/>
        <v>---</v>
      </c>
      <c r="O338" s="291" t="str">
        <f t="shared" si="116"/>
        <v>---</v>
      </c>
      <c r="P338" s="294" t="str">
        <f t="shared" si="95"/>
        <v>---</v>
      </c>
      <c r="Q338" s="291" t="str">
        <f t="shared" si="117"/>
        <v>---</v>
      </c>
      <c r="R338" s="294" t="str">
        <f t="shared" si="232"/>
        <v>---</v>
      </c>
      <c r="S338" s="294" t="str">
        <f t="shared" si="233"/>
        <v>---</v>
      </c>
      <c r="T338" s="291" t="str">
        <f t="shared" si="234"/>
        <v>---</v>
      </c>
      <c r="U338" s="291" t="str">
        <f t="shared" si="235"/>
        <v>---</v>
      </c>
      <c r="V338" s="294" t="str">
        <f t="shared" si="236"/>
        <v>---</v>
      </c>
      <c r="W338" s="294" t="str">
        <f t="shared" si="237"/>
        <v>---</v>
      </c>
      <c r="Y338" s="22"/>
      <c r="Z338" s="22"/>
      <c r="AA338" s="22"/>
      <c r="AB338" s="22"/>
      <c r="AC338" s="22"/>
      <c r="AD338" s="22"/>
      <c r="AE338" s="22"/>
      <c r="AF338" s="140" t="str">
        <f t="shared" si="252"/>
        <v>---</v>
      </c>
      <c r="AG338" s="140" t="str">
        <f t="shared" si="119"/>
        <v>---</v>
      </c>
      <c r="AH338" s="140">
        <f t="shared" si="120"/>
        <v>999.99</v>
      </c>
      <c r="AI338" s="263">
        <f t="shared" si="238"/>
        <v>0</v>
      </c>
      <c r="AJ338" s="140" t="str">
        <f t="shared" ref="AJ338:AK338" si="274">F395</f>
        <v>---</v>
      </c>
      <c r="AK338" s="140" t="str">
        <f t="shared" si="274"/>
        <v>---</v>
      </c>
      <c r="AL338" s="140">
        <f t="shared" si="122"/>
        <v>999.99</v>
      </c>
      <c r="AM338" s="263">
        <f t="shared" si="240"/>
        <v>0</v>
      </c>
      <c r="AN338" s="140" t="str">
        <f>WORKSHEET_CONSTR!C335</f>
        <v>---</v>
      </c>
      <c r="AO338" s="140" t="str">
        <f>WORKSHEET_CONSTR!D335</f>
        <v>---</v>
      </c>
      <c r="AP338" s="140">
        <f t="shared" si="123"/>
        <v>999.99</v>
      </c>
      <c r="AQ338" s="263">
        <f t="shared" si="241"/>
        <v>0</v>
      </c>
      <c r="AR338" s="267" t="str">
        <f t="shared" ref="AR338:AS338" si="275">I395</f>
        <v>---</v>
      </c>
      <c r="AS338" s="140" t="str">
        <f t="shared" si="275"/>
        <v>---</v>
      </c>
      <c r="AT338" s="140">
        <f t="shared" si="125"/>
        <v>999.99</v>
      </c>
      <c r="AU338" s="263">
        <f t="shared" si="243"/>
        <v>0</v>
      </c>
      <c r="AV338" s="140" t="str">
        <f>WORKSHEET_CONSTR!F335</f>
        <v>---</v>
      </c>
      <c r="AW338" s="140" t="str">
        <f>WORKSHEET_CONSTR!G335</f>
        <v>---</v>
      </c>
      <c r="AX338" s="140">
        <f t="shared" si="126"/>
        <v>999.99</v>
      </c>
      <c r="AY338" s="263">
        <f t="shared" si="244"/>
        <v>0</v>
      </c>
      <c r="AZ338" s="267" t="str">
        <f t="shared" si="245"/>
        <v>---</v>
      </c>
      <c r="BA338" s="210" t="str">
        <f t="shared" si="246"/>
        <v>---</v>
      </c>
      <c r="BB338" s="140">
        <f t="shared" si="127"/>
        <v>999.99</v>
      </c>
      <c r="BC338" s="263">
        <f t="shared" si="247"/>
        <v>1</v>
      </c>
      <c r="BD338" s="140" t="str">
        <f>WORKSHEET_CONSTR!I335</f>
        <v>---</v>
      </c>
      <c r="BE338" s="140" t="str">
        <f>WORKSHEET_CONSTR!J335</f>
        <v>---</v>
      </c>
      <c r="BF338" s="140">
        <f t="shared" si="128"/>
        <v>999.99</v>
      </c>
      <c r="BG338" s="263">
        <f t="shared" si="248"/>
        <v>1</v>
      </c>
      <c r="BH338" s="210" t="str">
        <f t="shared" ref="BH338:BI338" si="276">O395</f>
        <v>---</v>
      </c>
      <c r="BI338" s="210" t="str">
        <f t="shared" si="276"/>
        <v>---</v>
      </c>
      <c r="BJ338" s="140">
        <f t="shared" si="134"/>
        <v>999.99</v>
      </c>
      <c r="BK338" s="263">
        <f t="shared" si="250"/>
        <v>1</v>
      </c>
      <c r="BL338" s="140" t="str">
        <f>WORKSHEET_CONSTR!L335</f>
        <v>---</v>
      </c>
      <c r="BM338" s="140" t="str">
        <f>WORKSHEET_CONSTR!M335</f>
        <v>---</v>
      </c>
      <c r="BN338" s="140">
        <f t="shared" si="130"/>
        <v>999.99</v>
      </c>
      <c r="BO338" s="263">
        <f t="shared" si="251"/>
        <v>1</v>
      </c>
      <c r="BP338" s="22"/>
      <c r="BQ338" s="22"/>
      <c r="BR338" s="22"/>
      <c r="BS338" s="22"/>
      <c r="BT338" s="22"/>
      <c r="BU338" s="22"/>
    </row>
    <row r="339" spans="1:73">
      <c r="A339" s="438" t="str">
        <f t="shared" si="113"/>
        <v>---</v>
      </c>
      <c r="B339" s="294" t="str">
        <f t="shared" si="113"/>
        <v>---</v>
      </c>
      <c r="C339" s="294" t="str">
        <f>IF(A339="---","---",INPUT!C152)</f>
        <v>---</v>
      </c>
      <c r="D339" s="294" t="str">
        <f t="shared" si="222"/>
        <v>---</v>
      </c>
      <c r="E339" s="294" t="str">
        <f t="shared" si="87"/>
        <v>---</v>
      </c>
      <c r="F339" s="294" t="str">
        <f t="shared" si="223"/>
        <v>---</v>
      </c>
      <c r="G339" s="294" t="str">
        <f t="shared" si="224"/>
        <v>---</v>
      </c>
      <c r="H339" s="294" t="str">
        <f t="shared" si="225"/>
        <v>---</v>
      </c>
      <c r="I339" s="294" t="str">
        <f t="shared" si="226"/>
        <v>---</v>
      </c>
      <c r="J339" s="294" t="str">
        <f t="shared" si="227"/>
        <v>---</v>
      </c>
      <c r="K339" s="294" t="str">
        <f t="shared" si="228"/>
        <v>---</v>
      </c>
      <c r="L339" s="294" t="str">
        <f t="shared" si="229"/>
        <v>---</v>
      </c>
      <c r="M339" s="291" t="str">
        <f t="shared" si="230"/>
        <v>---</v>
      </c>
      <c r="N339" s="294" t="str">
        <f t="shared" si="231"/>
        <v>---</v>
      </c>
      <c r="O339" s="291" t="str">
        <f t="shared" si="116"/>
        <v>---</v>
      </c>
      <c r="P339" s="294" t="str">
        <f t="shared" si="95"/>
        <v>---</v>
      </c>
      <c r="Q339" s="291" t="str">
        <f t="shared" si="117"/>
        <v>---</v>
      </c>
      <c r="R339" s="294" t="str">
        <f t="shared" si="232"/>
        <v>---</v>
      </c>
      <c r="S339" s="294" t="str">
        <f t="shared" si="233"/>
        <v>---</v>
      </c>
      <c r="T339" s="291" t="str">
        <f t="shared" si="234"/>
        <v>---</v>
      </c>
      <c r="U339" s="291" t="str">
        <f t="shared" si="235"/>
        <v>---</v>
      </c>
      <c r="V339" s="294" t="str">
        <f t="shared" si="236"/>
        <v>---</v>
      </c>
      <c r="W339" s="294" t="str">
        <f t="shared" si="237"/>
        <v>---</v>
      </c>
      <c r="Y339" s="22"/>
      <c r="Z339" s="22"/>
      <c r="AA339" s="22"/>
      <c r="AB339" s="22"/>
      <c r="AC339" s="22"/>
      <c r="AD339" s="22"/>
      <c r="AE339" s="22"/>
      <c r="AF339" s="140" t="str">
        <f t="shared" si="252"/>
        <v>---</v>
      </c>
      <c r="AG339" s="140" t="str">
        <f t="shared" si="119"/>
        <v>---</v>
      </c>
      <c r="AH339" s="140">
        <f t="shared" si="120"/>
        <v>999.99</v>
      </c>
      <c r="AI339" s="263">
        <f t="shared" si="238"/>
        <v>0</v>
      </c>
      <c r="AJ339" s="140" t="str">
        <f t="shared" ref="AJ339:AK339" si="277">F396</f>
        <v>---</v>
      </c>
      <c r="AK339" s="140" t="str">
        <f t="shared" si="277"/>
        <v>---</v>
      </c>
      <c r="AL339" s="140">
        <f t="shared" si="122"/>
        <v>999.99</v>
      </c>
      <c r="AM339" s="263">
        <f t="shared" si="240"/>
        <v>0</v>
      </c>
      <c r="AN339" s="140" t="str">
        <f>WORKSHEET_CONSTR!C336</f>
        <v>---</v>
      </c>
      <c r="AO339" s="140" t="str">
        <f>WORKSHEET_CONSTR!D336</f>
        <v>---</v>
      </c>
      <c r="AP339" s="140">
        <f t="shared" si="123"/>
        <v>999.99</v>
      </c>
      <c r="AQ339" s="263">
        <f t="shared" si="241"/>
        <v>0</v>
      </c>
      <c r="AR339" s="267" t="str">
        <f t="shared" ref="AR339:AS339" si="278">I396</f>
        <v>---</v>
      </c>
      <c r="AS339" s="140" t="str">
        <f t="shared" si="278"/>
        <v>---</v>
      </c>
      <c r="AT339" s="140">
        <f t="shared" si="125"/>
        <v>999.99</v>
      </c>
      <c r="AU339" s="263">
        <f t="shared" si="243"/>
        <v>0</v>
      </c>
      <c r="AV339" s="140" t="str">
        <f>WORKSHEET_CONSTR!F336</f>
        <v>---</v>
      </c>
      <c r="AW339" s="140" t="str">
        <f>WORKSHEET_CONSTR!G336</f>
        <v>---</v>
      </c>
      <c r="AX339" s="140">
        <f t="shared" si="126"/>
        <v>999.99</v>
      </c>
      <c r="AY339" s="263">
        <f t="shared" si="244"/>
        <v>0</v>
      </c>
      <c r="AZ339" s="267" t="str">
        <f t="shared" si="245"/>
        <v>---</v>
      </c>
      <c r="BA339" s="210" t="str">
        <f t="shared" si="246"/>
        <v>---</v>
      </c>
      <c r="BB339" s="140">
        <f t="shared" si="127"/>
        <v>999.99</v>
      </c>
      <c r="BC339" s="263">
        <f t="shared" si="247"/>
        <v>1</v>
      </c>
      <c r="BD339" s="140" t="str">
        <f>WORKSHEET_CONSTR!I336</f>
        <v>---</v>
      </c>
      <c r="BE339" s="140" t="str">
        <f>WORKSHEET_CONSTR!J336</f>
        <v>---</v>
      </c>
      <c r="BF339" s="140">
        <f t="shared" si="128"/>
        <v>999.99</v>
      </c>
      <c r="BG339" s="263">
        <f t="shared" si="248"/>
        <v>1</v>
      </c>
      <c r="BH339" s="210" t="str">
        <f t="shared" ref="BH339:BI339" si="279">O396</f>
        <v>---</v>
      </c>
      <c r="BI339" s="210" t="str">
        <f t="shared" si="279"/>
        <v>---</v>
      </c>
      <c r="BJ339" s="140">
        <f t="shared" si="134"/>
        <v>999.99</v>
      </c>
      <c r="BK339" s="263">
        <f t="shared" si="250"/>
        <v>1</v>
      </c>
      <c r="BL339" s="140" t="str">
        <f>WORKSHEET_CONSTR!L336</f>
        <v>---</v>
      </c>
      <c r="BM339" s="140" t="str">
        <f>WORKSHEET_CONSTR!M336</f>
        <v>---</v>
      </c>
      <c r="BN339" s="140">
        <f t="shared" si="130"/>
        <v>999.99</v>
      </c>
      <c r="BO339" s="263">
        <f t="shared" si="251"/>
        <v>1</v>
      </c>
      <c r="BP339" s="22"/>
      <c r="BQ339" s="22"/>
      <c r="BR339" s="22"/>
      <c r="BS339" s="22"/>
      <c r="BT339" s="22"/>
      <c r="BU339" s="22"/>
    </row>
    <row r="340" spans="1:73">
      <c r="A340" s="438" t="str">
        <f t="shared" si="113"/>
        <v>---</v>
      </c>
      <c r="B340" s="294" t="str">
        <f t="shared" si="113"/>
        <v>---</v>
      </c>
      <c r="C340" s="294" t="str">
        <f>IF(A340="---","---",INPUT!C153)</f>
        <v>---</v>
      </c>
      <c r="D340" s="294" t="str">
        <f t="shared" si="222"/>
        <v>---</v>
      </c>
      <c r="E340" s="294" t="str">
        <f t="shared" si="87"/>
        <v>---</v>
      </c>
      <c r="F340" s="294" t="str">
        <f t="shared" si="223"/>
        <v>---</v>
      </c>
      <c r="G340" s="294" t="str">
        <f t="shared" si="224"/>
        <v>---</v>
      </c>
      <c r="H340" s="294" t="str">
        <f t="shared" si="225"/>
        <v>---</v>
      </c>
      <c r="I340" s="294" t="str">
        <f t="shared" si="226"/>
        <v>---</v>
      </c>
      <c r="J340" s="294" t="str">
        <f t="shared" si="227"/>
        <v>---</v>
      </c>
      <c r="K340" s="294" t="str">
        <f t="shared" si="228"/>
        <v>---</v>
      </c>
      <c r="L340" s="294" t="str">
        <f t="shared" si="229"/>
        <v>---</v>
      </c>
      <c r="M340" s="291" t="str">
        <f t="shared" si="230"/>
        <v>---</v>
      </c>
      <c r="N340" s="294" t="str">
        <f t="shared" si="231"/>
        <v>---</v>
      </c>
      <c r="O340" s="291" t="str">
        <f t="shared" si="116"/>
        <v>---</v>
      </c>
      <c r="P340" s="294" t="str">
        <f t="shared" si="95"/>
        <v>---</v>
      </c>
      <c r="Q340" s="291" t="str">
        <f t="shared" si="117"/>
        <v>---</v>
      </c>
      <c r="R340" s="294" t="str">
        <f t="shared" si="232"/>
        <v>---</v>
      </c>
      <c r="S340" s="294" t="str">
        <f t="shared" si="233"/>
        <v>---</v>
      </c>
      <c r="T340" s="291" t="str">
        <f t="shared" si="234"/>
        <v>---</v>
      </c>
      <c r="U340" s="291" t="str">
        <f t="shared" si="235"/>
        <v>---</v>
      </c>
      <c r="V340" s="294" t="str">
        <f t="shared" si="236"/>
        <v>---</v>
      </c>
      <c r="W340" s="294" t="str">
        <f t="shared" si="237"/>
        <v>---</v>
      </c>
      <c r="Y340" s="22"/>
      <c r="Z340" s="22"/>
      <c r="AA340" s="22"/>
      <c r="AB340" s="22"/>
      <c r="AC340" s="22"/>
      <c r="AD340" s="22"/>
      <c r="AE340" s="22"/>
      <c r="AF340" s="140" t="str">
        <f t="shared" si="252"/>
        <v>---</v>
      </c>
      <c r="AG340" s="140" t="str">
        <f t="shared" si="119"/>
        <v>---</v>
      </c>
      <c r="AH340" s="140">
        <f t="shared" si="120"/>
        <v>999.99</v>
      </c>
      <c r="AI340" s="263">
        <f t="shared" si="238"/>
        <v>0</v>
      </c>
      <c r="AJ340" s="140" t="str">
        <f t="shared" ref="AJ340:AK340" si="280">F397</f>
        <v>---</v>
      </c>
      <c r="AK340" s="140" t="str">
        <f t="shared" si="280"/>
        <v>---</v>
      </c>
      <c r="AL340" s="140">
        <f t="shared" si="122"/>
        <v>999.99</v>
      </c>
      <c r="AM340" s="263">
        <f t="shared" si="240"/>
        <v>0</v>
      </c>
      <c r="AN340" s="140" t="str">
        <f>WORKSHEET_CONSTR!C337</f>
        <v>---</v>
      </c>
      <c r="AO340" s="140" t="str">
        <f>WORKSHEET_CONSTR!D337</f>
        <v>---</v>
      </c>
      <c r="AP340" s="140">
        <f t="shared" si="123"/>
        <v>999.99</v>
      </c>
      <c r="AQ340" s="263">
        <f t="shared" si="241"/>
        <v>0</v>
      </c>
      <c r="AR340" s="267" t="str">
        <f t="shared" ref="AR340:AS340" si="281">I397</f>
        <v>---</v>
      </c>
      <c r="AS340" s="140" t="str">
        <f t="shared" si="281"/>
        <v>---</v>
      </c>
      <c r="AT340" s="140">
        <f t="shared" si="125"/>
        <v>999.99</v>
      </c>
      <c r="AU340" s="263">
        <f t="shared" si="243"/>
        <v>0</v>
      </c>
      <c r="AV340" s="140" t="str">
        <f>WORKSHEET_CONSTR!F337</f>
        <v>---</v>
      </c>
      <c r="AW340" s="140" t="str">
        <f>WORKSHEET_CONSTR!G337</f>
        <v>---</v>
      </c>
      <c r="AX340" s="140">
        <f t="shared" si="126"/>
        <v>999.99</v>
      </c>
      <c r="AY340" s="263">
        <f t="shared" si="244"/>
        <v>0</v>
      </c>
      <c r="AZ340" s="267" t="str">
        <f t="shared" si="245"/>
        <v>---</v>
      </c>
      <c r="BA340" s="210" t="str">
        <f t="shared" si="246"/>
        <v>---</v>
      </c>
      <c r="BB340" s="140">
        <f t="shared" si="127"/>
        <v>999.99</v>
      </c>
      <c r="BC340" s="263">
        <f t="shared" si="247"/>
        <v>1</v>
      </c>
      <c r="BD340" s="140" t="str">
        <f>WORKSHEET_CONSTR!I337</f>
        <v>---</v>
      </c>
      <c r="BE340" s="140" t="str">
        <f>WORKSHEET_CONSTR!J337</f>
        <v>---</v>
      </c>
      <c r="BF340" s="140">
        <f t="shared" si="128"/>
        <v>999.99</v>
      </c>
      <c r="BG340" s="263">
        <f t="shared" si="248"/>
        <v>1</v>
      </c>
      <c r="BH340" s="210" t="str">
        <f t="shared" ref="BH340:BI340" si="282">O397</f>
        <v>---</v>
      </c>
      <c r="BI340" s="210" t="str">
        <f t="shared" si="282"/>
        <v>---</v>
      </c>
      <c r="BJ340" s="140">
        <f t="shared" si="134"/>
        <v>999.99</v>
      </c>
      <c r="BK340" s="263">
        <f t="shared" si="250"/>
        <v>1</v>
      </c>
      <c r="BL340" s="140" t="str">
        <f>WORKSHEET_CONSTR!L337</f>
        <v>---</v>
      </c>
      <c r="BM340" s="140" t="str">
        <f>WORKSHEET_CONSTR!M337</f>
        <v>---</v>
      </c>
      <c r="BN340" s="140">
        <f t="shared" si="130"/>
        <v>999.99</v>
      </c>
      <c r="BO340" s="263">
        <f t="shared" si="251"/>
        <v>1</v>
      </c>
      <c r="BP340" s="22"/>
      <c r="BQ340" s="22"/>
      <c r="BR340" s="22"/>
      <c r="BS340" s="22"/>
      <c r="BT340" s="22"/>
      <c r="BU340" s="22"/>
    </row>
    <row r="341" spans="1:73">
      <c r="A341" s="438" t="str">
        <f t="shared" si="113"/>
        <v>---</v>
      </c>
      <c r="B341" s="294" t="str">
        <f t="shared" si="113"/>
        <v>---</v>
      </c>
      <c r="C341" s="294" t="str">
        <f>IF(A341="---","---",INPUT!C154)</f>
        <v>---</v>
      </c>
      <c r="D341" s="294" t="str">
        <f t="shared" si="222"/>
        <v>---</v>
      </c>
      <c r="E341" s="294" t="str">
        <f t="shared" si="87"/>
        <v>---</v>
      </c>
      <c r="F341" s="294" t="str">
        <f t="shared" si="223"/>
        <v>---</v>
      </c>
      <c r="G341" s="294" t="str">
        <f t="shared" si="224"/>
        <v>---</v>
      </c>
      <c r="H341" s="294" t="str">
        <f t="shared" si="225"/>
        <v>---</v>
      </c>
      <c r="I341" s="294" t="str">
        <f t="shared" si="226"/>
        <v>---</v>
      </c>
      <c r="J341" s="294" t="str">
        <f t="shared" si="227"/>
        <v>---</v>
      </c>
      <c r="K341" s="294" t="str">
        <f t="shared" si="228"/>
        <v>---</v>
      </c>
      <c r="L341" s="294" t="str">
        <f t="shared" si="229"/>
        <v>---</v>
      </c>
      <c r="M341" s="291" t="str">
        <f t="shared" si="230"/>
        <v>---</v>
      </c>
      <c r="N341" s="294" t="str">
        <f t="shared" si="231"/>
        <v>---</v>
      </c>
      <c r="O341" s="291" t="str">
        <f t="shared" si="116"/>
        <v>---</v>
      </c>
      <c r="P341" s="294" t="str">
        <f t="shared" si="95"/>
        <v>---</v>
      </c>
      <c r="Q341" s="291" t="str">
        <f t="shared" si="117"/>
        <v>---</v>
      </c>
      <c r="R341" s="294" t="str">
        <f t="shared" si="232"/>
        <v>---</v>
      </c>
      <c r="S341" s="294" t="str">
        <f t="shared" si="233"/>
        <v>---</v>
      </c>
      <c r="T341" s="291" t="str">
        <f t="shared" si="234"/>
        <v>---</v>
      </c>
      <c r="U341" s="291" t="str">
        <f t="shared" si="235"/>
        <v>---</v>
      </c>
      <c r="V341" s="294" t="str">
        <f t="shared" si="236"/>
        <v>---</v>
      </c>
      <c r="W341" s="294" t="str">
        <f t="shared" si="237"/>
        <v>---</v>
      </c>
      <c r="Y341" s="22"/>
      <c r="Z341" s="22"/>
      <c r="AA341" s="22"/>
      <c r="AB341" s="22"/>
      <c r="AC341" s="22"/>
      <c r="AD341" s="22"/>
      <c r="AE341" s="22"/>
      <c r="AF341" s="140" t="str">
        <f t="shared" si="252"/>
        <v>---</v>
      </c>
      <c r="AG341" s="140" t="str">
        <f t="shared" si="119"/>
        <v>---</v>
      </c>
      <c r="AH341" s="140">
        <f t="shared" si="120"/>
        <v>999.99</v>
      </c>
      <c r="AI341" s="263">
        <f t="shared" si="238"/>
        <v>0</v>
      </c>
      <c r="AJ341" s="140" t="str">
        <f t="shared" ref="AJ341:AK341" si="283">F398</f>
        <v>---</v>
      </c>
      <c r="AK341" s="140" t="str">
        <f t="shared" si="283"/>
        <v>---</v>
      </c>
      <c r="AL341" s="140">
        <f t="shared" si="122"/>
        <v>999.99</v>
      </c>
      <c r="AM341" s="263">
        <f t="shared" si="240"/>
        <v>0</v>
      </c>
      <c r="AN341" s="140" t="str">
        <f>WORKSHEET_CONSTR!C338</f>
        <v>---</v>
      </c>
      <c r="AO341" s="140" t="str">
        <f>WORKSHEET_CONSTR!D338</f>
        <v>---</v>
      </c>
      <c r="AP341" s="140">
        <f t="shared" si="123"/>
        <v>999.99</v>
      </c>
      <c r="AQ341" s="263">
        <f t="shared" si="241"/>
        <v>0</v>
      </c>
      <c r="AR341" s="267" t="str">
        <f t="shared" ref="AR341:AS341" si="284">I398</f>
        <v>---</v>
      </c>
      <c r="AS341" s="140" t="str">
        <f t="shared" si="284"/>
        <v>---</v>
      </c>
      <c r="AT341" s="140">
        <f t="shared" si="125"/>
        <v>999.99</v>
      </c>
      <c r="AU341" s="263">
        <f t="shared" si="243"/>
        <v>0</v>
      </c>
      <c r="AV341" s="140" t="str">
        <f>WORKSHEET_CONSTR!F338</f>
        <v>---</v>
      </c>
      <c r="AW341" s="140" t="str">
        <f>WORKSHEET_CONSTR!G338</f>
        <v>---</v>
      </c>
      <c r="AX341" s="140">
        <f t="shared" si="126"/>
        <v>999.99</v>
      </c>
      <c r="AY341" s="263">
        <f t="shared" si="244"/>
        <v>0</v>
      </c>
      <c r="AZ341" s="267" t="str">
        <f t="shared" si="245"/>
        <v>---</v>
      </c>
      <c r="BA341" s="210" t="str">
        <f t="shared" si="246"/>
        <v>---</v>
      </c>
      <c r="BB341" s="140">
        <f t="shared" si="127"/>
        <v>999.99</v>
      </c>
      <c r="BC341" s="263">
        <f t="shared" si="247"/>
        <v>1</v>
      </c>
      <c r="BD341" s="140" t="str">
        <f>WORKSHEET_CONSTR!I338</f>
        <v>---</v>
      </c>
      <c r="BE341" s="140" t="str">
        <f>WORKSHEET_CONSTR!J338</f>
        <v>---</v>
      </c>
      <c r="BF341" s="140">
        <f t="shared" si="128"/>
        <v>999.99</v>
      </c>
      <c r="BG341" s="263">
        <f t="shared" si="248"/>
        <v>1</v>
      </c>
      <c r="BH341" s="210" t="str">
        <f t="shared" ref="BH341:BI341" si="285">O398</f>
        <v>---</v>
      </c>
      <c r="BI341" s="210" t="str">
        <f t="shared" si="285"/>
        <v>---</v>
      </c>
      <c r="BJ341" s="140">
        <f t="shared" si="134"/>
        <v>999.99</v>
      </c>
      <c r="BK341" s="263">
        <f t="shared" si="250"/>
        <v>1</v>
      </c>
      <c r="BL341" s="140" t="str">
        <f>WORKSHEET_CONSTR!L338</f>
        <v>---</v>
      </c>
      <c r="BM341" s="140" t="str">
        <f>WORKSHEET_CONSTR!M338</f>
        <v>---</v>
      </c>
      <c r="BN341" s="140">
        <f t="shared" si="130"/>
        <v>999.99</v>
      </c>
      <c r="BO341" s="263">
        <f t="shared" si="251"/>
        <v>1</v>
      </c>
      <c r="BP341" s="22"/>
      <c r="BQ341" s="22"/>
      <c r="BR341" s="22"/>
      <c r="BS341" s="22"/>
      <c r="BT341" s="22"/>
      <c r="BU341" s="22"/>
    </row>
    <row r="342" spans="1:73">
      <c r="A342" s="438" t="str">
        <f t="shared" si="113"/>
        <v>---</v>
      </c>
      <c r="B342" s="294" t="str">
        <f t="shared" si="113"/>
        <v>---</v>
      </c>
      <c r="C342" s="294" t="str">
        <f>IF(A342="---","---",INPUT!C155)</f>
        <v>---</v>
      </c>
      <c r="D342" s="294" t="str">
        <f t="shared" si="222"/>
        <v>---</v>
      </c>
      <c r="E342" s="294" t="str">
        <f t="shared" si="87"/>
        <v>---</v>
      </c>
      <c r="F342" s="294" t="str">
        <f t="shared" si="223"/>
        <v>---</v>
      </c>
      <c r="G342" s="294" t="str">
        <f t="shared" si="224"/>
        <v>---</v>
      </c>
      <c r="H342" s="294" t="str">
        <f t="shared" si="225"/>
        <v>---</v>
      </c>
      <c r="I342" s="294" t="str">
        <f t="shared" si="226"/>
        <v>---</v>
      </c>
      <c r="J342" s="294" t="str">
        <f t="shared" si="227"/>
        <v>---</v>
      </c>
      <c r="K342" s="294" t="str">
        <f t="shared" si="228"/>
        <v>---</v>
      </c>
      <c r="L342" s="294" t="str">
        <f t="shared" si="229"/>
        <v>---</v>
      </c>
      <c r="M342" s="291" t="str">
        <f t="shared" si="230"/>
        <v>---</v>
      </c>
      <c r="N342" s="294" t="str">
        <f t="shared" si="231"/>
        <v>---</v>
      </c>
      <c r="O342" s="291" t="str">
        <f t="shared" si="116"/>
        <v>---</v>
      </c>
      <c r="P342" s="294" t="str">
        <f t="shared" si="95"/>
        <v>---</v>
      </c>
      <c r="Q342" s="291" t="str">
        <f t="shared" si="117"/>
        <v>---</v>
      </c>
      <c r="R342" s="294" t="str">
        <f t="shared" si="232"/>
        <v>---</v>
      </c>
      <c r="S342" s="294" t="str">
        <f t="shared" si="233"/>
        <v>---</v>
      </c>
      <c r="T342" s="291" t="str">
        <f t="shared" si="234"/>
        <v>---</v>
      </c>
      <c r="U342" s="291" t="str">
        <f t="shared" si="235"/>
        <v>---</v>
      </c>
      <c r="V342" s="294" t="str">
        <f t="shared" si="236"/>
        <v>---</v>
      </c>
      <c r="W342" s="294" t="str">
        <f t="shared" si="237"/>
        <v>---</v>
      </c>
      <c r="Y342" s="22"/>
      <c r="Z342" s="22"/>
      <c r="AA342" s="22"/>
      <c r="AB342" s="22"/>
      <c r="AC342" s="22"/>
      <c r="AD342" s="22"/>
      <c r="AE342" s="22"/>
      <c r="AF342" s="140" t="str">
        <f t="shared" si="252"/>
        <v>---</v>
      </c>
      <c r="AG342" s="140" t="str">
        <f t="shared" si="119"/>
        <v>---</v>
      </c>
      <c r="AH342" s="140">
        <f t="shared" si="120"/>
        <v>999.99</v>
      </c>
      <c r="AI342" s="263">
        <f t="shared" si="238"/>
        <v>0</v>
      </c>
      <c r="AJ342" s="140" t="str">
        <f t="shared" ref="AJ342:AK342" si="286">F399</f>
        <v>---</v>
      </c>
      <c r="AK342" s="140" t="str">
        <f t="shared" si="286"/>
        <v>---</v>
      </c>
      <c r="AL342" s="140">
        <f t="shared" si="122"/>
        <v>999.99</v>
      </c>
      <c r="AM342" s="263">
        <f t="shared" si="240"/>
        <v>0</v>
      </c>
      <c r="AN342" s="140" t="str">
        <f>WORKSHEET_CONSTR!C339</f>
        <v>---</v>
      </c>
      <c r="AO342" s="140" t="str">
        <f>WORKSHEET_CONSTR!D339</f>
        <v>---</v>
      </c>
      <c r="AP342" s="140">
        <f t="shared" si="123"/>
        <v>999.99</v>
      </c>
      <c r="AQ342" s="263">
        <f t="shared" si="241"/>
        <v>0</v>
      </c>
      <c r="AR342" s="267" t="str">
        <f t="shared" ref="AR342:AS342" si="287">I399</f>
        <v>---</v>
      </c>
      <c r="AS342" s="140" t="str">
        <f t="shared" si="287"/>
        <v>---</v>
      </c>
      <c r="AT342" s="140">
        <f t="shared" si="125"/>
        <v>999.99</v>
      </c>
      <c r="AU342" s="263">
        <f t="shared" si="243"/>
        <v>0</v>
      </c>
      <c r="AV342" s="140" t="str">
        <f>WORKSHEET_CONSTR!F339</f>
        <v>---</v>
      </c>
      <c r="AW342" s="140" t="str">
        <f>WORKSHEET_CONSTR!G339</f>
        <v>---</v>
      </c>
      <c r="AX342" s="140">
        <f t="shared" si="126"/>
        <v>999.99</v>
      </c>
      <c r="AY342" s="263">
        <f t="shared" si="244"/>
        <v>0</v>
      </c>
      <c r="AZ342" s="267" t="str">
        <f t="shared" si="245"/>
        <v>---</v>
      </c>
      <c r="BA342" s="210" t="str">
        <f t="shared" si="246"/>
        <v>---</v>
      </c>
      <c r="BB342" s="140">
        <f t="shared" si="127"/>
        <v>999.99</v>
      </c>
      <c r="BC342" s="263">
        <f t="shared" si="247"/>
        <v>1</v>
      </c>
      <c r="BD342" s="140" t="str">
        <f>WORKSHEET_CONSTR!I339</f>
        <v>---</v>
      </c>
      <c r="BE342" s="140" t="str">
        <f>WORKSHEET_CONSTR!J339</f>
        <v>---</v>
      </c>
      <c r="BF342" s="140">
        <f t="shared" si="128"/>
        <v>999.99</v>
      </c>
      <c r="BG342" s="263">
        <f t="shared" si="248"/>
        <v>1</v>
      </c>
      <c r="BH342" s="210" t="str">
        <f t="shared" ref="BH342:BI342" si="288">O399</f>
        <v>---</v>
      </c>
      <c r="BI342" s="210" t="str">
        <f t="shared" si="288"/>
        <v>---</v>
      </c>
      <c r="BJ342" s="140">
        <f t="shared" si="134"/>
        <v>999.99</v>
      </c>
      <c r="BK342" s="263">
        <f t="shared" si="250"/>
        <v>1</v>
      </c>
      <c r="BL342" s="140" t="str">
        <f>WORKSHEET_CONSTR!L339</f>
        <v>---</v>
      </c>
      <c r="BM342" s="140" t="str">
        <f>WORKSHEET_CONSTR!M339</f>
        <v>---</v>
      </c>
      <c r="BN342" s="140">
        <f t="shared" si="130"/>
        <v>999.99</v>
      </c>
      <c r="BO342" s="263">
        <f t="shared" si="251"/>
        <v>1</v>
      </c>
      <c r="BP342" s="22"/>
      <c r="BQ342" s="22"/>
      <c r="BR342" s="22"/>
      <c r="BS342" s="22"/>
      <c r="BT342" s="22"/>
      <c r="BU342" s="22"/>
    </row>
    <row r="343" spans="1:73">
      <c r="A343" s="438" t="str">
        <f t="shared" si="113"/>
        <v>---</v>
      </c>
      <c r="B343" s="294" t="str">
        <f t="shared" si="113"/>
        <v>---</v>
      </c>
      <c r="C343" s="294" t="str">
        <f>IF(A343="---","---",INPUT!C156)</f>
        <v>---</v>
      </c>
      <c r="D343" s="294" t="str">
        <f t="shared" si="222"/>
        <v>---</v>
      </c>
      <c r="E343" s="294" t="str">
        <f t="shared" si="87"/>
        <v>---</v>
      </c>
      <c r="F343" s="294" t="str">
        <f t="shared" si="223"/>
        <v>---</v>
      </c>
      <c r="G343" s="294" t="str">
        <f t="shared" si="224"/>
        <v>---</v>
      </c>
      <c r="H343" s="294" t="str">
        <f t="shared" si="225"/>
        <v>---</v>
      </c>
      <c r="I343" s="294" t="str">
        <f t="shared" si="226"/>
        <v>---</v>
      </c>
      <c r="J343" s="294" t="str">
        <f t="shared" si="227"/>
        <v>---</v>
      </c>
      <c r="K343" s="294" t="str">
        <f t="shared" si="228"/>
        <v>---</v>
      </c>
      <c r="L343" s="294" t="str">
        <f t="shared" si="229"/>
        <v>---</v>
      </c>
      <c r="M343" s="291" t="str">
        <f t="shared" si="230"/>
        <v>---</v>
      </c>
      <c r="N343" s="294" t="str">
        <f t="shared" si="231"/>
        <v>---</v>
      </c>
      <c r="O343" s="291" t="str">
        <f t="shared" si="116"/>
        <v>---</v>
      </c>
      <c r="P343" s="294" t="str">
        <f t="shared" si="95"/>
        <v>---</v>
      </c>
      <c r="Q343" s="291" t="str">
        <f t="shared" si="117"/>
        <v>---</v>
      </c>
      <c r="R343" s="294" t="str">
        <f t="shared" si="232"/>
        <v>---</v>
      </c>
      <c r="S343" s="294" t="str">
        <f t="shared" si="233"/>
        <v>---</v>
      </c>
      <c r="T343" s="291" t="str">
        <f t="shared" si="234"/>
        <v>---</v>
      </c>
      <c r="U343" s="291" t="str">
        <f t="shared" si="235"/>
        <v>---</v>
      </c>
      <c r="V343" s="294" t="str">
        <f t="shared" si="236"/>
        <v>---</v>
      </c>
      <c r="W343" s="294" t="str">
        <f t="shared" si="237"/>
        <v>---</v>
      </c>
      <c r="Y343" s="22"/>
      <c r="Z343" s="22"/>
      <c r="AA343" s="22"/>
      <c r="AB343" s="22"/>
      <c r="AC343" s="22"/>
      <c r="AD343" s="22"/>
      <c r="AE343" s="22"/>
      <c r="AF343" s="140" t="str">
        <f t="shared" si="252"/>
        <v>---</v>
      </c>
      <c r="AG343" s="140" t="str">
        <f t="shared" si="119"/>
        <v>---</v>
      </c>
      <c r="AH343" s="140">
        <f t="shared" si="120"/>
        <v>999.99</v>
      </c>
      <c r="AI343" s="263">
        <f t="shared" si="238"/>
        <v>0</v>
      </c>
      <c r="AJ343" s="140" t="str">
        <f t="shared" ref="AJ343:AK343" si="289">F400</f>
        <v>---</v>
      </c>
      <c r="AK343" s="140" t="str">
        <f t="shared" si="289"/>
        <v>---</v>
      </c>
      <c r="AL343" s="140">
        <f t="shared" si="122"/>
        <v>999.99</v>
      </c>
      <c r="AM343" s="263">
        <f t="shared" si="240"/>
        <v>0</v>
      </c>
      <c r="AN343" s="140" t="str">
        <f>WORKSHEET_CONSTR!C340</f>
        <v>---</v>
      </c>
      <c r="AO343" s="140" t="str">
        <f>WORKSHEET_CONSTR!D340</f>
        <v>---</v>
      </c>
      <c r="AP343" s="140">
        <f t="shared" si="123"/>
        <v>999.99</v>
      </c>
      <c r="AQ343" s="263">
        <f t="shared" si="241"/>
        <v>0</v>
      </c>
      <c r="AR343" s="267" t="str">
        <f t="shared" ref="AR343:AS343" si="290">I400</f>
        <v>---</v>
      </c>
      <c r="AS343" s="140" t="str">
        <f t="shared" si="290"/>
        <v>---</v>
      </c>
      <c r="AT343" s="140">
        <f t="shared" si="125"/>
        <v>999.99</v>
      </c>
      <c r="AU343" s="263">
        <f t="shared" si="243"/>
        <v>0</v>
      </c>
      <c r="AV343" s="140" t="str">
        <f>WORKSHEET_CONSTR!F340</f>
        <v>---</v>
      </c>
      <c r="AW343" s="140" t="str">
        <f>WORKSHEET_CONSTR!G340</f>
        <v>---</v>
      </c>
      <c r="AX343" s="140">
        <f t="shared" si="126"/>
        <v>999.99</v>
      </c>
      <c r="AY343" s="263">
        <f t="shared" si="244"/>
        <v>0</v>
      </c>
      <c r="AZ343" s="267" t="str">
        <f t="shared" si="245"/>
        <v>---</v>
      </c>
      <c r="BA343" s="210" t="str">
        <f t="shared" si="246"/>
        <v>---</v>
      </c>
      <c r="BB343" s="140">
        <f t="shared" si="127"/>
        <v>999.99</v>
      </c>
      <c r="BC343" s="263">
        <f t="shared" si="247"/>
        <v>1</v>
      </c>
      <c r="BD343" s="140" t="str">
        <f>WORKSHEET_CONSTR!I340</f>
        <v>---</v>
      </c>
      <c r="BE343" s="140" t="str">
        <f>WORKSHEET_CONSTR!J340</f>
        <v>---</v>
      </c>
      <c r="BF343" s="140">
        <f t="shared" si="128"/>
        <v>999.99</v>
      </c>
      <c r="BG343" s="263">
        <f t="shared" si="248"/>
        <v>1</v>
      </c>
      <c r="BH343" s="210" t="str">
        <f t="shared" ref="BH343:BI343" si="291">O400</f>
        <v>---</v>
      </c>
      <c r="BI343" s="210" t="str">
        <f t="shared" si="291"/>
        <v>---</v>
      </c>
      <c r="BJ343" s="140">
        <f t="shared" si="134"/>
        <v>999.99</v>
      </c>
      <c r="BK343" s="263">
        <f t="shared" si="250"/>
        <v>1</v>
      </c>
      <c r="BL343" s="140" t="str">
        <f>WORKSHEET_CONSTR!L340</f>
        <v>---</v>
      </c>
      <c r="BM343" s="140" t="str">
        <f>WORKSHEET_CONSTR!M340</f>
        <v>---</v>
      </c>
      <c r="BN343" s="140">
        <f t="shared" si="130"/>
        <v>999.99</v>
      </c>
      <c r="BO343" s="263">
        <f t="shared" si="251"/>
        <v>1</v>
      </c>
      <c r="BP343" s="22"/>
      <c r="BQ343" s="22"/>
      <c r="BR343" s="22"/>
      <c r="BS343" s="22"/>
      <c r="BT343" s="22"/>
      <c r="BU343" s="22"/>
    </row>
    <row r="344" spans="1:73">
      <c r="A344" s="438" t="str">
        <f t="shared" si="113"/>
        <v>---</v>
      </c>
      <c r="B344" s="294" t="str">
        <f t="shared" si="113"/>
        <v>---</v>
      </c>
      <c r="C344" s="294" t="str">
        <f>IF(A344="---","---",INPUT!C157)</f>
        <v>---</v>
      </c>
      <c r="D344" s="294" t="str">
        <f t="shared" si="222"/>
        <v>---</v>
      </c>
      <c r="E344" s="294" t="str">
        <f t="shared" si="87"/>
        <v>---</v>
      </c>
      <c r="F344" s="294" t="str">
        <f t="shared" si="223"/>
        <v>---</v>
      </c>
      <c r="G344" s="294" t="str">
        <f t="shared" si="224"/>
        <v>---</v>
      </c>
      <c r="H344" s="294" t="str">
        <f t="shared" si="225"/>
        <v>---</v>
      </c>
      <c r="I344" s="294" t="str">
        <f t="shared" si="226"/>
        <v>---</v>
      </c>
      <c r="J344" s="294" t="str">
        <f t="shared" si="227"/>
        <v>---</v>
      </c>
      <c r="K344" s="294" t="str">
        <f t="shared" si="228"/>
        <v>---</v>
      </c>
      <c r="L344" s="294" t="str">
        <f t="shared" si="229"/>
        <v>---</v>
      </c>
      <c r="M344" s="291" t="str">
        <f t="shared" si="230"/>
        <v>---</v>
      </c>
      <c r="N344" s="294" t="str">
        <f t="shared" si="231"/>
        <v>---</v>
      </c>
      <c r="O344" s="291" t="str">
        <f t="shared" si="116"/>
        <v>---</v>
      </c>
      <c r="P344" s="294" t="str">
        <f t="shared" si="95"/>
        <v>---</v>
      </c>
      <c r="Q344" s="291" t="str">
        <f t="shared" si="117"/>
        <v>---</v>
      </c>
      <c r="R344" s="294" t="str">
        <f t="shared" si="232"/>
        <v>---</v>
      </c>
      <c r="S344" s="294" t="str">
        <f t="shared" si="233"/>
        <v>---</v>
      </c>
      <c r="T344" s="291" t="str">
        <f t="shared" si="234"/>
        <v>---</v>
      </c>
      <c r="U344" s="291" t="str">
        <f t="shared" si="235"/>
        <v>---</v>
      </c>
      <c r="V344" s="294" t="str">
        <f t="shared" si="236"/>
        <v>---</v>
      </c>
      <c r="W344" s="294" t="str">
        <f t="shared" si="237"/>
        <v>---</v>
      </c>
      <c r="AF344" s="140" t="str">
        <f t="shared" si="252"/>
        <v>---</v>
      </c>
      <c r="AG344" s="140" t="str">
        <f t="shared" si="119"/>
        <v>---</v>
      </c>
      <c r="AH344" s="140">
        <f t="shared" si="120"/>
        <v>999.99</v>
      </c>
      <c r="AI344" s="263">
        <f t="shared" si="238"/>
        <v>0</v>
      </c>
      <c r="AJ344" s="140" t="str">
        <f t="shared" ref="AJ344:AK344" si="292">F401</f>
        <v>---</v>
      </c>
      <c r="AK344" s="140" t="str">
        <f t="shared" si="292"/>
        <v>---</v>
      </c>
      <c r="AL344" s="140">
        <f t="shared" si="122"/>
        <v>999.99</v>
      </c>
      <c r="AM344" s="263">
        <f t="shared" si="240"/>
        <v>0</v>
      </c>
      <c r="AN344" s="140" t="str">
        <f>WORKSHEET_CONSTR!C341</f>
        <v>---</v>
      </c>
      <c r="AO344" s="140" t="str">
        <f>WORKSHEET_CONSTR!D341</f>
        <v>---</v>
      </c>
      <c r="AP344" s="140">
        <f t="shared" si="123"/>
        <v>999.99</v>
      </c>
      <c r="AQ344" s="263">
        <f t="shared" si="241"/>
        <v>0</v>
      </c>
      <c r="AR344" s="267" t="str">
        <f t="shared" ref="AR344:AS344" si="293">I401</f>
        <v>---</v>
      </c>
      <c r="AS344" s="140" t="str">
        <f t="shared" si="293"/>
        <v>---</v>
      </c>
      <c r="AT344" s="140">
        <f t="shared" si="125"/>
        <v>999.99</v>
      </c>
      <c r="AU344" s="263">
        <f t="shared" si="243"/>
        <v>0</v>
      </c>
      <c r="AV344" s="140" t="str">
        <f>WORKSHEET_CONSTR!F341</f>
        <v>---</v>
      </c>
      <c r="AW344" s="140" t="str">
        <f>WORKSHEET_CONSTR!G341</f>
        <v>---</v>
      </c>
      <c r="AX344" s="140">
        <f t="shared" si="126"/>
        <v>999.99</v>
      </c>
      <c r="AY344" s="263">
        <f t="shared" si="244"/>
        <v>0</v>
      </c>
      <c r="AZ344" s="267" t="str">
        <f t="shared" si="245"/>
        <v>---</v>
      </c>
      <c r="BA344" s="210" t="str">
        <f t="shared" si="246"/>
        <v>---</v>
      </c>
      <c r="BB344" s="140">
        <f t="shared" si="127"/>
        <v>999.99</v>
      </c>
      <c r="BC344" s="263">
        <f t="shared" si="247"/>
        <v>1</v>
      </c>
      <c r="BD344" s="140" t="str">
        <f>WORKSHEET_CONSTR!I341</f>
        <v>---</v>
      </c>
      <c r="BE344" s="140" t="str">
        <f>WORKSHEET_CONSTR!J341</f>
        <v>---</v>
      </c>
      <c r="BF344" s="140">
        <f t="shared" si="128"/>
        <v>999.99</v>
      </c>
      <c r="BG344" s="263">
        <f t="shared" si="248"/>
        <v>1</v>
      </c>
      <c r="BH344" s="210" t="str">
        <f t="shared" ref="BH344:BI344" si="294">O401</f>
        <v>---</v>
      </c>
      <c r="BI344" s="210" t="str">
        <f t="shared" si="294"/>
        <v>---</v>
      </c>
      <c r="BJ344" s="140">
        <f t="shared" si="134"/>
        <v>999.99</v>
      </c>
      <c r="BK344" s="263">
        <f t="shared" si="250"/>
        <v>1</v>
      </c>
      <c r="BL344" s="140" t="str">
        <f>WORKSHEET_CONSTR!L341</f>
        <v>---</v>
      </c>
      <c r="BM344" s="140" t="str">
        <f>WORKSHEET_CONSTR!M341</f>
        <v>---</v>
      </c>
      <c r="BN344" s="140">
        <f t="shared" si="130"/>
        <v>999.99</v>
      </c>
      <c r="BO344" s="263">
        <f t="shared" si="251"/>
        <v>1</v>
      </c>
    </row>
    <row r="345" spans="1:73">
      <c r="A345" s="438" t="str">
        <f t="shared" si="113"/>
        <v>---</v>
      </c>
      <c r="B345" s="294" t="str">
        <f t="shared" si="113"/>
        <v>---</v>
      </c>
      <c r="C345" s="294" t="str">
        <f>IF(A345="---","---",INPUT!C158)</f>
        <v>---</v>
      </c>
      <c r="D345" s="294" t="str">
        <f t="shared" si="222"/>
        <v>---</v>
      </c>
      <c r="E345" s="294" t="str">
        <f t="shared" si="87"/>
        <v>---</v>
      </c>
      <c r="F345" s="294" t="str">
        <f t="shared" si="223"/>
        <v>---</v>
      </c>
      <c r="G345" s="294" t="str">
        <f t="shared" si="224"/>
        <v>---</v>
      </c>
      <c r="H345" s="294" t="str">
        <f t="shared" si="225"/>
        <v>---</v>
      </c>
      <c r="I345" s="294" t="str">
        <f t="shared" si="226"/>
        <v>---</v>
      </c>
      <c r="J345" s="294" t="str">
        <f t="shared" si="227"/>
        <v>---</v>
      </c>
      <c r="K345" s="294" t="str">
        <f t="shared" si="228"/>
        <v>---</v>
      </c>
      <c r="L345" s="294" t="str">
        <f t="shared" si="229"/>
        <v>---</v>
      </c>
      <c r="M345" s="291" t="str">
        <f t="shared" si="230"/>
        <v>---</v>
      </c>
      <c r="N345" s="294" t="str">
        <f t="shared" si="231"/>
        <v>---</v>
      </c>
      <c r="O345" s="291" t="str">
        <f t="shared" si="116"/>
        <v>---</v>
      </c>
      <c r="P345" s="294" t="str">
        <f t="shared" si="95"/>
        <v>---</v>
      </c>
      <c r="Q345" s="291" t="str">
        <f t="shared" si="117"/>
        <v>---</v>
      </c>
      <c r="R345" s="294" t="str">
        <f t="shared" si="232"/>
        <v>---</v>
      </c>
      <c r="S345" s="294" t="str">
        <f t="shared" si="233"/>
        <v>---</v>
      </c>
      <c r="T345" s="291" t="str">
        <f t="shared" si="234"/>
        <v>---</v>
      </c>
      <c r="U345" s="291" t="str">
        <f t="shared" si="235"/>
        <v>---</v>
      </c>
      <c r="V345" s="294" t="str">
        <f t="shared" si="236"/>
        <v>---</v>
      </c>
      <c r="W345" s="294" t="str">
        <f t="shared" si="237"/>
        <v>---</v>
      </c>
      <c r="AF345" s="140" t="str">
        <f t="shared" si="252"/>
        <v>---</v>
      </c>
      <c r="AG345" s="140" t="str">
        <f t="shared" si="119"/>
        <v>---</v>
      </c>
      <c r="AH345" s="140">
        <f t="shared" si="120"/>
        <v>999.99</v>
      </c>
      <c r="AI345" s="263">
        <f t="shared" si="238"/>
        <v>0</v>
      </c>
      <c r="AJ345" s="140" t="str">
        <f t="shared" ref="AJ345:AK345" si="295">F402</f>
        <v>---</v>
      </c>
      <c r="AK345" s="140" t="str">
        <f t="shared" si="295"/>
        <v>---</v>
      </c>
      <c r="AL345" s="140">
        <f t="shared" si="122"/>
        <v>999.99</v>
      </c>
      <c r="AM345" s="263">
        <f t="shared" si="240"/>
        <v>0</v>
      </c>
      <c r="AN345" s="140" t="str">
        <f>WORKSHEET_CONSTR!C342</f>
        <v>---</v>
      </c>
      <c r="AO345" s="140" t="str">
        <f>WORKSHEET_CONSTR!D342</f>
        <v>---</v>
      </c>
      <c r="AP345" s="140">
        <f t="shared" si="123"/>
        <v>999.99</v>
      </c>
      <c r="AQ345" s="263">
        <f t="shared" si="241"/>
        <v>0</v>
      </c>
      <c r="AR345" s="267" t="str">
        <f t="shared" ref="AR345:AS345" si="296">I402</f>
        <v>---</v>
      </c>
      <c r="AS345" s="140" t="str">
        <f t="shared" si="296"/>
        <v>---</v>
      </c>
      <c r="AT345" s="140">
        <f t="shared" si="125"/>
        <v>999.99</v>
      </c>
      <c r="AU345" s="263">
        <f t="shared" si="243"/>
        <v>0</v>
      </c>
      <c r="AV345" s="140" t="str">
        <f>WORKSHEET_CONSTR!F342</f>
        <v>---</v>
      </c>
      <c r="AW345" s="140" t="str">
        <f>WORKSHEET_CONSTR!G342</f>
        <v>---</v>
      </c>
      <c r="AX345" s="140">
        <f t="shared" si="126"/>
        <v>999.99</v>
      </c>
      <c r="AY345" s="263">
        <f t="shared" si="244"/>
        <v>0</v>
      </c>
      <c r="AZ345" s="267" t="str">
        <f t="shared" si="245"/>
        <v>---</v>
      </c>
      <c r="BA345" s="210" t="str">
        <f t="shared" si="246"/>
        <v>---</v>
      </c>
      <c r="BB345" s="140">
        <f t="shared" si="127"/>
        <v>999.99</v>
      </c>
      <c r="BC345" s="263">
        <f t="shared" si="247"/>
        <v>1</v>
      </c>
      <c r="BD345" s="140" t="str">
        <f>WORKSHEET_CONSTR!I342</f>
        <v>---</v>
      </c>
      <c r="BE345" s="140" t="str">
        <f>WORKSHEET_CONSTR!J342</f>
        <v>---</v>
      </c>
      <c r="BF345" s="140">
        <f t="shared" si="128"/>
        <v>999.99</v>
      </c>
      <c r="BG345" s="263">
        <f t="shared" si="248"/>
        <v>1</v>
      </c>
      <c r="BH345" s="210" t="str">
        <f t="shared" ref="BH345:BI345" si="297">O402</f>
        <v>---</v>
      </c>
      <c r="BI345" s="210" t="str">
        <f t="shared" si="297"/>
        <v>---</v>
      </c>
      <c r="BJ345" s="140">
        <f t="shared" si="134"/>
        <v>999.99</v>
      </c>
      <c r="BK345" s="263">
        <f t="shared" si="250"/>
        <v>1</v>
      </c>
      <c r="BL345" s="140" t="str">
        <f>WORKSHEET_CONSTR!L342</f>
        <v>---</v>
      </c>
      <c r="BM345" s="140" t="str">
        <f>WORKSHEET_CONSTR!M342</f>
        <v>---</v>
      </c>
      <c r="BN345" s="140">
        <f t="shared" si="130"/>
        <v>999.99</v>
      </c>
      <c r="BO345" s="263">
        <f t="shared" si="251"/>
        <v>1</v>
      </c>
    </row>
    <row r="346" spans="1:73">
      <c r="A346" s="438" t="str">
        <f t="shared" si="113"/>
        <v>---</v>
      </c>
      <c r="B346" s="294" t="str">
        <f t="shared" si="113"/>
        <v>---</v>
      </c>
      <c r="C346" s="294" t="str">
        <f>IF(A346="---","---",INPUT!C159)</f>
        <v>---</v>
      </c>
      <c r="D346" s="294" t="str">
        <f t="shared" si="222"/>
        <v>---</v>
      </c>
      <c r="E346" s="294" t="str">
        <f t="shared" si="87"/>
        <v>---</v>
      </c>
      <c r="F346" s="294" t="str">
        <f t="shared" si="223"/>
        <v>---</v>
      </c>
      <c r="G346" s="294" t="str">
        <f t="shared" si="224"/>
        <v>---</v>
      </c>
      <c r="H346" s="294" t="str">
        <f t="shared" si="225"/>
        <v>---</v>
      </c>
      <c r="I346" s="294" t="str">
        <f t="shared" si="226"/>
        <v>---</v>
      </c>
      <c r="J346" s="294" t="str">
        <f t="shared" si="227"/>
        <v>---</v>
      </c>
      <c r="K346" s="294" t="str">
        <f t="shared" si="228"/>
        <v>---</v>
      </c>
      <c r="L346" s="294" t="str">
        <f t="shared" si="229"/>
        <v>---</v>
      </c>
      <c r="M346" s="291" t="str">
        <f t="shared" si="230"/>
        <v>---</v>
      </c>
      <c r="N346" s="294" t="str">
        <f t="shared" si="231"/>
        <v>---</v>
      </c>
      <c r="O346" s="291" t="str">
        <f t="shared" si="116"/>
        <v>---</v>
      </c>
      <c r="P346" s="294" t="str">
        <f t="shared" si="95"/>
        <v>---</v>
      </c>
      <c r="Q346" s="291" t="str">
        <f t="shared" si="117"/>
        <v>---</v>
      </c>
      <c r="R346" s="294" t="str">
        <f t="shared" si="232"/>
        <v>---</v>
      </c>
      <c r="S346" s="294" t="str">
        <f t="shared" si="233"/>
        <v>---</v>
      </c>
      <c r="T346" s="291" t="str">
        <f t="shared" si="234"/>
        <v>---</v>
      </c>
      <c r="U346" s="291" t="str">
        <f t="shared" si="235"/>
        <v>---</v>
      </c>
      <c r="V346" s="294" t="str">
        <f t="shared" si="236"/>
        <v>---</v>
      </c>
      <c r="W346" s="294" t="str">
        <f t="shared" si="237"/>
        <v>---</v>
      </c>
      <c r="AF346" s="140" t="str">
        <f t="shared" si="252"/>
        <v>---</v>
      </c>
      <c r="AG346" s="140" t="str">
        <f t="shared" si="119"/>
        <v>---</v>
      </c>
      <c r="AH346" s="140">
        <f t="shared" si="120"/>
        <v>999.99</v>
      </c>
      <c r="AI346" s="263">
        <f t="shared" si="238"/>
        <v>0</v>
      </c>
      <c r="AJ346" s="140" t="str">
        <f t="shared" ref="AJ346:AK346" si="298">F403</f>
        <v>---</v>
      </c>
      <c r="AK346" s="140" t="str">
        <f t="shared" si="298"/>
        <v>---</v>
      </c>
      <c r="AL346" s="140">
        <f t="shared" si="122"/>
        <v>999.99</v>
      </c>
      <c r="AM346" s="263">
        <f t="shared" si="240"/>
        <v>0</v>
      </c>
      <c r="AN346" s="140" t="str">
        <f>WORKSHEET_CONSTR!C343</f>
        <v>---</v>
      </c>
      <c r="AO346" s="140" t="str">
        <f>WORKSHEET_CONSTR!D343</f>
        <v>---</v>
      </c>
      <c r="AP346" s="140">
        <f t="shared" si="123"/>
        <v>999.99</v>
      </c>
      <c r="AQ346" s="263">
        <f t="shared" si="241"/>
        <v>0</v>
      </c>
      <c r="AR346" s="267" t="str">
        <f t="shared" ref="AR346:AS346" si="299">I403</f>
        <v>---</v>
      </c>
      <c r="AS346" s="140" t="str">
        <f t="shared" si="299"/>
        <v>---</v>
      </c>
      <c r="AT346" s="140">
        <f t="shared" si="125"/>
        <v>999.99</v>
      </c>
      <c r="AU346" s="263">
        <f t="shared" si="243"/>
        <v>0</v>
      </c>
      <c r="AV346" s="140" t="str">
        <f>WORKSHEET_CONSTR!F343</f>
        <v>---</v>
      </c>
      <c r="AW346" s="140" t="str">
        <f>WORKSHEET_CONSTR!G343</f>
        <v>---</v>
      </c>
      <c r="AX346" s="140">
        <f t="shared" si="126"/>
        <v>999.99</v>
      </c>
      <c r="AY346" s="263">
        <f t="shared" si="244"/>
        <v>0</v>
      </c>
      <c r="AZ346" s="267" t="str">
        <f t="shared" si="245"/>
        <v>---</v>
      </c>
      <c r="BA346" s="210" t="str">
        <f t="shared" si="246"/>
        <v>---</v>
      </c>
      <c r="BB346" s="140">
        <f t="shared" si="127"/>
        <v>999.99</v>
      </c>
      <c r="BC346" s="263">
        <f t="shared" si="247"/>
        <v>1</v>
      </c>
      <c r="BD346" s="140" t="str">
        <f>WORKSHEET_CONSTR!I343</f>
        <v>---</v>
      </c>
      <c r="BE346" s="140" t="str">
        <f>WORKSHEET_CONSTR!J343</f>
        <v>---</v>
      </c>
      <c r="BF346" s="140">
        <f t="shared" si="128"/>
        <v>999.99</v>
      </c>
      <c r="BG346" s="263">
        <f t="shared" si="248"/>
        <v>1</v>
      </c>
      <c r="BH346" s="210" t="str">
        <f t="shared" ref="BH346:BI346" si="300">O403</f>
        <v>---</v>
      </c>
      <c r="BI346" s="210" t="str">
        <f t="shared" si="300"/>
        <v>---</v>
      </c>
      <c r="BJ346" s="140">
        <f t="shared" si="134"/>
        <v>999.99</v>
      </c>
      <c r="BK346" s="263">
        <f t="shared" si="250"/>
        <v>1</v>
      </c>
      <c r="BL346" s="140" t="str">
        <f>WORKSHEET_CONSTR!L343</f>
        <v>---</v>
      </c>
      <c r="BM346" s="140" t="str">
        <f>WORKSHEET_CONSTR!M343</f>
        <v>---</v>
      </c>
      <c r="BN346" s="140">
        <f t="shared" si="130"/>
        <v>999.99</v>
      </c>
      <c r="BO346" s="263">
        <f t="shared" si="251"/>
        <v>1</v>
      </c>
    </row>
    <row r="347" spans="1:73">
      <c r="A347" s="438" t="str">
        <f t="shared" si="113"/>
        <v>---</v>
      </c>
      <c r="B347" s="294" t="str">
        <f t="shared" si="113"/>
        <v>---</v>
      </c>
      <c r="C347" s="294" t="str">
        <f>IF(A347="---","---",INPUT!C160)</f>
        <v>---</v>
      </c>
      <c r="D347" s="294" t="str">
        <f t="shared" si="222"/>
        <v>---</v>
      </c>
      <c r="E347" s="294" t="str">
        <f t="shared" si="87"/>
        <v>---</v>
      </c>
      <c r="F347" s="294" t="str">
        <f t="shared" si="223"/>
        <v>---</v>
      </c>
      <c r="G347" s="294" t="str">
        <f t="shared" si="224"/>
        <v>---</v>
      </c>
      <c r="H347" s="294" t="str">
        <f t="shared" si="225"/>
        <v>---</v>
      </c>
      <c r="I347" s="294" t="str">
        <f t="shared" si="226"/>
        <v>---</v>
      </c>
      <c r="J347" s="294" t="str">
        <f t="shared" si="227"/>
        <v>---</v>
      </c>
      <c r="K347" s="294" t="str">
        <f t="shared" si="228"/>
        <v>---</v>
      </c>
      <c r="L347" s="294" t="str">
        <f t="shared" si="229"/>
        <v>---</v>
      </c>
      <c r="M347" s="291" t="str">
        <f t="shared" si="230"/>
        <v>---</v>
      </c>
      <c r="N347" s="294" t="str">
        <f t="shared" si="231"/>
        <v>---</v>
      </c>
      <c r="O347" s="291" t="str">
        <f t="shared" si="116"/>
        <v>---</v>
      </c>
      <c r="P347" s="294" t="str">
        <f t="shared" si="95"/>
        <v>---</v>
      </c>
      <c r="Q347" s="291" t="str">
        <f t="shared" si="117"/>
        <v>---</v>
      </c>
      <c r="R347" s="294" t="str">
        <f t="shared" si="232"/>
        <v>---</v>
      </c>
      <c r="S347" s="294" t="str">
        <f t="shared" si="233"/>
        <v>---</v>
      </c>
      <c r="T347" s="291" t="str">
        <f t="shared" si="234"/>
        <v>---</v>
      </c>
      <c r="U347" s="291" t="str">
        <f t="shared" si="235"/>
        <v>---</v>
      </c>
      <c r="V347" s="294" t="str">
        <f t="shared" si="236"/>
        <v>---</v>
      </c>
      <c r="W347" s="294" t="str">
        <f t="shared" si="237"/>
        <v>---</v>
      </c>
      <c r="AF347" s="140" t="str">
        <f t="shared" si="252"/>
        <v>---</v>
      </c>
      <c r="AG347" s="140" t="str">
        <f t="shared" si="119"/>
        <v>---</v>
      </c>
      <c r="AH347" s="140">
        <f t="shared" si="120"/>
        <v>999.99</v>
      </c>
      <c r="AI347" s="263">
        <f t="shared" si="238"/>
        <v>0</v>
      </c>
      <c r="AJ347" s="140" t="str">
        <f t="shared" ref="AJ347:AK347" si="301">F404</f>
        <v>---</v>
      </c>
      <c r="AK347" s="140" t="str">
        <f t="shared" si="301"/>
        <v>---</v>
      </c>
      <c r="AL347" s="140">
        <f t="shared" si="122"/>
        <v>999.99</v>
      </c>
      <c r="AM347" s="263">
        <f t="shared" si="240"/>
        <v>0</v>
      </c>
      <c r="AN347" s="140" t="str">
        <f>WORKSHEET_CONSTR!C344</f>
        <v>---</v>
      </c>
      <c r="AO347" s="140" t="str">
        <f>WORKSHEET_CONSTR!D344</f>
        <v>---</v>
      </c>
      <c r="AP347" s="140">
        <f t="shared" si="123"/>
        <v>999.99</v>
      </c>
      <c r="AQ347" s="263">
        <f t="shared" si="241"/>
        <v>0</v>
      </c>
      <c r="AR347" s="267" t="str">
        <f t="shared" ref="AR347:AS347" si="302">I404</f>
        <v>---</v>
      </c>
      <c r="AS347" s="140" t="str">
        <f t="shared" si="302"/>
        <v>---</v>
      </c>
      <c r="AT347" s="140">
        <f t="shared" si="125"/>
        <v>999.99</v>
      </c>
      <c r="AU347" s="263">
        <f t="shared" si="243"/>
        <v>0</v>
      </c>
      <c r="AV347" s="140" t="str">
        <f>WORKSHEET_CONSTR!F344</f>
        <v>---</v>
      </c>
      <c r="AW347" s="140" t="str">
        <f>WORKSHEET_CONSTR!G344</f>
        <v>---</v>
      </c>
      <c r="AX347" s="140">
        <f t="shared" si="126"/>
        <v>999.99</v>
      </c>
      <c r="AY347" s="263">
        <f t="shared" si="244"/>
        <v>0</v>
      </c>
      <c r="AZ347" s="267" t="str">
        <f t="shared" si="245"/>
        <v>---</v>
      </c>
      <c r="BA347" s="210" t="str">
        <f t="shared" si="246"/>
        <v>---</v>
      </c>
      <c r="BB347" s="140">
        <f t="shared" si="127"/>
        <v>999.99</v>
      </c>
      <c r="BC347" s="263">
        <f t="shared" si="247"/>
        <v>1</v>
      </c>
      <c r="BD347" s="140" t="str">
        <f>WORKSHEET_CONSTR!I344</f>
        <v>---</v>
      </c>
      <c r="BE347" s="140" t="str">
        <f>WORKSHEET_CONSTR!J344</f>
        <v>---</v>
      </c>
      <c r="BF347" s="140">
        <f t="shared" si="128"/>
        <v>999.99</v>
      </c>
      <c r="BG347" s="263">
        <f t="shared" si="248"/>
        <v>1</v>
      </c>
      <c r="BH347" s="210" t="str">
        <f t="shared" ref="BH347:BI347" si="303">O404</f>
        <v>---</v>
      </c>
      <c r="BI347" s="210" t="str">
        <f t="shared" si="303"/>
        <v>---</v>
      </c>
      <c r="BJ347" s="140">
        <f t="shared" si="134"/>
        <v>999.99</v>
      </c>
      <c r="BK347" s="263">
        <f t="shared" si="250"/>
        <v>1</v>
      </c>
      <c r="BL347" s="140" t="str">
        <f>WORKSHEET_CONSTR!L344</f>
        <v>---</v>
      </c>
      <c r="BM347" s="140" t="str">
        <f>WORKSHEET_CONSTR!M344</f>
        <v>---</v>
      </c>
      <c r="BN347" s="140">
        <f t="shared" si="130"/>
        <v>999.99</v>
      </c>
      <c r="BO347" s="263">
        <f t="shared" si="251"/>
        <v>1</v>
      </c>
    </row>
    <row r="348" spans="1:73">
      <c r="A348" s="2"/>
      <c r="B348" s="2"/>
      <c r="C348" s="7"/>
      <c r="D348" s="2"/>
      <c r="E348" s="181"/>
      <c r="F348" s="2"/>
      <c r="G348" s="2"/>
      <c r="H348" s="2"/>
      <c r="I348" s="2"/>
      <c r="J348" s="479"/>
      <c r="K348" s="9"/>
      <c r="L348" s="114"/>
      <c r="M348" s="2"/>
      <c r="N348" s="114"/>
      <c r="O348" s="2"/>
      <c r="P348" s="114"/>
      <c r="Q348" s="2"/>
      <c r="R348" s="2"/>
      <c r="S348" s="2"/>
      <c r="T348" s="7"/>
      <c r="U348" s="2"/>
      <c r="V348" s="7"/>
      <c r="W348" s="2"/>
    </row>
    <row r="349" spans="1:73">
      <c r="A349" s="35"/>
      <c r="B349" s="114"/>
      <c r="C349" s="114"/>
      <c r="D349" s="114"/>
      <c r="E349" s="114"/>
      <c r="F349" s="114"/>
      <c r="G349" s="114"/>
      <c r="H349" s="114"/>
      <c r="I349" s="114"/>
      <c r="J349" s="114"/>
      <c r="K349" s="114"/>
      <c r="L349" s="114"/>
      <c r="M349" s="114"/>
      <c r="N349" s="7"/>
      <c r="O349" s="114"/>
      <c r="P349" s="114"/>
      <c r="Q349" s="114"/>
      <c r="R349" s="87"/>
      <c r="S349" s="6"/>
      <c r="T349" s="542"/>
      <c r="U349" s="543"/>
      <c r="V349" s="544"/>
      <c r="W349" s="545"/>
    </row>
    <row r="350" spans="1:73">
      <c r="A350" s="12" t="s">
        <v>563</v>
      </c>
      <c r="B350" s="251"/>
      <c r="C350" s="251"/>
      <c r="D350" s="37" t="s">
        <v>362</v>
      </c>
      <c r="E350" s="37"/>
      <c r="F350" s="251"/>
      <c r="G350" s="251"/>
      <c r="H350" s="251"/>
      <c r="I350" s="251"/>
      <c r="J350" s="251"/>
      <c r="K350" s="251"/>
      <c r="L350" s="251"/>
      <c r="M350" s="251"/>
      <c r="N350" s="7"/>
      <c r="O350" s="251"/>
      <c r="P350" s="251"/>
      <c r="Q350" s="251"/>
      <c r="R350" s="87"/>
      <c r="S350" s="6"/>
      <c r="T350" s="542"/>
      <c r="U350" s="543"/>
      <c r="V350" s="546"/>
      <c r="W350" s="542"/>
    </row>
    <row r="351" spans="1:73">
      <c r="A351" s="35"/>
      <c r="B351" s="251"/>
      <c r="C351" s="251"/>
      <c r="D351" s="251"/>
      <c r="E351" s="251"/>
      <c r="F351" s="251"/>
      <c r="G351" s="251"/>
      <c r="H351" s="251"/>
      <c r="I351" s="612" t="s">
        <v>495</v>
      </c>
      <c r="J351" s="613"/>
      <c r="K351" s="613"/>
      <c r="L351" s="612" t="s">
        <v>634</v>
      </c>
      <c r="M351" s="613"/>
      <c r="N351" s="613"/>
      <c r="O351" s="613"/>
      <c r="P351" s="613"/>
      <c r="Q351" s="613"/>
      <c r="R351" s="195"/>
      <c r="S351" s="37"/>
      <c r="T351" s="37"/>
      <c r="U351" s="37"/>
      <c r="V351" s="37"/>
      <c r="W351" s="37"/>
    </row>
    <row r="352" spans="1:73">
      <c r="A352" s="182"/>
      <c r="C352" s="612" t="s">
        <v>629</v>
      </c>
      <c r="D352" s="613"/>
      <c r="E352" s="613"/>
      <c r="F352" s="612" t="s">
        <v>635</v>
      </c>
      <c r="G352" s="613"/>
      <c r="H352" s="613"/>
      <c r="I352" s="614" t="s">
        <v>633</v>
      </c>
      <c r="J352" s="615"/>
      <c r="K352" s="620"/>
      <c r="L352" s="614" t="s">
        <v>496</v>
      </c>
      <c r="M352" s="615"/>
      <c r="N352" s="615"/>
      <c r="O352" s="615" t="s">
        <v>497</v>
      </c>
      <c r="P352" s="630"/>
      <c r="Q352" s="630"/>
      <c r="R352" s="195" t="s">
        <v>521</v>
      </c>
      <c r="S352" s="247"/>
      <c r="T352" s="481"/>
      <c r="U352" s="220"/>
      <c r="V352" s="251"/>
    </row>
    <row r="353" spans="1:23" ht="44.25">
      <c r="A353" s="251" t="s">
        <v>34</v>
      </c>
      <c r="B353" s="251" t="s">
        <v>35</v>
      </c>
      <c r="C353" s="252" t="s">
        <v>298</v>
      </c>
      <c r="D353" s="248" t="s">
        <v>54</v>
      </c>
      <c r="E353" s="248" t="s">
        <v>30</v>
      </c>
      <c r="F353" s="252" t="s">
        <v>298</v>
      </c>
      <c r="G353" s="248" t="s">
        <v>54</v>
      </c>
      <c r="H353" s="248" t="s">
        <v>30</v>
      </c>
      <c r="I353" s="258" t="s">
        <v>630</v>
      </c>
      <c r="J353" s="248" t="s">
        <v>54</v>
      </c>
      <c r="K353" s="248" t="s">
        <v>30</v>
      </c>
      <c r="L353" s="255" t="s">
        <v>501</v>
      </c>
      <c r="M353" s="248" t="s">
        <v>559</v>
      </c>
      <c r="N353" s="248" t="s">
        <v>30</v>
      </c>
      <c r="O353" s="248" t="s">
        <v>502</v>
      </c>
      <c r="P353" s="248" t="s">
        <v>560</v>
      </c>
      <c r="Q353" s="248" t="s">
        <v>30</v>
      </c>
      <c r="R353" s="61" t="s">
        <v>43</v>
      </c>
      <c r="S353" s="259" t="s">
        <v>631</v>
      </c>
      <c r="T353" s="468" t="s">
        <v>808</v>
      </c>
      <c r="U353" s="470" t="s">
        <v>807</v>
      </c>
      <c r="V353" s="260" t="s">
        <v>632</v>
      </c>
      <c r="W353" s="102"/>
    </row>
    <row r="354" spans="1:23" ht="15.75">
      <c r="A354" s="247" t="s">
        <v>352</v>
      </c>
      <c r="B354" s="251" t="s">
        <v>42</v>
      </c>
      <c r="C354" s="61" t="s">
        <v>154</v>
      </c>
      <c r="D354" s="248" t="s">
        <v>154</v>
      </c>
      <c r="E354" s="253" t="s">
        <v>636</v>
      </c>
      <c r="F354" s="61" t="s">
        <v>154</v>
      </c>
      <c r="G354" s="248" t="s">
        <v>154</v>
      </c>
      <c r="H354" s="253" t="s">
        <v>298</v>
      </c>
      <c r="I354" s="61" t="s">
        <v>154</v>
      </c>
      <c r="J354" s="248" t="s">
        <v>154</v>
      </c>
      <c r="K354" s="253" t="s">
        <v>638</v>
      </c>
      <c r="L354" s="255" t="s">
        <v>154</v>
      </c>
      <c r="M354" s="248" t="s">
        <v>154</v>
      </c>
      <c r="N354" s="248" t="s">
        <v>501</v>
      </c>
      <c r="O354" s="248" t="s">
        <v>154</v>
      </c>
      <c r="P354" s="248" t="s">
        <v>154</v>
      </c>
      <c r="Q354" s="248" t="s">
        <v>502</v>
      </c>
      <c r="R354" s="255" t="s">
        <v>132</v>
      </c>
      <c r="S354" s="247" t="s">
        <v>42</v>
      </c>
      <c r="T354" s="87" t="s">
        <v>41</v>
      </c>
      <c r="U354" s="87" t="s">
        <v>42</v>
      </c>
      <c r="V354" s="213" t="s">
        <v>530</v>
      </c>
    </row>
    <row r="355" spans="1:23">
      <c r="A355" s="438">
        <f t="shared" ref="A355:B355" si="304">A298</f>
        <v>1</v>
      </c>
      <c r="B355" s="294">
        <f t="shared" si="304"/>
        <v>1.5</v>
      </c>
      <c r="C355" s="291">
        <f t="shared" ref="C355:C386" si="305">IF($A298="---","---",IF($N298/$M236&gt;$P298/$N236,M236,N236))</f>
        <v>1.5249193548387101</v>
      </c>
      <c r="D355" s="291">
        <f t="shared" ref="D355:D386" si="306">IF($A298="---","---",IF($N298/$M236&gt;$P298/$N236,$O298,$Q298))</f>
        <v>1.5857949763293719</v>
      </c>
      <c r="E355" s="291" t="str">
        <f t="shared" ref="E355:E386" si="307">IF($A298="---","---",IF($N298/$M236&gt;$P298/$N236,IF(M236&gt;=O298,"OK","NG!"),IF(N236&gt;=Q298,"OK *","NG! *")))</f>
        <v>NG!</v>
      </c>
      <c r="F355" s="291">
        <f t="shared" ref="F355" si="308">W236</f>
        <v>1.0166129032258067</v>
      </c>
      <c r="G355" s="291">
        <f t="shared" ref="G355:G386" si="309">IF(F355="---","---",S298)</f>
        <v>1.292129239972081</v>
      </c>
      <c r="H355" s="291" t="str">
        <f t="shared" ref="H355" si="310">IF($A298="---","---",IF(F355="---","N/A",IF(F355&gt;=G355,"OK","NG!")))</f>
        <v>NG!</v>
      </c>
      <c r="I355" s="291">
        <f t="shared" ref="I355:I386" si="311">IF($A298="---","---",IF(Type_Reinf="g",IF($N298/$P236&gt;$P298/$Q236,P236,Q236),IF($N298/$R236&gt;$P298/$S236,R236,S236)))</f>
        <v>5</v>
      </c>
      <c r="J355" s="291">
        <f t="shared" ref="J355:J386" si="312">IF($A298="---","---",IF(Type_Reinf="g",IF($N298/$P236&gt;$P298/$Q236,O298,Q298),IF($N298/$R236&gt;$P298/$S236,O298,Q298)))</f>
        <v>1.5857949763293719</v>
      </c>
      <c r="K355" s="291" t="str">
        <f t="shared" ref="K355:K386" si="313">IF($A298="---","---",IF(Type_Reinf="g",IF($N298/$P236&gt;$P298/$Q236,IF(P236&gt;=O298,"OK","NG!"),IF(Q236&gt;=Q298,"OK *","NG! *")),IF($N298/$R236&gt;$P298/$S236,IF(R236&gt;=O298,"OK","NG!"),IF(S236&gt;=Q298,"OK *","NG! *"))))</f>
        <v>OK</v>
      </c>
      <c r="L355" s="294" t="str">
        <f t="shared" ref="L355" si="314">T236</f>
        <v>---</v>
      </c>
      <c r="M355" s="294" t="str">
        <f t="shared" ref="M355:M386" si="315">T298</f>
        <v>---</v>
      </c>
      <c r="N355" s="291" t="str">
        <f t="shared" ref="N355" si="316">IF($A298="---","---",IF(L355&gt;=M355,"OK","NG!"))</f>
        <v>OK</v>
      </c>
      <c r="O355" s="294" t="str">
        <f t="shared" ref="O355" si="317">U236</f>
        <v>---</v>
      </c>
      <c r="P355" s="294" t="str">
        <f t="shared" ref="P355:P386" si="318">U298</f>
        <v>---</v>
      </c>
      <c r="Q355" s="291" t="str">
        <f t="shared" ref="Q355" si="319">IF($A298="---","---",IF(O355&gt;=P355,"OK","NG!"))</f>
        <v>OK</v>
      </c>
      <c r="R355" s="291" t="str">
        <f t="shared" ref="R355:R386" si="320">IF(A355="---","---",IF(AND(Geo_Face="y",Geo_Conn="f")=TRUE,IF(rho="",TAN(2/3*RADIANS(PHI_reinf)),IF(rho_experimental="y",0.7*TAN(RADIANS(rho)),TAN(RADIANS(PHI_reinf)))),"---"))</f>
        <v>---</v>
      </c>
      <c r="S355" s="291" t="str">
        <f>IF(A355="---","---",IF(AND(Geo_Face="y",Geo_Conn="f")=TRUE,INPUT!Q111,"---"))</f>
        <v>---</v>
      </c>
      <c r="T355" s="291" t="str">
        <f t="shared" ref="T355:T386" si="321">IF(S355="---","---",IF(Abut_on_Piles="y",gamma_reinf*C428+IF(cf+ bf-0.5*(B355-Ad)&gt;S355,0,IF(B355&gt;=Z_2_qint,(q_DW+q_ES)*((L_reinf-cf-bf)/E298),(q_DW+q_ES)*((L_reinf-cf-bf)/E298)*(S355-(L_reinf-E298))/S355))+IF(cf-0.5*(B355-Ad)&gt;S355,0,IF(B355&gt;=Z_2_Pv,H298,H298*MAX(0,S355-(cf-0.5*(B355-Ad)))/S355)),IF(C428&gt;D428,gamma_reinf*C428+IF(cf+pw-0.5*B355&gt;S355,0,q_DW_int),gamma_reinf*B355+gamma_fill*S+IF(cf+pw-0.5*B355&gt;S355,0,q_DW_int))))</f>
        <v>---</v>
      </c>
      <c r="U355" s="291" t="str">
        <f>IF(A355="---","---",IF(AND(Geo_Face="y",Geo_Conn="f")=TRUE,MAX(3,($J428/(phi_Pullout_Static*R355*alpha*$T355*C_surf_geo*$I236))/2),"---"))</f>
        <v>---</v>
      </c>
      <c r="V355" s="441" t="str">
        <f t="shared" ref="V355:V386" si="322">IF(A355="---","---",IF(AND(Geo_Face="y",Geo_Conn="f")=TRUE,IF(S355&lt;U355,"NG!","OK"),"---"))</f>
        <v>---</v>
      </c>
      <c r="W355" s="102"/>
    </row>
    <row r="356" spans="1:23">
      <c r="A356" s="438">
        <f t="shared" ref="A356:B356" si="323">A299</f>
        <v>2</v>
      </c>
      <c r="B356" s="294">
        <f t="shared" si="323"/>
        <v>4</v>
      </c>
      <c r="C356" s="291">
        <f t="shared" si="305"/>
        <v>1.5249193548387101</v>
      </c>
      <c r="D356" s="291">
        <f t="shared" si="306"/>
        <v>1.4805049193315738</v>
      </c>
      <c r="E356" s="291" t="str">
        <f t="shared" si="307"/>
        <v>OK</v>
      </c>
      <c r="F356" s="291">
        <f t="shared" ref="F356:F404" si="324">W237</f>
        <v>1.0166129032258067</v>
      </c>
      <c r="G356" s="291">
        <f t="shared" si="309"/>
        <v>1.2063373416775787</v>
      </c>
      <c r="H356" s="291" t="str">
        <f t="shared" ref="H356:H404" si="325">IF($A299="---","---",IF(F356="---","N/A",IF(F356&gt;=G356,"OK","NG!")))</f>
        <v>NG!</v>
      </c>
      <c r="I356" s="291">
        <f t="shared" si="311"/>
        <v>5</v>
      </c>
      <c r="J356" s="291">
        <f t="shared" si="312"/>
        <v>1.4805049193315738</v>
      </c>
      <c r="K356" s="291" t="str">
        <f t="shared" si="313"/>
        <v>OK</v>
      </c>
      <c r="L356" s="294" t="str">
        <f t="shared" ref="L356:L404" si="326">T237</f>
        <v>---</v>
      </c>
      <c r="M356" s="294" t="str">
        <f t="shared" si="315"/>
        <v>---</v>
      </c>
      <c r="N356" s="291" t="str">
        <f t="shared" ref="N356:N404" si="327">IF($A299="---","---",IF(L356&gt;=M356,"OK","NG!"))</f>
        <v>OK</v>
      </c>
      <c r="O356" s="294" t="str">
        <f t="shared" ref="O356:O404" si="328">U237</f>
        <v>---</v>
      </c>
      <c r="P356" s="294" t="str">
        <f t="shared" si="318"/>
        <v>---</v>
      </c>
      <c r="Q356" s="291" t="str">
        <f t="shared" ref="Q356:Q404" si="329">IF($A299="---","---",IF(O356&gt;=P356,"OK","NG!"))</f>
        <v>OK</v>
      </c>
      <c r="R356" s="291" t="str">
        <f t="shared" si="320"/>
        <v>---</v>
      </c>
      <c r="S356" s="291" t="str">
        <f>IF(A356="---","---",IF(AND(Geo_Face="y",Geo_Conn="f")=TRUE,INPUT!Q112,"---"))</f>
        <v>---</v>
      </c>
      <c r="T356" s="291" t="str">
        <f t="shared" si="321"/>
        <v>---</v>
      </c>
      <c r="U356" s="291" t="str">
        <f t="shared" ref="U356:U386" si="330">IF(A356="---","---",IF(AND(Geo_Face="y",Geo_Conn="f")=TRUE,MAX(3,($J429/(phi_Pullout_Static*R356*alpha*$T356*C_surf_geo*$I237))/2),"---"))</f>
        <v>---</v>
      </c>
      <c r="V356" s="441" t="str">
        <f t="shared" si="322"/>
        <v>---</v>
      </c>
    </row>
    <row r="357" spans="1:23">
      <c r="A357" s="438">
        <f t="shared" ref="A357:B357" si="331">A300</f>
        <v>3</v>
      </c>
      <c r="B357" s="294">
        <f t="shared" si="331"/>
        <v>6.5</v>
      </c>
      <c r="C357" s="291">
        <f t="shared" si="305"/>
        <v>1.5249193548387101</v>
      </c>
      <c r="D357" s="291">
        <f t="shared" si="306"/>
        <v>1.5499276813766731</v>
      </c>
      <c r="E357" s="291" t="str">
        <f t="shared" si="307"/>
        <v>NG!</v>
      </c>
      <c r="F357" s="291">
        <f t="shared" si="324"/>
        <v>1.0166129032258067</v>
      </c>
      <c r="G357" s="291">
        <f t="shared" si="309"/>
        <v>1.2629040366772892</v>
      </c>
      <c r="H357" s="291" t="str">
        <f t="shared" si="325"/>
        <v>NG!</v>
      </c>
      <c r="I357" s="291">
        <f t="shared" si="311"/>
        <v>5</v>
      </c>
      <c r="J357" s="291">
        <f t="shared" si="312"/>
        <v>1.5499276813766731</v>
      </c>
      <c r="K357" s="291" t="str">
        <f t="shared" si="313"/>
        <v>OK</v>
      </c>
      <c r="L357" s="294" t="str">
        <f t="shared" si="326"/>
        <v>---</v>
      </c>
      <c r="M357" s="294" t="str">
        <f t="shared" si="315"/>
        <v>---</v>
      </c>
      <c r="N357" s="291" t="str">
        <f t="shared" si="327"/>
        <v>OK</v>
      </c>
      <c r="O357" s="294" t="str">
        <f t="shared" si="328"/>
        <v>---</v>
      </c>
      <c r="P357" s="294" t="str">
        <f t="shared" si="318"/>
        <v>---</v>
      </c>
      <c r="Q357" s="291" t="str">
        <f t="shared" si="329"/>
        <v>OK</v>
      </c>
      <c r="R357" s="291" t="str">
        <f t="shared" si="320"/>
        <v>---</v>
      </c>
      <c r="S357" s="291" t="str">
        <f>IF(A357="---","---",IF(AND(Geo_Face="y",Geo_Conn="f")=TRUE,INPUT!Q113,"---"))</f>
        <v>---</v>
      </c>
      <c r="T357" s="291" t="str">
        <f t="shared" si="321"/>
        <v>---</v>
      </c>
      <c r="U357" s="291" t="str">
        <f t="shared" si="330"/>
        <v>---</v>
      </c>
      <c r="V357" s="441" t="str">
        <f t="shared" si="322"/>
        <v>---</v>
      </c>
    </row>
    <row r="358" spans="1:23">
      <c r="A358" s="438">
        <f t="shared" ref="A358:B358" si="332">A301</f>
        <v>4</v>
      </c>
      <c r="B358" s="294">
        <f t="shared" si="332"/>
        <v>9</v>
      </c>
      <c r="C358" s="291">
        <f t="shared" si="305"/>
        <v>1.5249193548387101</v>
      </c>
      <c r="D358" s="291">
        <f t="shared" si="306"/>
        <v>1.6247868433188621</v>
      </c>
      <c r="E358" s="291" t="str">
        <f t="shared" si="307"/>
        <v>NG!</v>
      </c>
      <c r="F358" s="291">
        <f t="shared" si="324"/>
        <v>1.0166129032258067</v>
      </c>
      <c r="G358" s="291">
        <f t="shared" si="309"/>
        <v>1.3239003908524063</v>
      </c>
      <c r="H358" s="291" t="str">
        <f t="shared" si="325"/>
        <v>NG!</v>
      </c>
      <c r="I358" s="291">
        <f t="shared" si="311"/>
        <v>5</v>
      </c>
      <c r="J358" s="291">
        <f t="shared" si="312"/>
        <v>1.6247868433188621</v>
      </c>
      <c r="K358" s="291" t="str">
        <f t="shared" si="313"/>
        <v>OK</v>
      </c>
      <c r="L358" s="294" t="str">
        <f t="shared" si="326"/>
        <v>---</v>
      </c>
      <c r="M358" s="294" t="str">
        <f t="shared" si="315"/>
        <v>---</v>
      </c>
      <c r="N358" s="291" t="str">
        <f t="shared" si="327"/>
        <v>OK</v>
      </c>
      <c r="O358" s="294" t="str">
        <f t="shared" si="328"/>
        <v>---</v>
      </c>
      <c r="P358" s="294" t="str">
        <f t="shared" si="318"/>
        <v>---</v>
      </c>
      <c r="Q358" s="291" t="str">
        <f t="shared" si="329"/>
        <v>OK</v>
      </c>
      <c r="R358" s="291" t="str">
        <f t="shared" si="320"/>
        <v>---</v>
      </c>
      <c r="S358" s="291" t="str">
        <f>IF(A358="---","---",IF(AND(Geo_Face="y",Geo_Conn="f")=TRUE,INPUT!Q114,"---"))</f>
        <v>---</v>
      </c>
      <c r="T358" s="291" t="str">
        <f t="shared" si="321"/>
        <v>---</v>
      </c>
      <c r="U358" s="291" t="str">
        <f t="shared" si="330"/>
        <v>---</v>
      </c>
      <c r="V358" s="441" t="str">
        <f t="shared" si="322"/>
        <v>---</v>
      </c>
    </row>
    <row r="359" spans="1:23">
      <c r="A359" s="438">
        <f t="shared" ref="A359:B359" si="333">A302</f>
        <v>5</v>
      </c>
      <c r="B359" s="294">
        <f t="shared" si="333"/>
        <v>11.5</v>
      </c>
      <c r="C359" s="291">
        <f t="shared" si="305"/>
        <v>1.5249193548387101</v>
      </c>
      <c r="D359" s="291">
        <f t="shared" si="306"/>
        <v>1.6990227916999228</v>
      </c>
      <c r="E359" s="291" t="str">
        <f t="shared" si="307"/>
        <v>NG!</v>
      </c>
      <c r="F359" s="291">
        <f t="shared" si="324"/>
        <v>1.0166129032258067</v>
      </c>
      <c r="G359" s="291">
        <f t="shared" si="309"/>
        <v>1.3843889413851223</v>
      </c>
      <c r="H359" s="291" t="str">
        <f t="shared" si="325"/>
        <v>NG!</v>
      </c>
      <c r="I359" s="291">
        <f t="shared" si="311"/>
        <v>5</v>
      </c>
      <c r="J359" s="291">
        <f t="shared" si="312"/>
        <v>1.6990227916999228</v>
      </c>
      <c r="K359" s="291" t="str">
        <f t="shared" si="313"/>
        <v>OK</v>
      </c>
      <c r="L359" s="294" t="str">
        <f t="shared" si="326"/>
        <v>---</v>
      </c>
      <c r="M359" s="294" t="str">
        <f t="shared" si="315"/>
        <v>---</v>
      </c>
      <c r="N359" s="291" t="str">
        <f t="shared" si="327"/>
        <v>OK</v>
      </c>
      <c r="O359" s="294" t="str">
        <f t="shared" si="328"/>
        <v>---</v>
      </c>
      <c r="P359" s="294" t="str">
        <f t="shared" si="318"/>
        <v>---</v>
      </c>
      <c r="Q359" s="291" t="str">
        <f t="shared" si="329"/>
        <v>OK</v>
      </c>
      <c r="R359" s="291" t="str">
        <f t="shared" si="320"/>
        <v>---</v>
      </c>
      <c r="S359" s="291" t="str">
        <f>IF(A359="---","---",IF(AND(Geo_Face="y",Geo_Conn="f")=TRUE,INPUT!Q115,"---"))</f>
        <v>---</v>
      </c>
      <c r="T359" s="291" t="str">
        <f t="shared" si="321"/>
        <v>---</v>
      </c>
      <c r="U359" s="291" t="str">
        <f t="shared" si="330"/>
        <v>---</v>
      </c>
      <c r="V359" s="441" t="str">
        <f t="shared" si="322"/>
        <v>---</v>
      </c>
    </row>
    <row r="360" spans="1:23">
      <c r="A360" s="438">
        <f t="shared" ref="A360:B360" si="334">A303</f>
        <v>6</v>
      </c>
      <c r="B360" s="294">
        <f t="shared" si="334"/>
        <v>14</v>
      </c>
      <c r="C360" s="291">
        <f t="shared" si="305"/>
        <v>1.5249193548387101</v>
      </c>
      <c r="D360" s="291">
        <f t="shared" si="306"/>
        <v>2.3028781893874006</v>
      </c>
      <c r="E360" s="291" t="str">
        <f t="shared" si="307"/>
        <v>NG!</v>
      </c>
      <c r="F360" s="291">
        <f t="shared" si="324"/>
        <v>1.0166129032258067</v>
      </c>
      <c r="G360" s="291">
        <f t="shared" si="309"/>
        <v>1.8764192654267711</v>
      </c>
      <c r="H360" s="291" t="str">
        <f t="shared" si="325"/>
        <v>NG!</v>
      </c>
      <c r="I360" s="291">
        <f t="shared" si="311"/>
        <v>5</v>
      </c>
      <c r="J360" s="291">
        <f t="shared" si="312"/>
        <v>2.3028781893874006</v>
      </c>
      <c r="K360" s="291" t="str">
        <f t="shared" si="313"/>
        <v>OK</v>
      </c>
      <c r="L360" s="294" t="str">
        <f t="shared" si="326"/>
        <v>---</v>
      </c>
      <c r="M360" s="294" t="str">
        <f t="shared" si="315"/>
        <v>---</v>
      </c>
      <c r="N360" s="291" t="str">
        <f t="shared" si="327"/>
        <v>OK</v>
      </c>
      <c r="O360" s="294" t="str">
        <f t="shared" si="328"/>
        <v>---</v>
      </c>
      <c r="P360" s="294" t="str">
        <f t="shared" si="318"/>
        <v>---</v>
      </c>
      <c r="Q360" s="291" t="str">
        <f t="shared" si="329"/>
        <v>OK</v>
      </c>
      <c r="R360" s="291" t="str">
        <f t="shared" si="320"/>
        <v>---</v>
      </c>
      <c r="S360" s="291" t="str">
        <f>IF(A360="---","---",IF(AND(Geo_Face="y",Geo_Conn="f")=TRUE,INPUT!Q116,"---"))</f>
        <v>---</v>
      </c>
      <c r="T360" s="291" t="str">
        <f t="shared" si="321"/>
        <v>---</v>
      </c>
      <c r="U360" s="291" t="str">
        <f t="shared" si="330"/>
        <v>---</v>
      </c>
      <c r="V360" s="441" t="str">
        <f t="shared" si="322"/>
        <v>---</v>
      </c>
    </row>
    <row r="361" spans="1:23">
      <c r="A361" s="438" t="str">
        <f t="shared" ref="A361:B361" si="335">A304</f>
        <v>---</v>
      </c>
      <c r="B361" s="294" t="str">
        <f t="shared" si="335"/>
        <v>---</v>
      </c>
      <c r="C361" s="291" t="str">
        <f t="shared" si="305"/>
        <v>---</v>
      </c>
      <c r="D361" s="291" t="str">
        <f t="shared" si="306"/>
        <v>---</v>
      </c>
      <c r="E361" s="291" t="str">
        <f t="shared" si="307"/>
        <v>---</v>
      </c>
      <c r="F361" s="291" t="str">
        <f t="shared" si="324"/>
        <v>---</v>
      </c>
      <c r="G361" s="291" t="str">
        <f t="shared" si="309"/>
        <v>---</v>
      </c>
      <c r="H361" s="291" t="str">
        <f t="shared" si="325"/>
        <v>---</v>
      </c>
      <c r="I361" s="291" t="str">
        <f t="shared" si="311"/>
        <v>---</v>
      </c>
      <c r="J361" s="291" t="str">
        <f t="shared" si="312"/>
        <v>---</v>
      </c>
      <c r="K361" s="291" t="str">
        <f t="shared" si="313"/>
        <v>---</v>
      </c>
      <c r="L361" s="294" t="str">
        <f t="shared" si="326"/>
        <v>---</v>
      </c>
      <c r="M361" s="294" t="str">
        <f t="shared" si="315"/>
        <v>---</v>
      </c>
      <c r="N361" s="291" t="str">
        <f t="shared" si="327"/>
        <v>---</v>
      </c>
      <c r="O361" s="294" t="str">
        <f t="shared" si="328"/>
        <v>---</v>
      </c>
      <c r="P361" s="294" t="str">
        <f t="shared" si="318"/>
        <v>---</v>
      </c>
      <c r="Q361" s="291" t="str">
        <f t="shared" si="329"/>
        <v>---</v>
      </c>
      <c r="R361" s="291" t="str">
        <f t="shared" si="320"/>
        <v>---</v>
      </c>
      <c r="S361" s="291" t="str">
        <f>IF(A361="---","---",IF(AND(Geo_Face="y",Geo_Conn="f")=TRUE,INPUT!Q117,"---"))</f>
        <v>---</v>
      </c>
      <c r="T361" s="291" t="str">
        <f t="shared" si="321"/>
        <v>---</v>
      </c>
      <c r="U361" s="291" t="str">
        <f t="shared" si="330"/>
        <v>---</v>
      </c>
      <c r="V361" s="441" t="str">
        <f t="shared" si="322"/>
        <v>---</v>
      </c>
    </row>
    <row r="362" spans="1:23">
      <c r="A362" s="438" t="str">
        <f t="shared" ref="A362:B362" si="336">A305</f>
        <v>---</v>
      </c>
      <c r="B362" s="294" t="str">
        <f t="shared" si="336"/>
        <v>---</v>
      </c>
      <c r="C362" s="291" t="str">
        <f t="shared" si="305"/>
        <v>---</v>
      </c>
      <c r="D362" s="291" t="str">
        <f t="shared" si="306"/>
        <v>---</v>
      </c>
      <c r="E362" s="291" t="str">
        <f t="shared" si="307"/>
        <v>---</v>
      </c>
      <c r="F362" s="291" t="str">
        <f t="shared" si="324"/>
        <v>---</v>
      </c>
      <c r="G362" s="291" t="str">
        <f t="shared" si="309"/>
        <v>---</v>
      </c>
      <c r="H362" s="291" t="str">
        <f t="shared" si="325"/>
        <v>---</v>
      </c>
      <c r="I362" s="291" t="str">
        <f t="shared" si="311"/>
        <v>---</v>
      </c>
      <c r="J362" s="291" t="str">
        <f t="shared" si="312"/>
        <v>---</v>
      </c>
      <c r="K362" s="291" t="str">
        <f t="shared" si="313"/>
        <v>---</v>
      </c>
      <c r="L362" s="294" t="str">
        <f t="shared" si="326"/>
        <v>---</v>
      </c>
      <c r="M362" s="294" t="str">
        <f t="shared" si="315"/>
        <v>---</v>
      </c>
      <c r="N362" s="291" t="str">
        <f t="shared" si="327"/>
        <v>---</v>
      </c>
      <c r="O362" s="294" t="str">
        <f t="shared" si="328"/>
        <v>---</v>
      </c>
      <c r="P362" s="294" t="str">
        <f t="shared" si="318"/>
        <v>---</v>
      </c>
      <c r="Q362" s="291" t="str">
        <f t="shared" si="329"/>
        <v>---</v>
      </c>
      <c r="R362" s="291" t="str">
        <f t="shared" si="320"/>
        <v>---</v>
      </c>
      <c r="S362" s="291" t="str">
        <f>IF(A362="---","---",IF(AND(Geo_Face="y",Geo_Conn="f")=TRUE,INPUT!Q118,"---"))</f>
        <v>---</v>
      </c>
      <c r="T362" s="291" t="str">
        <f t="shared" si="321"/>
        <v>---</v>
      </c>
      <c r="U362" s="291" t="str">
        <f t="shared" si="330"/>
        <v>---</v>
      </c>
      <c r="V362" s="441" t="str">
        <f t="shared" si="322"/>
        <v>---</v>
      </c>
    </row>
    <row r="363" spans="1:23">
      <c r="A363" s="438" t="str">
        <f t="shared" ref="A363:B363" si="337">A306</f>
        <v>---</v>
      </c>
      <c r="B363" s="294" t="str">
        <f t="shared" si="337"/>
        <v>---</v>
      </c>
      <c r="C363" s="291" t="str">
        <f t="shared" si="305"/>
        <v>---</v>
      </c>
      <c r="D363" s="291" t="str">
        <f t="shared" si="306"/>
        <v>---</v>
      </c>
      <c r="E363" s="291" t="str">
        <f t="shared" si="307"/>
        <v>---</v>
      </c>
      <c r="F363" s="291" t="str">
        <f t="shared" si="324"/>
        <v>---</v>
      </c>
      <c r="G363" s="291" t="str">
        <f t="shared" si="309"/>
        <v>---</v>
      </c>
      <c r="H363" s="291" t="str">
        <f t="shared" si="325"/>
        <v>---</v>
      </c>
      <c r="I363" s="291" t="str">
        <f t="shared" si="311"/>
        <v>---</v>
      </c>
      <c r="J363" s="291" t="str">
        <f t="shared" si="312"/>
        <v>---</v>
      </c>
      <c r="K363" s="291" t="str">
        <f t="shared" si="313"/>
        <v>---</v>
      </c>
      <c r="L363" s="294" t="str">
        <f t="shared" si="326"/>
        <v>---</v>
      </c>
      <c r="M363" s="294" t="str">
        <f t="shared" si="315"/>
        <v>---</v>
      </c>
      <c r="N363" s="291" t="str">
        <f t="shared" si="327"/>
        <v>---</v>
      </c>
      <c r="O363" s="294" t="str">
        <f t="shared" si="328"/>
        <v>---</v>
      </c>
      <c r="P363" s="294" t="str">
        <f t="shared" si="318"/>
        <v>---</v>
      </c>
      <c r="Q363" s="291" t="str">
        <f t="shared" si="329"/>
        <v>---</v>
      </c>
      <c r="R363" s="291" t="str">
        <f t="shared" si="320"/>
        <v>---</v>
      </c>
      <c r="S363" s="291" t="str">
        <f>IF(A363="---","---",IF(AND(Geo_Face="y",Geo_Conn="f")=TRUE,INPUT!Q119,"---"))</f>
        <v>---</v>
      </c>
      <c r="T363" s="291" t="str">
        <f t="shared" si="321"/>
        <v>---</v>
      </c>
      <c r="U363" s="291" t="str">
        <f t="shared" si="330"/>
        <v>---</v>
      </c>
      <c r="V363" s="441" t="str">
        <f t="shared" si="322"/>
        <v>---</v>
      </c>
    </row>
    <row r="364" spans="1:23">
      <c r="A364" s="438" t="str">
        <f t="shared" ref="A364:B364" si="338">A307</f>
        <v>---</v>
      </c>
      <c r="B364" s="294" t="str">
        <f t="shared" si="338"/>
        <v>---</v>
      </c>
      <c r="C364" s="291" t="str">
        <f t="shared" si="305"/>
        <v>---</v>
      </c>
      <c r="D364" s="291" t="str">
        <f t="shared" si="306"/>
        <v>---</v>
      </c>
      <c r="E364" s="291" t="str">
        <f t="shared" si="307"/>
        <v>---</v>
      </c>
      <c r="F364" s="291" t="str">
        <f t="shared" si="324"/>
        <v>---</v>
      </c>
      <c r="G364" s="291" t="str">
        <f t="shared" si="309"/>
        <v>---</v>
      </c>
      <c r="H364" s="291" t="str">
        <f t="shared" si="325"/>
        <v>---</v>
      </c>
      <c r="I364" s="291" t="str">
        <f t="shared" si="311"/>
        <v>---</v>
      </c>
      <c r="J364" s="291" t="str">
        <f t="shared" si="312"/>
        <v>---</v>
      </c>
      <c r="K364" s="291" t="str">
        <f t="shared" si="313"/>
        <v>---</v>
      </c>
      <c r="L364" s="294" t="str">
        <f t="shared" si="326"/>
        <v>---</v>
      </c>
      <c r="M364" s="294" t="str">
        <f t="shared" si="315"/>
        <v>---</v>
      </c>
      <c r="N364" s="291" t="str">
        <f t="shared" si="327"/>
        <v>---</v>
      </c>
      <c r="O364" s="294" t="str">
        <f t="shared" si="328"/>
        <v>---</v>
      </c>
      <c r="P364" s="294" t="str">
        <f t="shared" si="318"/>
        <v>---</v>
      </c>
      <c r="Q364" s="291" t="str">
        <f t="shared" si="329"/>
        <v>---</v>
      </c>
      <c r="R364" s="291" t="str">
        <f t="shared" si="320"/>
        <v>---</v>
      </c>
      <c r="S364" s="291" t="str">
        <f>IF(A364="---","---",IF(AND(Geo_Face="y",Geo_Conn="f")=TRUE,INPUT!Q120,"---"))</f>
        <v>---</v>
      </c>
      <c r="T364" s="291" t="str">
        <f t="shared" si="321"/>
        <v>---</v>
      </c>
      <c r="U364" s="291" t="str">
        <f t="shared" si="330"/>
        <v>---</v>
      </c>
      <c r="V364" s="441" t="str">
        <f t="shared" si="322"/>
        <v>---</v>
      </c>
    </row>
    <row r="365" spans="1:23">
      <c r="A365" s="438" t="str">
        <f t="shared" ref="A365:B365" si="339">A308</f>
        <v>---</v>
      </c>
      <c r="B365" s="294" t="str">
        <f t="shared" si="339"/>
        <v>---</v>
      </c>
      <c r="C365" s="291" t="str">
        <f t="shared" si="305"/>
        <v>---</v>
      </c>
      <c r="D365" s="291" t="str">
        <f t="shared" si="306"/>
        <v>---</v>
      </c>
      <c r="E365" s="291" t="str">
        <f t="shared" si="307"/>
        <v>---</v>
      </c>
      <c r="F365" s="291" t="str">
        <f t="shared" si="324"/>
        <v>---</v>
      </c>
      <c r="G365" s="291" t="str">
        <f t="shared" si="309"/>
        <v>---</v>
      </c>
      <c r="H365" s="291" t="str">
        <f t="shared" si="325"/>
        <v>---</v>
      </c>
      <c r="I365" s="291" t="str">
        <f t="shared" si="311"/>
        <v>---</v>
      </c>
      <c r="J365" s="291" t="str">
        <f t="shared" si="312"/>
        <v>---</v>
      </c>
      <c r="K365" s="291" t="str">
        <f t="shared" si="313"/>
        <v>---</v>
      </c>
      <c r="L365" s="294" t="str">
        <f t="shared" si="326"/>
        <v>---</v>
      </c>
      <c r="M365" s="294" t="str">
        <f t="shared" si="315"/>
        <v>---</v>
      </c>
      <c r="N365" s="291" t="str">
        <f t="shared" si="327"/>
        <v>---</v>
      </c>
      <c r="O365" s="294" t="str">
        <f t="shared" si="328"/>
        <v>---</v>
      </c>
      <c r="P365" s="294" t="str">
        <f t="shared" si="318"/>
        <v>---</v>
      </c>
      <c r="Q365" s="291" t="str">
        <f t="shared" si="329"/>
        <v>---</v>
      </c>
      <c r="R365" s="291" t="str">
        <f t="shared" si="320"/>
        <v>---</v>
      </c>
      <c r="S365" s="291" t="str">
        <f>IF(A365="---","---",IF(AND(Geo_Face="y",Geo_Conn="f")=TRUE,INPUT!Q121,"---"))</f>
        <v>---</v>
      </c>
      <c r="T365" s="291" t="str">
        <f t="shared" si="321"/>
        <v>---</v>
      </c>
      <c r="U365" s="291" t="str">
        <f t="shared" si="330"/>
        <v>---</v>
      </c>
      <c r="V365" s="441" t="str">
        <f t="shared" si="322"/>
        <v>---</v>
      </c>
    </row>
    <row r="366" spans="1:23">
      <c r="A366" s="438" t="str">
        <f t="shared" ref="A366:B366" si="340">A309</f>
        <v>---</v>
      </c>
      <c r="B366" s="294" t="str">
        <f t="shared" si="340"/>
        <v>---</v>
      </c>
      <c r="C366" s="291" t="str">
        <f t="shared" si="305"/>
        <v>---</v>
      </c>
      <c r="D366" s="291" t="str">
        <f t="shared" si="306"/>
        <v>---</v>
      </c>
      <c r="E366" s="291" t="str">
        <f t="shared" si="307"/>
        <v>---</v>
      </c>
      <c r="F366" s="291" t="str">
        <f t="shared" si="324"/>
        <v>---</v>
      </c>
      <c r="G366" s="291" t="str">
        <f t="shared" si="309"/>
        <v>---</v>
      </c>
      <c r="H366" s="291" t="str">
        <f t="shared" si="325"/>
        <v>---</v>
      </c>
      <c r="I366" s="291" t="str">
        <f t="shared" si="311"/>
        <v>---</v>
      </c>
      <c r="J366" s="291" t="str">
        <f t="shared" si="312"/>
        <v>---</v>
      </c>
      <c r="K366" s="291" t="str">
        <f t="shared" si="313"/>
        <v>---</v>
      </c>
      <c r="L366" s="294" t="str">
        <f t="shared" si="326"/>
        <v>---</v>
      </c>
      <c r="M366" s="294" t="str">
        <f t="shared" si="315"/>
        <v>---</v>
      </c>
      <c r="N366" s="291" t="str">
        <f t="shared" si="327"/>
        <v>---</v>
      </c>
      <c r="O366" s="294" t="str">
        <f t="shared" si="328"/>
        <v>---</v>
      </c>
      <c r="P366" s="294" t="str">
        <f t="shared" si="318"/>
        <v>---</v>
      </c>
      <c r="Q366" s="291" t="str">
        <f t="shared" si="329"/>
        <v>---</v>
      </c>
      <c r="R366" s="291" t="str">
        <f t="shared" si="320"/>
        <v>---</v>
      </c>
      <c r="S366" s="291" t="str">
        <f>IF(A366="---","---",IF(AND(Geo_Face="y",Geo_Conn="f")=TRUE,INPUT!Q122,"---"))</f>
        <v>---</v>
      </c>
      <c r="T366" s="291" t="str">
        <f t="shared" si="321"/>
        <v>---</v>
      </c>
      <c r="U366" s="291" t="str">
        <f t="shared" si="330"/>
        <v>---</v>
      </c>
      <c r="V366" s="441" t="str">
        <f t="shared" si="322"/>
        <v>---</v>
      </c>
    </row>
    <row r="367" spans="1:23">
      <c r="A367" s="438" t="str">
        <f t="shared" ref="A367:B367" si="341">A310</f>
        <v>---</v>
      </c>
      <c r="B367" s="294" t="str">
        <f t="shared" si="341"/>
        <v>---</v>
      </c>
      <c r="C367" s="291" t="str">
        <f t="shared" si="305"/>
        <v>---</v>
      </c>
      <c r="D367" s="291" t="str">
        <f t="shared" si="306"/>
        <v>---</v>
      </c>
      <c r="E367" s="291" t="str">
        <f t="shared" si="307"/>
        <v>---</v>
      </c>
      <c r="F367" s="291" t="str">
        <f t="shared" si="324"/>
        <v>---</v>
      </c>
      <c r="G367" s="291" t="str">
        <f t="shared" si="309"/>
        <v>---</v>
      </c>
      <c r="H367" s="291" t="str">
        <f t="shared" si="325"/>
        <v>---</v>
      </c>
      <c r="I367" s="291" t="str">
        <f t="shared" si="311"/>
        <v>---</v>
      </c>
      <c r="J367" s="291" t="str">
        <f t="shared" si="312"/>
        <v>---</v>
      </c>
      <c r="K367" s="291" t="str">
        <f t="shared" si="313"/>
        <v>---</v>
      </c>
      <c r="L367" s="294" t="str">
        <f t="shared" si="326"/>
        <v>---</v>
      </c>
      <c r="M367" s="294" t="str">
        <f t="shared" si="315"/>
        <v>---</v>
      </c>
      <c r="N367" s="291" t="str">
        <f t="shared" si="327"/>
        <v>---</v>
      </c>
      <c r="O367" s="294" t="str">
        <f t="shared" si="328"/>
        <v>---</v>
      </c>
      <c r="P367" s="294" t="str">
        <f t="shared" si="318"/>
        <v>---</v>
      </c>
      <c r="Q367" s="291" t="str">
        <f t="shared" si="329"/>
        <v>---</v>
      </c>
      <c r="R367" s="291" t="str">
        <f t="shared" si="320"/>
        <v>---</v>
      </c>
      <c r="S367" s="291" t="str">
        <f>IF(A367="---","---",IF(AND(Geo_Face="y",Geo_Conn="f")=TRUE,INPUT!Q123,"---"))</f>
        <v>---</v>
      </c>
      <c r="T367" s="291" t="str">
        <f t="shared" si="321"/>
        <v>---</v>
      </c>
      <c r="U367" s="291" t="str">
        <f t="shared" si="330"/>
        <v>---</v>
      </c>
      <c r="V367" s="441" t="str">
        <f t="shared" si="322"/>
        <v>---</v>
      </c>
    </row>
    <row r="368" spans="1:23">
      <c r="A368" s="438" t="str">
        <f t="shared" ref="A368:B368" si="342">A311</f>
        <v>---</v>
      </c>
      <c r="B368" s="294" t="str">
        <f t="shared" si="342"/>
        <v>---</v>
      </c>
      <c r="C368" s="291" t="str">
        <f t="shared" si="305"/>
        <v>---</v>
      </c>
      <c r="D368" s="291" t="str">
        <f t="shared" si="306"/>
        <v>---</v>
      </c>
      <c r="E368" s="291" t="str">
        <f t="shared" si="307"/>
        <v>---</v>
      </c>
      <c r="F368" s="291" t="str">
        <f t="shared" si="324"/>
        <v>---</v>
      </c>
      <c r="G368" s="291" t="str">
        <f t="shared" si="309"/>
        <v>---</v>
      </c>
      <c r="H368" s="291" t="str">
        <f t="shared" si="325"/>
        <v>---</v>
      </c>
      <c r="I368" s="291" t="str">
        <f t="shared" si="311"/>
        <v>---</v>
      </c>
      <c r="J368" s="291" t="str">
        <f t="shared" si="312"/>
        <v>---</v>
      </c>
      <c r="K368" s="291" t="str">
        <f t="shared" si="313"/>
        <v>---</v>
      </c>
      <c r="L368" s="294" t="str">
        <f t="shared" si="326"/>
        <v>---</v>
      </c>
      <c r="M368" s="294" t="str">
        <f t="shared" si="315"/>
        <v>---</v>
      </c>
      <c r="N368" s="291" t="str">
        <f t="shared" si="327"/>
        <v>---</v>
      </c>
      <c r="O368" s="294" t="str">
        <f t="shared" si="328"/>
        <v>---</v>
      </c>
      <c r="P368" s="294" t="str">
        <f t="shared" si="318"/>
        <v>---</v>
      </c>
      <c r="Q368" s="291" t="str">
        <f t="shared" si="329"/>
        <v>---</v>
      </c>
      <c r="R368" s="291" t="str">
        <f t="shared" si="320"/>
        <v>---</v>
      </c>
      <c r="S368" s="291" t="str">
        <f>IF(A368="---","---",IF(AND(Geo_Face="y",Geo_Conn="f")=TRUE,INPUT!Q124,"---"))</f>
        <v>---</v>
      </c>
      <c r="T368" s="291" t="str">
        <f t="shared" si="321"/>
        <v>---</v>
      </c>
      <c r="U368" s="291" t="str">
        <f t="shared" si="330"/>
        <v>---</v>
      </c>
      <c r="V368" s="441" t="str">
        <f t="shared" si="322"/>
        <v>---</v>
      </c>
    </row>
    <row r="369" spans="1:22">
      <c r="A369" s="438" t="str">
        <f t="shared" ref="A369:B369" si="343">A312</f>
        <v>---</v>
      </c>
      <c r="B369" s="294" t="str">
        <f t="shared" si="343"/>
        <v>---</v>
      </c>
      <c r="C369" s="291" t="str">
        <f t="shared" si="305"/>
        <v>---</v>
      </c>
      <c r="D369" s="291" t="str">
        <f t="shared" si="306"/>
        <v>---</v>
      </c>
      <c r="E369" s="291" t="str">
        <f t="shared" si="307"/>
        <v>---</v>
      </c>
      <c r="F369" s="291" t="str">
        <f t="shared" si="324"/>
        <v>---</v>
      </c>
      <c r="G369" s="291" t="str">
        <f t="shared" si="309"/>
        <v>---</v>
      </c>
      <c r="H369" s="291" t="str">
        <f t="shared" si="325"/>
        <v>---</v>
      </c>
      <c r="I369" s="291" t="str">
        <f t="shared" si="311"/>
        <v>---</v>
      </c>
      <c r="J369" s="291" t="str">
        <f t="shared" si="312"/>
        <v>---</v>
      </c>
      <c r="K369" s="291" t="str">
        <f t="shared" si="313"/>
        <v>---</v>
      </c>
      <c r="L369" s="294" t="str">
        <f t="shared" si="326"/>
        <v>---</v>
      </c>
      <c r="M369" s="294" t="str">
        <f t="shared" si="315"/>
        <v>---</v>
      </c>
      <c r="N369" s="291" t="str">
        <f t="shared" si="327"/>
        <v>---</v>
      </c>
      <c r="O369" s="294" t="str">
        <f t="shared" si="328"/>
        <v>---</v>
      </c>
      <c r="P369" s="294" t="str">
        <f t="shared" si="318"/>
        <v>---</v>
      </c>
      <c r="Q369" s="291" t="str">
        <f t="shared" si="329"/>
        <v>---</v>
      </c>
      <c r="R369" s="291" t="str">
        <f t="shared" si="320"/>
        <v>---</v>
      </c>
      <c r="S369" s="291" t="str">
        <f>IF(A369="---","---",IF(AND(Geo_Face="y",Geo_Conn="f")=TRUE,INPUT!Q125,"---"))</f>
        <v>---</v>
      </c>
      <c r="T369" s="291" t="str">
        <f t="shared" si="321"/>
        <v>---</v>
      </c>
      <c r="U369" s="291" t="str">
        <f t="shared" si="330"/>
        <v>---</v>
      </c>
      <c r="V369" s="441" t="str">
        <f t="shared" si="322"/>
        <v>---</v>
      </c>
    </row>
    <row r="370" spans="1:22">
      <c r="A370" s="438" t="str">
        <f t="shared" ref="A370:B370" si="344">A313</f>
        <v>---</v>
      </c>
      <c r="B370" s="294" t="str">
        <f t="shared" si="344"/>
        <v>---</v>
      </c>
      <c r="C370" s="291" t="str">
        <f t="shared" si="305"/>
        <v>---</v>
      </c>
      <c r="D370" s="291" t="str">
        <f t="shared" si="306"/>
        <v>---</v>
      </c>
      <c r="E370" s="291" t="str">
        <f t="shared" si="307"/>
        <v>---</v>
      </c>
      <c r="F370" s="291" t="str">
        <f t="shared" si="324"/>
        <v>---</v>
      </c>
      <c r="G370" s="291" t="str">
        <f t="shared" si="309"/>
        <v>---</v>
      </c>
      <c r="H370" s="291" t="str">
        <f t="shared" si="325"/>
        <v>---</v>
      </c>
      <c r="I370" s="291" t="str">
        <f t="shared" si="311"/>
        <v>---</v>
      </c>
      <c r="J370" s="291" t="str">
        <f t="shared" si="312"/>
        <v>---</v>
      </c>
      <c r="K370" s="291" t="str">
        <f t="shared" si="313"/>
        <v>---</v>
      </c>
      <c r="L370" s="294" t="str">
        <f t="shared" si="326"/>
        <v>---</v>
      </c>
      <c r="M370" s="294" t="str">
        <f t="shared" si="315"/>
        <v>---</v>
      </c>
      <c r="N370" s="291" t="str">
        <f t="shared" si="327"/>
        <v>---</v>
      </c>
      <c r="O370" s="294" t="str">
        <f t="shared" si="328"/>
        <v>---</v>
      </c>
      <c r="P370" s="294" t="str">
        <f t="shared" si="318"/>
        <v>---</v>
      </c>
      <c r="Q370" s="291" t="str">
        <f t="shared" si="329"/>
        <v>---</v>
      </c>
      <c r="R370" s="291" t="str">
        <f t="shared" si="320"/>
        <v>---</v>
      </c>
      <c r="S370" s="291" t="str">
        <f>IF(A370="---","---",IF(AND(Geo_Face="y",Geo_Conn="f")=TRUE,INPUT!Q126,"---"))</f>
        <v>---</v>
      </c>
      <c r="T370" s="291" t="str">
        <f t="shared" si="321"/>
        <v>---</v>
      </c>
      <c r="U370" s="291" t="str">
        <f t="shared" si="330"/>
        <v>---</v>
      </c>
      <c r="V370" s="441" t="str">
        <f t="shared" si="322"/>
        <v>---</v>
      </c>
    </row>
    <row r="371" spans="1:22">
      <c r="A371" s="438" t="str">
        <f t="shared" ref="A371:B371" si="345">A314</f>
        <v>---</v>
      </c>
      <c r="B371" s="294" t="str">
        <f t="shared" si="345"/>
        <v>---</v>
      </c>
      <c r="C371" s="291" t="str">
        <f t="shared" si="305"/>
        <v>---</v>
      </c>
      <c r="D371" s="291" t="str">
        <f t="shared" si="306"/>
        <v>---</v>
      </c>
      <c r="E371" s="291" t="str">
        <f t="shared" si="307"/>
        <v>---</v>
      </c>
      <c r="F371" s="291" t="str">
        <f t="shared" si="324"/>
        <v>---</v>
      </c>
      <c r="G371" s="291" t="str">
        <f t="shared" si="309"/>
        <v>---</v>
      </c>
      <c r="H371" s="291" t="str">
        <f t="shared" si="325"/>
        <v>---</v>
      </c>
      <c r="I371" s="291" t="str">
        <f t="shared" si="311"/>
        <v>---</v>
      </c>
      <c r="J371" s="291" t="str">
        <f t="shared" si="312"/>
        <v>---</v>
      </c>
      <c r="K371" s="291" t="str">
        <f t="shared" si="313"/>
        <v>---</v>
      </c>
      <c r="L371" s="294" t="str">
        <f t="shared" si="326"/>
        <v>---</v>
      </c>
      <c r="M371" s="294" t="str">
        <f t="shared" si="315"/>
        <v>---</v>
      </c>
      <c r="N371" s="291" t="str">
        <f t="shared" si="327"/>
        <v>---</v>
      </c>
      <c r="O371" s="294" t="str">
        <f t="shared" si="328"/>
        <v>---</v>
      </c>
      <c r="P371" s="294" t="str">
        <f t="shared" si="318"/>
        <v>---</v>
      </c>
      <c r="Q371" s="291" t="str">
        <f t="shared" si="329"/>
        <v>---</v>
      </c>
      <c r="R371" s="291" t="str">
        <f t="shared" si="320"/>
        <v>---</v>
      </c>
      <c r="S371" s="291" t="str">
        <f>IF(A371="---","---",IF(AND(Geo_Face="y",Geo_Conn="f")=TRUE,INPUT!Q127,"---"))</f>
        <v>---</v>
      </c>
      <c r="T371" s="291" t="str">
        <f t="shared" si="321"/>
        <v>---</v>
      </c>
      <c r="U371" s="291" t="str">
        <f t="shared" si="330"/>
        <v>---</v>
      </c>
      <c r="V371" s="441" t="str">
        <f t="shared" si="322"/>
        <v>---</v>
      </c>
    </row>
    <row r="372" spans="1:22">
      <c r="A372" s="438" t="str">
        <f t="shared" ref="A372:B372" si="346">A315</f>
        <v>---</v>
      </c>
      <c r="B372" s="294" t="str">
        <f t="shared" si="346"/>
        <v>---</v>
      </c>
      <c r="C372" s="291" t="str">
        <f t="shared" si="305"/>
        <v>---</v>
      </c>
      <c r="D372" s="291" t="str">
        <f t="shared" si="306"/>
        <v>---</v>
      </c>
      <c r="E372" s="291" t="str">
        <f t="shared" si="307"/>
        <v>---</v>
      </c>
      <c r="F372" s="291" t="str">
        <f t="shared" si="324"/>
        <v>---</v>
      </c>
      <c r="G372" s="291" t="str">
        <f t="shared" si="309"/>
        <v>---</v>
      </c>
      <c r="H372" s="291" t="str">
        <f t="shared" si="325"/>
        <v>---</v>
      </c>
      <c r="I372" s="291" t="str">
        <f t="shared" si="311"/>
        <v>---</v>
      </c>
      <c r="J372" s="291" t="str">
        <f t="shared" si="312"/>
        <v>---</v>
      </c>
      <c r="K372" s="291" t="str">
        <f t="shared" si="313"/>
        <v>---</v>
      </c>
      <c r="L372" s="294" t="str">
        <f t="shared" si="326"/>
        <v>---</v>
      </c>
      <c r="M372" s="294" t="str">
        <f t="shared" si="315"/>
        <v>---</v>
      </c>
      <c r="N372" s="291" t="str">
        <f t="shared" si="327"/>
        <v>---</v>
      </c>
      <c r="O372" s="294" t="str">
        <f t="shared" si="328"/>
        <v>---</v>
      </c>
      <c r="P372" s="294" t="str">
        <f t="shared" si="318"/>
        <v>---</v>
      </c>
      <c r="Q372" s="291" t="str">
        <f t="shared" si="329"/>
        <v>---</v>
      </c>
      <c r="R372" s="291" t="str">
        <f t="shared" si="320"/>
        <v>---</v>
      </c>
      <c r="S372" s="291" t="str">
        <f>IF(A372="---","---",IF(AND(Geo_Face="y",Geo_Conn="f")=TRUE,INPUT!Q128,"---"))</f>
        <v>---</v>
      </c>
      <c r="T372" s="291" t="str">
        <f t="shared" si="321"/>
        <v>---</v>
      </c>
      <c r="U372" s="291" t="str">
        <f t="shared" si="330"/>
        <v>---</v>
      </c>
      <c r="V372" s="441" t="str">
        <f t="shared" si="322"/>
        <v>---</v>
      </c>
    </row>
    <row r="373" spans="1:22">
      <c r="A373" s="438" t="str">
        <f t="shared" ref="A373:B373" si="347">A316</f>
        <v>---</v>
      </c>
      <c r="B373" s="294" t="str">
        <f t="shared" si="347"/>
        <v>---</v>
      </c>
      <c r="C373" s="291" t="str">
        <f t="shared" si="305"/>
        <v>---</v>
      </c>
      <c r="D373" s="291" t="str">
        <f t="shared" si="306"/>
        <v>---</v>
      </c>
      <c r="E373" s="291" t="str">
        <f t="shared" si="307"/>
        <v>---</v>
      </c>
      <c r="F373" s="291" t="str">
        <f t="shared" si="324"/>
        <v>---</v>
      </c>
      <c r="G373" s="291" t="str">
        <f t="shared" si="309"/>
        <v>---</v>
      </c>
      <c r="H373" s="291" t="str">
        <f t="shared" si="325"/>
        <v>---</v>
      </c>
      <c r="I373" s="291" t="str">
        <f t="shared" si="311"/>
        <v>---</v>
      </c>
      <c r="J373" s="291" t="str">
        <f t="shared" si="312"/>
        <v>---</v>
      </c>
      <c r="K373" s="291" t="str">
        <f t="shared" si="313"/>
        <v>---</v>
      </c>
      <c r="L373" s="294" t="str">
        <f t="shared" si="326"/>
        <v>---</v>
      </c>
      <c r="M373" s="294" t="str">
        <f t="shared" si="315"/>
        <v>---</v>
      </c>
      <c r="N373" s="291" t="str">
        <f t="shared" si="327"/>
        <v>---</v>
      </c>
      <c r="O373" s="294" t="str">
        <f t="shared" si="328"/>
        <v>---</v>
      </c>
      <c r="P373" s="294" t="str">
        <f t="shared" si="318"/>
        <v>---</v>
      </c>
      <c r="Q373" s="291" t="str">
        <f t="shared" si="329"/>
        <v>---</v>
      </c>
      <c r="R373" s="291" t="str">
        <f t="shared" si="320"/>
        <v>---</v>
      </c>
      <c r="S373" s="291" t="str">
        <f>IF(A373="---","---",IF(AND(Geo_Face="y",Geo_Conn="f")=TRUE,INPUT!Q129,"---"))</f>
        <v>---</v>
      </c>
      <c r="T373" s="291" t="str">
        <f t="shared" si="321"/>
        <v>---</v>
      </c>
      <c r="U373" s="291" t="str">
        <f t="shared" si="330"/>
        <v>---</v>
      </c>
      <c r="V373" s="441" t="str">
        <f t="shared" si="322"/>
        <v>---</v>
      </c>
    </row>
    <row r="374" spans="1:22">
      <c r="A374" s="438" t="str">
        <f t="shared" ref="A374:B374" si="348">A317</f>
        <v>---</v>
      </c>
      <c r="B374" s="294" t="str">
        <f t="shared" si="348"/>
        <v>---</v>
      </c>
      <c r="C374" s="291" t="str">
        <f t="shared" si="305"/>
        <v>---</v>
      </c>
      <c r="D374" s="291" t="str">
        <f t="shared" si="306"/>
        <v>---</v>
      </c>
      <c r="E374" s="291" t="str">
        <f t="shared" si="307"/>
        <v>---</v>
      </c>
      <c r="F374" s="291" t="str">
        <f t="shared" si="324"/>
        <v>---</v>
      </c>
      <c r="G374" s="291" t="str">
        <f t="shared" si="309"/>
        <v>---</v>
      </c>
      <c r="H374" s="291" t="str">
        <f t="shared" si="325"/>
        <v>---</v>
      </c>
      <c r="I374" s="291" t="str">
        <f t="shared" si="311"/>
        <v>---</v>
      </c>
      <c r="J374" s="291" t="str">
        <f t="shared" si="312"/>
        <v>---</v>
      </c>
      <c r="K374" s="291" t="str">
        <f t="shared" si="313"/>
        <v>---</v>
      </c>
      <c r="L374" s="294" t="str">
        <f t="shared" si="326"/>
        <v>---</v>
      </c>
      <c r="M374" s="294" t="str">
        <f t="shared" si="315"/>
        <v>---</v>
      </c>
      <c r="N374" s="291" t="str">
        <f t="shared" si="327"/>
        <v>---</v>
      </c>
      <c r="O374" s="294" t="str">
        <f t="shared" si="328"/>
        <v>---</v>
      </c>
      <c r="P374" s="294" t="str">
        <f t="shared" si="318"/>
        <v>---</v>
      </c>
      <c r="Q374" s="291" t="str">
        <f t="shared" si="329"/>
        <v>---</v>
      </c>
      <c r="R374" s="291" t="str">
        <f t="shared" si="320"/>
        <v>---</v>
      </c>
      <c r="S374" s="291" t="str">
        <f>IF(A374="---","---",IF(AND(Geo_Face="y",Geo_Conn="f")=TRUE,INPUT!Q130,"---"))</f>
        <v>---</v>
      </c>
      <c r="T374" s="291" t="str">
        <f t="shared" si="321"/>
        <v>---</v>
      </c>
      <c r="U374" s="291" t="str">
        <f t="shared" si="330"/>
        <v>---</v>
      </c>
      <c r="V374" s="441" t="str">
        <f t="shared" si="322"/>
        <v>---</v>
      </c>
    </row>
    <row r="375" spans="1:22">
      <c r="A375" s="438" t="str">
        <f t="shared" ref="A375:B375" si="349">A318</f>
        <v>---</v>
      </c>
      <c r="B375" s="294" t="str">
        <f t="shared" si="349"/>
        <v>---</v>
      </c>
      <c r="C375" s="291" t="str">
        <f t="shared" si="305"/>
        <v>---</v>
      </c>
      <c r="D375" s="291" t="str">
        <f t="shared" si="306"/>
        <v>---</v>
      </c>
      <c r="E375" s="291" t="str">
        <f t="shared" si="307"/>
        <v>---</v>
      </c>
      <c r="F375" s="291" t="str">
        <f t="shared" si="324"/>
        <v>---</v>
      </c>
      <c r="G375" s="291" t="str">
        <f t="shared" si="309"/>
        <v>---</v>
      </c>
      <c r="H375" s="291" t="str">
        <f t="shared" si="325"/>
        <v>---</v>
      </c>
      <c r="I375" s="291" t="str">
        <f t="shared" si="311"/>
        <v>---</v>
      </c>
      <c r="J375" s="291" t="str">
        <f t="shared" si="312"/>
        <v>---</v>
      </c>
      <c r="K375" s="291" t="str">
        <f t="shared" si="313"/>
        <v>---</v>
      </c>
      <c r="L375" s="294" t="str">
        <f t="shared" si="326"/>
        <v>---</v>
      </c>
      <c r="M375" s="294" t="str">
        <f t="shared" si="315"/>
        <v>---</v>
      </c>
      <c r="N375" s="291" t="str">
        <f t="shared" si="327"/>
        <v>---</v>
      </c>
      <c r="O375" s="294" t="str">
        <f t="shared" si="328"/>
        <v>---</v>
      </c>
      <c r="P375" s="294" t="str">
        <f t="shared" si="318"/>
        <v>---</v>
      </c>
      <c r="Q375" s="291" t="str">
        <f t="shared" si="329"/>
        <v>---</v>
      </c>
      <c r="R375" s="291" t="str">
        <f t="shared" si="320"/>
        <v>---</v>
      </c>
      <c r="S375" s="291" t="str">
        <f>IF(A375="---","---",IF(AND(Geo_Face="y",Geo_Conn="f")=TRUE,INPUT!Q131,"---"))</f>
        <v>---</v>
      </c>
      <c r="T375" s="291" t="str">
        <f t="shared" si="321"/>
        <v>---</v>
      </c>
      <c r="U375" s="291" t="str">
        <f t="shared" si="330"/>
        <v>---</v>
      </c>
      <c r="V375" s="441" t="str">
        <f t="shared" si="322"/>
        <v>---</v>
      </c>
    </row>
    <row r="376" spans="1:22">
      <c r="A376" s="438" t="str">
        <f t="shared" ref="A376:B376" si="350">A319</f>
        <v>---</v>
      </c>
      <c r="B376" s="294" t="str">
        <f t="shared" si="350"/>
        <v>---</v>
      </c>
      <c r="C376" s="291" t="str">
        <f t="shared" si="305"/>
        <v>---</v>
      </c>
      <c r="D376" s="291" t="str">
        <f t="shared" si="306"/>
        <v>---</v>
      </c>
      <c r="E376" s="291" t="str">
        <f t="shared" si="307"/>
        <v>---</v>
      </c>
      <c r="F376" s="291" t="str">
        <f t="shared" si="324"/>
        <v>---</v>
      </c>
      <c r="G376" s="291" t="str">
        <f t="shared" si="309"/>
        <v>---</v>
      </c>
      <c r="H376" s="291" t="str">
        <f t="shared" si="325"/>
        <v>---</v>
      </c>
      <c r="I376" s="291" t="str">
        <f t="shared" si="311"/>
        <v>---</v>
      </c>
      <c r="J376" s="291" t="str">
        <f t="shared" si="312"/>
        <v>---</v>
      </c>
      <c r="K376" s="291" t="str">
        <f t="shared" si="313"/>
        <v>---</v>
      </c>
      <c r="L376" s="294" t="str">
        <f t="shared" si="326"/>
        <v>---</v>
      </c>
      <c r="M376" s="294" t="str">
        <f t="shared" si="315"/>
        <v>---</v>
      </c>
      <c r="N376" s="291" t="str">
        <f t="shared" si="327"/>
        <v>---</v>
      </c>
      <c r="O376" s="294" t="str">
        <f t="shared" si="328"/>
        <v>---</v>
      </c>
      <c r="P376" s="294" t="str">
        <f t="shared" si="318"/>
        <v>---</v>
      </c>
      <c r="Q376" s="291" t="str">
        <f t="shared" si="329"/>
        <v>---</v>
      </c>
      <c r="R376" s="291" t="str">
        <f t="shared" si="320"/>
        <v>---</v>
      </c>
      <c r="S376" s="291" t="str">
        <f>IF(A376="---","---",IF(AND(Geo_Face="y",Geo_Conn="f")=TRUE,INPUT!Q132,"---"))</f>
        <v>---</v>
      </c>
      <c r="T376" s="291" t="str">
        <f t="shared" si="321"/>
        <v>---</v>
      </c>
      <c r="U376" s="291" t="str">
        <f t="shared" si="330"/>
        <v>---</v>
      </c>
      <c r="V376" s="441" t="str">
        <f t="shared" si="322"/>
        <v>---</v>
      </c>
    </row>
    <row r="377" spans="1:22">
      <c r="A377" s="438" t="str">
        <f t="shared" ref="A377:B377" si="351">A320</f>
        <v>---</v>
      </c>
      <c r="B377" s="294" t="str">
        <f t="shared" si="351"/>
        <v>---</v>
      </c>
      <c r="C377" s="291" t="str">
        <f t="shared" si="305"/>
        <v>---</v>
      </c>
      <c r="D377" s="291" t="str">
        <f t="shared" si="306"/>
        <v>---</v>
      </c>
      <c r="E377" s="291" t="str">
        <f t="shared" si="307"/>
        <v>---</v>
      </c>
      <c r="F377" s="291" t="str">
        <f t="shared" si="324"/>
        <v>---</v>
      </c>
      <c r="G377" s="291" t="str">
        <f t="shared" si="309"/>
        <v>---</v>
      </c>
      <c r="H377" s="291" t="str">
        <f t="shared" si="325"/>
        <v>---</v>
      </c>
      <c r="I377" s="291" t="str">
        <f t="shared" si="311"/>
        <v>---</v>
      </c>
      <c r="J377" s="291" t="str">
        <f t="shared" si="312"/>
        <v>---</v>
      </c>
      <c r="K377" s="291" t="str">
        <f t="shared" si="313"/>
        <v>---</v>
      </c>
      <c r="L377" s="294" t="str">
        <f t="shared" si="326"/>
        <v>---</v>
      </c>
      <c r="M377" s="294" t="str">
        <f t="shared" si="315"/>
        <v>---</v>
      </c>
      <c r="N377" s="291" t="str">
        <f t="shared" si="327"/>
        <v>---</v>
      </c>
      <c r="O377" s="294" t="str">
        <f t="shared" si="328"/>
        <v>---</v>
      </c>
      <c r="P377" s="294" t="str">
        <f t="shared" si="318"/>
        <v>---</v>
      </c>
      <c r="Q377" s="291" t="str">
        <f t="shared" si="329"/>
        <v>---</v>
      </c>
      <c r="R377" s="291" t="str">
        <f t="shared" si="320"/>
        <v>---</v>
      </c>
      <c r="S377" s="291" t="str">
        <f>IF(A377="---","---",IF(AND(Geo_Face="y",Geo_Conn="f")=TRUE,INPUT!Q133,"---"))</f>
        <v>---</v>
      </c>
      <c r="T377" s="291" t="str">
        <f t="shared" si="321"/>
        <v>---</v>
      </c>
      <c r="U377" s="291" t="str">
        <f t="shared" si="330"/>
        <v>---</v>
      </c>
      <c r="V377" s="441" t="str">
        <f t="shared" si="322"/>
        <v>---</v>
      </c>
    </row>
    <row r="378" spans="1:22">
      <c r="A378" s="438" t="str">
        <f t="shared" ref="A378:B378" si="352">A321</f>
        <v>---</v>
      </c>
      <c r="B378" s="294" t="str">
        <f t="shared" si="352"/>
        <v>---</v>
      </c>
      <c r="C378" s="291" t="str">
        <f t="shared" si="305"/>
        <v>---</v>
      </c>
      <c r="D378" s="291" t="str">
        <f t="shared" si="306"/>
        <v>---</v>
      </c>
      <c r="E378" s="291" t="str">
        <f t="shared" si="307"/>
        <v>---</v>
      </c>
      <c r="F378" s="291" t="str">
        <f t="shared" si="324"/>
        <v>---</v>
      </c>
      <c r="G378" s="291" t="str">
        <f t="shared" si="309"/>
        <v>---</v>
      </c>
      <c r="H378" s="291" t="str">
        <f t="shared" si="325"/>
        <v>---</v>
      </c>
      <c r="I378" s="291" t="str">
        <f t="shared" si="311"/>
        <v>---</v>
      </c>
      <c r="J378" s="291" t="str">
        <f t="shared" si="312"/>
        <v>---</v>
      </c>
      <c r="K378" s="291" t="str">
        <f t="shared" si="313"/>
        <v>---</v>
      </c>
      <c r="L378" s="294" t="str">
        <f t="shared" si="326"/>
        <v>---</v>
      </c>
      <c r="M378" s="294" t="str">
        <f t="shared" si="315"/>
        <v>---</v>
      </c>
      <c r="N378" s="291" t="str">
        <f t="shared" si="327"/>
        <v>---</v>
      </c>
      <c r="O378" s="294" t="str">
        <f t="shared" si="328"/>
        <v>---</v>
      </c>
      <c r="P378" s="294" t="str">
        <f t="shared" si="318"/>
        <v>---</v>
      </c>
      <c r="Q378" s="291" t="str">
        <f t="shared" si="329"/>
        <v>---</v>
      </c>
      <c r="R378" s="291" t="str">
        <f t="shared" si="320"/>
        <v>---</v>
      </c>
      <c r="S378" s="291" t="str">
        <f>IF(A378="---","---",IF(AND(Geo_Face="y",Geo_Conn="f")=TRUE,INPUT!Q134,"---"))</f>
        <v>---</v>
      </c>
      <c r="T378" s="291" t="str">
        <f t="shared" si="321"/>
        <v>---</v>
      </c>
      <c r="U378" s="291" t="str">
        <f t="shared" si="330"/>
        <v>---</v>
      </c>
      <c r="V378" s="441" t="str">
        <f t="shared" si="322"/>
        <v>---</v>
      </c>
    </row>
    <row r="379" spans="1:22">
      <c r="A379" s="438" t="str">
        <f t="shared" ref="A379:B379" si="353">A322</f>
        <v>---</v>
      </c>
      <c r="B379" s="294" t="str">
        <f t="shared" si="353"/>
        <v>---</v>
      </c>
      <c r="C379" s="291" t="str">
        <f t="shared" si="305"/>
        <v>---</v>
      </c>
      <c r="D379" s="291" t="str">
        <f t="shared" si="306"/>
        <v>---</v>
      </c>
      <c r="E379" s="291" t="str">
        <f t="shared" si="307"/>
        <v>---</v>
      </c>
      <c r="F379" s="291" t="str">
        <f t="shared" si="324"/>
        <v>---</v>
      </c>
      <c r="G379" s="291" t="str">
        <f t="shared" si="309"/>
        <v>---</v>
      </c>
      <c r="H379" s="291" t="str">
        <f t="shared" si="325"/>
        <v>---</v>
      </c>
      <c r="I379" s="291" t="str">
        <f t="shared" si="311"/>
        <v>---</v>
      </c>
      <c r="J379" s="291" t="str">
        <f t="shared" si="312"/>
        <v>---</v>
      </c>
      <c r="K379" s="291" t="str">
        <f t="shared" si="313"/>
        <v>---</v>
      </c>
      <c r="L379" s="294" t="str">
        <f t="shared" si="326"/>
        <v>---</v>
      </c>
      <c r="M379" s="294" t="str">
        <f t="shared" si="315"/>
        <v>---</v>
      </c>
      <c r="N379" s="291" t="str">
        <f t="shared" si="327"/>
        <v>---</v>
      </c>
      <c r="O379" s="294" t="str">
        <f t="shared" si="328"/>
        <v>---</v>
      </c>
      <c r="P379" s="294" t="str">
        <f t="shared" si="318"/>
        <v>---</v>
      </c>
      <c r="Q379" s="291" t="str">
        <f t="shared" si="329"/>
        <v>---</v>
      </c>
      <c r="R379" s="291" t="str">
        <f t="shared" si="320"/>
        <v>---</v>
      </c>
      <c r="S379" s="291" t="str">
        <f>IF(A379="---","---",IF(AND(Geo_Face="y",Geo_Conn="f")=TRUE,INPUT!Q135,"---"))</f>
        <v>---</v>
      </c>
      <c r="T379" s="291" t="str">
        <f t="shared" si="321"/>
        <v>---</v>
      </c>
      <c r="U379" s="291" t="str">
        <f t="shared" si="330"/>
        <v>---</v>
      </c>
      <c r="V379" s="441" t="str">
        <f t="shared" si="322"/>
        <v>---</v>
      </c>
    </row>
    <row r="380" spans="1:22">
      <c r="A380" s="438" t="str">
        <f t="shared" ref="A380:B380" si="354">A323</f>
        <v>---</v>
      </c>
      <c r="B380" s="294" t="str">
        <f t="shared" si="354"/>
        <v>---</v>
      </c>
      <c r="C380" s="291" t="str">
        <f t="shared" si="305"/>
        <v>---</v>
      </c>
      <c r="D380" s="291" t="str">
        <f t="shared" si="306"/>
        <v>---</v>
      </c>
      <c r="E380" s="291" t="str">
        <f t="shared" si="307"/>
        <v>---</v>
      </c>
      <c r="F380" s="291" t="str">
        <f t="shared" si="324"/>
        <v>---</v>
      </c>
      <c r="G380" s="291" t="str">
        <f t="shared" si="309"/>
        <v>---</v>
      </c>
      <c r="H380" s="291" t="str">
        <f t="shared" si="325"/>
        <v>---</v>
      </c>
      <c r="I380" s="291" t="str">
        <f t="shared" si="311"/>
        <v>---</v>
      </c>
      <c r="J380" s="291" t="str">
        <f t="shared" si="312"/>
        <v>---</v>
      </c>
      <c r="K380" s="291" t="str">
        <f t="shared" si="313"/>
        <v>---</v>
      </c>
      <c r="L380" s="294" t="str">
        <f t="shared" si="326"/>
        <v>---</v>
      </c>
      <c r="M380" s="294" t="str">
        <f t="shared" si="315"/>
        <v>---</v>
      </c>
      <c r="N380" s="291" t="str">
        <f t="shared" si="327"/>
        <v>---</v>
      </c>
      <c r="O380" s="294" t="str">
        <f t="shared" si="328"/>
        <v>---</v>
      </c>
      <c r="P380" s="294" t="str">
        <f t="shared" si="318"/>
        <v>---</v>
      </c>
      <c r="Q380" s="291" t="str">
        <f t="shared" si="329"/>
        <v>---</v>
      </c>
      <c r="R380" s="291" t="str">
        <f t="shared" si="320"/>
        <v>---</v>
      </c>
      <c r="S380" s="291" t="str">
        <f>IF(A380="---","---",IF(AND(Geo_Face="y",Geo_Conn="f")=TRUE,INPUT!Q136,"---"))</f>
        <v>---</v>
      </c>
      <c r="T380" s="291" t="str">
        <f t="shared" si="321"/>
        <v>---</v>
      </c>
      <c r="U380" s="291" t="str">
        <f t="shared" si="330"/>
        <v>---</v>
      </c>
      <c r="V380" s="441" t="str">
        <f t="shared" si="322"/>
        <v>---</v>
      </c>
    </row>
    <row r="381" spans="1:22">
      <c r="A381" s="438" t="str">
        <f t="shared" ref="A381:B381" si="355">A324</f>
        <v>---</v>
      </c>
      <c r="B381" s="294" t="str">
        <f t="shared" si="355"/>
        <v>---</v>
      </c>
      <c r="C381" s="291" t="str">
        <f t="shared" si="305"/>
        <v>---</v>
      </c>
      <c r="D381" s="291" t="str">
        <f t="shared" si="306"/>
        <v>---</v>
      </c>
      <c r="E381" s="291" t="str">
        <f t="shared" si="307"/>
        <v>---</v>
      </c>
      <c r="F381" s="291" t="str">
        <f t="shared" si="324"/>
        <v>---</v>
      </c>
      <c r="G381" s="291" t="str">
        <f t="shared" si="309"/>
        <v>---</v>
      </c>
      <c r="H381" s="291" t="str">
        <f t="shared" si="325"/>
        <v>---</v>
      </c>
      <c r="I381" s="291" t="str">
        <f t="shared" si="311"/>
        <v>---</v>
      </c>
      <c r="J381" s="291" t="str">
        <f t="shared" si="312"/>
        <v>---</v>
      </c>
      <c r="K381" s="291" t="str">
        <f t="shared" si="313"/>
        <v>---</v>
      </c>
      <c r="L381" s="294" t="str">
        <f t="shared" si="326"/>
        <v>---</v>
      </c>
      <c r="M381" s="294" t="str">
        <f t="shared" si="315"/>
        <v>---</v>
      </c>
      <c r="N381" s="291" t="str">
        <f t="shared" si="327"/>
        <v>---</v>
      </c>
      <c r="O381" s="294" t="str">
        <f t="shared" si="328"/>
        <v>---</v>
      </c>
      <c r="P381" s="294" t="str">
        <f t="shared" si="318"/>
        <v>---</v>
      </c>
      <c r="Q381" s="291" t="str">
        <f t="shared" si="329"/>
        <v>---</v>
      </c>
      <c r="R381" s="291" t="str">
        <f t="shared" si="320"/>
        <v>---</v>
      </c>
      <c r="S381" s="291" t="str">
        <f>IF(A381="---","---",IF(AND(Geo_Face="y",Geo_Conn="f")=TRUE,INPUT!Q137,"---"))</f>
        <v>---</v>
      </c>
      <c r="T381" s="291" t="str">
        <f t="shared" si="321"/>
        <v>---</v>
      </c>
      <c r="U381" s="291" t="str">
        <f t="shared" si="330"/>
        <v>---</v>
      </c>
      <c r="V381" s="441" t="str">
        <f t="shared" si="322"/>
        <v>---</v>
      </c>
    </row>
    <row r="382" spans="1:22">
      <c r="A382" s="438" t="str">
        <f t="shared" ref="A382:B382" si="356">A325</f>
        <v>---</v>
      </c>
      <c r="B382" s="294" t="str">
        <f t="shared" si="356"/>
        <v>---</v>
      </c>
      <c r="C382" s="291" t="str">
        <f t="shared" si="305"/>
        <v>---</v>
      </c>
      <c r="D382" s="291" t="str">
        <f t="shared" si="306"/>
        <v>---</v>
      </c>
      <c r="E382" s="291" t="str">
        <f t="shared" si="307"/>
        <v>---</v>
      </c>
      <c r="F382" s="291" t="str">
        <f t="shared" si="324"/>
        <v>---</v>
      </c>
      <c r="G382" s="291" t="str">
        <f t="shared" si="309"/>
        <v>---</v>
      </c>
      <c r="H382" s="291" t="str">
        <f t="shared" si="325"/>
        <v>---</v>
      </c>
      <c r="I382" s="291" t="str">
        <f t="shared" si="311"/>
        <v>---</v>
      </c>
      <c r="J382" s="291" t="str">
        <f t="shared" si="312"/>
        <v>---</v>
      </c>
      <c r="K382" s="291" t="str">
        <f t="shared" si="313"/>
        <v>---</v>
      </c>
      <c r="L382" s="294" t="str">
        <f t="shared" si="326"/>
        <v>---</v>
      </c>
      <c r="M382" s="294" t="str">
        <f t="shared" si="315"/>
        <v>---</v>
      </c>
      <c r="N382" s="291" t="str">
        <f t="shared" si="327"/>
        <v>---</v>
      </c>
      <c r="O382" s="294" t="str">
        <f t="shared" si="328"/>
        <v>---</v>
      </c>
      <c r="P382" s="294" t="str">
        <f t="shared" si="318"/>
        <v>---</v>
      </c>
      <c r="Q382" s="291" t="str">
        <f t="shared" si="329"/>
        <v>---</v>
      </c>
      <c r="R382" s="291" t="str">
        <f t="shared" si="320"/>
        <v>---</v>
      </c>
      <c r="S382" s="291" t="str">
        <f>IF(A382="---","---",IF(AND(Geo_Face="y",Geo_Conn="f")=TRUE,INPUT!Q138,"---"))</f>
        <v>---</v>
      </c>
      <c r="T382" s="291" t="str">
        <f t="shared" si="321"/>
        <v>---</v>
      </c>
      <c r="U382" s="291" t="str">
        <f t="shared" si="330"/>
        <v>---</v>
      </c>
      <c r="V382" s="441" t="str">
        <f t="shared" si="322"/>
        <v>---</v>
      </c>
    </row>
    <row r="383" spans="1:22">
      <c r="A383" s="438" t="str">
        <f t="shared" ref="A383:B383" si="357">A326</f>
        <v>---</v>
      </c>
      <c r="B383" s="294" t="str">
        <f t="shared" si="357"/>
        <v>---</v>
      </c>
      <c r="C383" s="291" t="str">
        <f t="shared" si="305"/>
        <v>---</v>
      </c>
      <c r="D383" s="291" t="str">
        <f t="shared" si="306"/>
        <v>---</v>
      </c>
      <c r="E383" s="291" t="str">
        <f t="shared" si="307"/>
        <v>---</v>
      </c>
      <c r="F383" s="291" t="str">
        <f t="shared" si="324"/>
        <v>---</v>
      </c>
      <c r="G383" s="291" t="str">
        <f t="shared" si="309"/>
        <v>---</v>
      </c>
      <c r="H383" s="291" t="str">
        <f t="shared" si="325"/>
        <v>---</v>
      </c>
      <c r="I383" s="291" t="str">
        <f t="shared" si="311"/>
        <v>---</v>
      </c>
      <c r="J383" s="291" t="str">
        <f t="shared" si="312"/>
        <v>---</v>
      </c>
      <c r="K383" s="291" t="str">
        <f t="shared" si="313"/>
        <v>---</v>
      </c>
      <c r="L383" s="294" t="str">
        <f t="shared" si="326"/>
        <v>---</v>
      </c>
      <c r="M383" s="294" t="str">
        <f t="shared" si="315"/>
        <v>---</v>
      </c>
      <c r="N383" s="291" t="str">
        <f t="shared" si="327"/>
        <v>---</v>
      </c>
      <c r="O383" s="294" t="str">
        <f t="shared" si="328"/>
        <v>---</v>
      </c>
      <c r="P383" s="294" t="str">
        <f t="shared" si="318"/>
        <v>---</v>
      </c>
      <c r="Q383" s="291" t="str">
        <f t="shared" si="329"/>
        <v>---</v>
      </c>
      <c r="R383" s="291" t="str">
        <f t="shared" si="320"/>
        <v>---</v>
      </c>
      <c r="S383" s="291" t="str">
        <f>IF(A383="---","---",IF(AND(Geo_Face="y",Geo_Conn="f")=TRUE,INPUT!Q139,"---"))</f>
        <v>---</v>
      </c>
      <c r="T383" s="291" t="str">
        <f t="shared" si="321"/>
        <v>---</v>
      </c>
      <c r="U383" s="291" t="str">
        <f t="shared" si="330"/>
        <v>---</v>
      </c>
      <c r="V383" s="441" t="str">
        <f t="shared" si="322"/>
        <v>---</v>
      </c>
    </row>
    <row r="384" spans="1:22">
      <c r="A384" s="438" t="str">
        <f t="shared" ref="A384:B384" si="358">A327</f>
        <v>---</v>
      </c>
      <c r="B384" s="294" t="str">
        <f t="shared" si="358"/>
        <v>---</v>
      </c>
      <c r="C384" s="291" t="str">
        <f t="shared" si="305"/>
        <v>---</v>
      </c>
      <c r="D384" s="291" t="str">
        <f t="shared" si="306"/>
        <v>---</v>
      </c>
      <c r="E384" s="291" t="str">
        <f t="shared" si="307"/>
        <v>---</v>
      </c>
      <c r="F384" s="291" t="str">
        <f t="shared" si="324"/>
        <v>---</v>
      </c>
      <c r="G384" s="291" t="str">
        <f t="shared" si="309"/>
        <v>---</v>
      </c>
      <c r="H384" s="291" t="str">
        <f t="shared" si="325"/>
        <v>---</v>
      </c>
      <c r="I384" s="291" t="str">
        <f t="shared" si="311"/>
        <v>---</v>
      </c>
      <c r="J384" s="291" t="str">
        <f t="shared" si="312"/>
        <v>---</v>
      </c>
      <c r="K384" s="291" t="str">
        <f t="shared" si="313"/>
        <v>---</v>
      </c>
      <c r="L384" s="294" t="str">
        <f t="shared" si="326"/>
        <v>---</v>
      </c>
      <c r="M384" s="294" t="str">
        <f t="shared" si="315"/>
        <v>---</v>
      </c>
      <c r="N384" s="291" t="str">
        <f t="shared" si="327"/>
        <v>---</v>
      </c>
      <c r="O384" s="294" t="str">
        <f t="shared" si="328"/>
        <v>---</v>
      </c>
      <c r="P384" s="294" t="str">
        <f t="shared" si="318"/>
        <v>---</v>
      </c>
      <c r="Q384" s="291" t="str">
        <f t="shared" si="329"/>
        <v>---</v>
      </c>
      <c r="R384" s="291" t="str">
        <f t="shared" si="320"/>
        <v>---</v>
      </c>
      <c r="S384" s="291" t="str">
        <f>IF(A384="---","---",IF(AND(Geo_Face="y",Geo_Conn="f")=TRUE,INPUT!Q140,"---"))</f>
        <v>---</v>
      </c>
      <c r="T384" s="291" t="str">
        <f t="shared" si="321"/>
        <v>---</v>
      </c>
      <c r="U384" s="291" t="str">
        <f t="shared" si="330"/>
        <v>---</v>
      </c>
      <c r="V384" s="441" t="str">
        <f t="shared" si="322"/>
        <v>---</v>
      </c>
    </row>
    <row r="385" spans="1:22">
      <c r="A385" s="438" t="str">
        <f t="shared" ref="A385:B385" si="359">A328</f>
        <v>---</v>
      </c>
      <c r="B385" s="294" t="str">
        <f t="shared" si="359"/>
        <v>---</v>
      </c>
      <c r="C385" s="291" t="str">
        <f t="shared" si="305"/>
        <v>---</v>
      </c>
      <c r="D385" s="291" t="str">
        <f t="shared" si="306"/>
        <v>---</v>
      </c>
      <c r="E385" s="291" t="str">
        <f t="shared" si="307"/>
        <v>---</v>
      </c>
      <c r="F385" s="291" t="str">
        <f t="shared" si="324"/>
        <v>---</v>
      </c>
      <c r="G385" s="291" t="str">
        <f t="shared" si="309"/>
        <v>---</v>
      </c>
      <c r="H385" s="291" t="str">
        <f t="shared" si="325"/>
        <v>---</v>
      </c>
      <c r="I385" s="291" t="str">
        <f t="shared" si="311"/>
        <v>---</v>
      </c>
      <c r="J385" s="291" t="str">
        <f t="shared" si="312"/>
        <v>---</v>
      </c>
      <c r="K385" s="291" t="str">
        <f t="shared" si="313"/>
        <v>---</v>
      </c>
      <c r="L385" s="294" t="str">
        <f t="shared" si="326"/>
        <v>---</v>
      </c>
      <c r="M385" s="294" t="str">
        <f t="shared" si="315"/>
        <v>---</v>
      </c>
      <c r="N385" s="291" t="str">
        <f t="shared" si="327"/>
        <v>---</v>
      </c>
      <c r="O385" s="294" t="str">
        <f t="shared" si="328"/>
        <v>---</v>
      </c>
      <c r="P385" s="294" t="str">
        <f t="shared" si="318"/>
        <v>---</v>
      </c>
      <c r="Q385" s="291" t="str">
        <f t="shared" si="329"/>
        <v>---</v>
      </c>
      <c r="R385" s="291" t="str">
        <f t="shared" si="320"/>
        <v>---</v>
      </c>
      <c r="S385" s="291" t="str">
        <f>IF(A385="---","---",IF(AND(Geo_Face="y",Geo_Conn="f")=TRUE,INPUT!Q141,"---"))</f>
        <v>---</v>
      </c>
      <c r="T385" s="291" t="str">
        <f t="shared" si="321"/>
        <v>---</v>
      </c>
      <c r="U385" s="291" t="str">
        <f t="shared" si="330"/>
        <v>---</v>
      </c>
      <c r="V385" s="441" t="str">
        <f t="shared" si="322"/>
        <v>---</v>
      </c>
    </row>
    <row r="386" spans="1:22">
      <c r="A386" s="438" t="str">
        <f t="shared" ref="A386:B386" si="360">A329</f>
        <v>---</v>
      </c>
      <c r="B386" s="294" t="str">
        <f t="shared" si="360"/>
        <v>---</v>
      </c>
      <c r="C386" s="291" t="str">
        <f t="shared" si="305"/>
        <v>---</v>
      </c>
      <c r="D386" s="291" t="str">
        <f t="shared" si="306"/>
        <v>---</v>
      </c>
      <c r="E386" s="291" t="str">
        <f t="shared" si="307"/>
        <v>---</v>
      </c>
      <c r="F386" s="291" t="str">
        <f t="shared" si="324"/>
        <v>---</v>
      </c>
      <c r="G386" s="291" t="str">
        <f t="shared" si="309"/>
        <v>---</v>
      </c>
      <c r="H386" s="291" t="str">
        <f t="shared" si="325"/>
        <v>---</v>
      </c>
      <c r="I386" s="291" t="str">
        <f t="shared" si="311"/>
        <v>---</v>
      </c>
      <c r="J386" s="291" t="str">
        <f t="shared" si="312"/>
        <v>---</v>
      </c>
      <c r="K386" s="291" t="str">
        <f t="shared" si="313"/>
        <v>---</v>
      </c>
      <c r="L386" s="294" t="str">
        <f t="shared" si="326"/>
        <v>---</v>
      </c>
      <c r="M386" s="294" t="str">
        <f t="shared" si="315"/>
        <v>---</v>
      </c>
      <c r="N386" s="291" t="str">
        <f t="shared" si="327"/>
        <v>---</v>
      </c>
      <c r="O386" s="294" t="str">
        <f t="shared" si="328"/>
        <v>---</v>
      </c>
      <c r="P386" s="294" t="str">
        <f t="shared" si="318"/>
        <v>---</v>
      </c>
      <c r="Q386" s="291" t="str">
        <f t="shared" si="329"/>
        <v>---</v>
      </c>
      <c r="R386" s="291" t="str">
        <f t="shared" si="320"/>
        <v>---</v>
      </c>
      <c r="S386" s="291" t="str">
        <f>IF(A386="---","---",IF(AND(Geo_Face="y",Geo_Conn="f")=TRUE,INPUT!Q142,"---"))</f>
        <v>---</v>
      </c>
      <c r="T386" s="291" t="str">
        <f t="shared" si="321"/>
        <v>---</v>
      </c>
      <c r="U386" s="291" t="str">
        <f t="shared" si="330"/>
        <v>---</v>
      </c>
      <c r="V386" s="441" t="str">
        <f t="shared" si="322"/>
        <v>---</v>
      </c>
    </row>
    <row r="387" spans="1:22">
      <c r="A387" s="438" t="str">
        <f t="shared" ref="A387:B387" si="361">A330</f>
        <v>---</v>
      </c>
      <c r="B387" s="294" t="str">
        <f t="shared" si="361"/>
        <v>---</v>
      </c>
      <c r="C387" s="291" t="str">
        <f t="shared" ref="C387:C404" si="362">IF($A330="---","---",IF($N330/$M268&gt;$P330/$N268,M268,N268))</f>
        <v>---</v>
      </c>
      <c r="D387" s="291" t="str">
        <f t="shared" ref="D387:D404" si="363">IF($A330="---","---",IF($N330/$M268&gt;$P330/$N268,$O330,$Q330))</f>
        <v>---</v>
      </c>
      <c r="E387" s="291" t="str">
        <f t="shared" ref="E387:E404" si="364">IF($A330="---","---",IF($N330/$M268&gt;$P330/$N268,IF(M268&gt;=O330,"OK","NG!"),IF(N268&gt;=Q330,"OK *","NG! *")))</f>
        <v>---</v>
      </c>
      <c r="F387" s="291" t="str">
        <f t="shared" si="324"/>
        <v>---</v>
      </c>
      <c r="G387" s="291" t="str">
        <f t="shared" ref="G387:G404" si="365">IF(F387="---","---",S330)</f>
        <v>---</v>
      </c>
      <c r="H387" s="291" t="str">
        <f t="shared" si="325"/>
        <v>---</v>
      </c>
      <c r="I387" s="291" t="str">
        <f t="shared" ref="I387:I404" si="366">IF($A330="---","---",IF(Type_Reinf="g",IF($N330/$P268&gt;$P330/$Q268,P268,Q268),IF($N330/$R268&gt;$P330/$S268,R268,S268)))</f>
        <v>---</v>
      </c>
      <c r="J387" s="291" t="str">
        <f t="shared" ref="J387:J404" si="367">IF($A330="---","---",IF(Type_Reinf="g",IF($N330/$P268&gt;$P330/$Q268,O330,Q330),IF($N330/$R268&gt;$P330/$S268,O330,Q330)))</f>
        <v>---</v>
      </c>
      <c r="K387" s="291" t="str">
        <f t="shared" ref="K387:K404" si="368">IF($A330="---","---",IF(Type_Reinf="g",IF($N330/$P268&gt;$P330/$Q268,IF(P268&gt;=O330,"OK","NG!"),IF(Q268&gt;=Q330,"OK *","NG! *")),IF($N330/$R268&gt;$P330/$S268,IF(R268&gt;=O330,"OK","NG!"),IF(S268&gt;=Q330,"OK *","NG! *"))))</f>
        <v>---</v>
      </c>
      <c r="L387" s="294" t="str">
        <f t="shared" si="326"/>
        <v>---</v>
      </c>
      <c r="M387" s="294" t="str">
        <f t="shared" ref="M387:M404" si="369">T330</f>
        <v>---</v>
      </c>
      <c r="N387" s="291" t="str">
        <f t="shared" si="327"/>
        <v>---</v>
      </c>
      <c r="O387" s="294" t="str">
        <f t="shared" si="328"/>
        <v>---</v>
      </c>
      <c r="P387" s="294" t="str">
        <f t="shared" ref="P387:P404" si="370">U330</f>
        <v>---</v>
      </c>
      <c r="Q387" s="291" t="str">
        <f t="shared" si="329"/>
        <v>---</v>
      </c>
      <c r="R387" s="291" t="str">
        <f t="shared" ref="R387:R404" si="371">IF(A387="---","---",IF(AND(Geo_Face="y",Geo_Conn="f")=TRUE,IF(rho="",TAN(2/3*RADIANS(PHI_reinf)),IF(rho_experimental="y",0.7*TAN(RADIANS(rho)),TAN(RADIANS(PHI_reinf)))),"---"))</f>
        <v>---</v>
      </c>
      <c r="S387" s="291" t="str">
        <f>IF(A387="---","---",IF(AND(Geo_Face="y",Geo_Conn="f")=TRUE,INPUT!Q143,"---"))</f>
        <v>---</v>
      </c>
      <c r="T387" s="291" t="str">
        <f t="shared" ref="T387:T404" si="372">IF(S387="---","---",IF(Abut_on_Piles="y",gamma_reinf*C460+IF(cf+ bf-0.5*(B387-Ad)&gt;S387,0,IF(B387&gt;=Z_2_qint,(q_DW+q_ES)*((L_reinf-cf-bf)/E330),(q_DW+q_ES)*((L_reinf-cf-bf)/E330)*(S387-(L_reinf-E330))/S387))+IF(cf-0.5*(B387-Ad)&gt;S387,0,IF(B387&gt;=Z_2_Pv,H330,H330*MAX(0,S387-(cf-0.5*(B387-Ad)))/S387)),IF(C460&gt;D460,gamma_reinf*C460+IF(cf+pw-0.5*B387&gt;S387,0,q_DW_int),gamma_reinf*B387+gamma_fill*S+IF(cf+pw-0.5*B387&gt;S387,0,q_DW_int))))</f>
        <v>---</v>
      </c>
      <c r="U387" s="291" t="str">
        <f t="shared" ref="U387:U404" si="373">IF(A387="---","---",IF(AND(Geo_Face="y",Geo_Conn="f")=TRUE,MAX(3,($J460/(phi_Pullout_Static*R387*alpha*$T387*C_surf_geo*$I268))/2),"---"))</f>
        <v>---</v>
      </c>
      <c r="V387" s="441" t="str">
        <f t="shared" ref="V387:V404" si="374">IF(A387="---","---",IF(AND(Geo_Face="y",Geo_Conn="f")=TRUE,IF(S387&lt;U387,"NG!","OK"),"---"))</f>
        <v>---</v>
      </c>
    </row>
    <row r="388" spans="1:22">
      <c r="A388" s="438" t="str">
        <f t="shared" ref="A388:B388" si="375">A331</f>
        <v>---</v>
      </c>
      <c r="B388" s="294" t="str">
        <f t="shared" si="375"/>
        <v>---</v>
      </c>
      <c r="C388" s="291" t="str">
        <f t="shared" si="362"/>
        <v>---</v>
      </c>
      <c r="D388" s="291" t="str">
        <f t="shared" si="363"/>
        <v>---</v>
      </c>
      <c r="E388" s="291" t="str">
        <f t="shared" si="364"/>
        <v>---</v>
      </c>
      <c r="F388" s="291" t="str">
        <f t="shared" si="324"/>
        <v>---</v>
      </c>
      <c r="G388" s="291" t="str">
        <f t="shared" si="365"/>
        <v>---</v>
      </c>
      <c r="H388" s="291" t="str">
        <f t="shared" si="325"/>
        <v>---</v>
      </c>
      <c r="I388" s="291" t="str">
        <f t="shared" si="366"/>
        <v>---</v>
      </c>
      <c r="J388" s="291" t="str">
        <f t="shared" si="367"/>
        <v>---</v>
      </c>
      <c r="K388" s="291" t="str">
        <f t="shared" si="368"/>
        <v>---</v>
      </c>
      <c r="L388" s="294" t="str">
        <f t="shared" si="326"/>
        <v>---</v>
      </c>
      <c r="M388" s="294" t="str">
        <f t="shared" si="369"/>
        <v>---</v>
      </c>
      <c r="N388" s="291" t="str">
        <f t="shared" si="327"/>
        <v>---</v>
      </c>
      <c r="O388" s="294" t="str">
        <f t="shared" si="328"/>
        <v>---</v>
      </c>
      <c r="P388" s="294" t="str">
        <f t="shared" si="370"/>
        <v>---</v>
      </c>
      <c r="Q388" s="291" t="str">
        <f t="shared" si="329"/>
        <v>---</v>
      </c>
      <c r="R388" s="291" t="str">
        <f t="shared" si="371"/>
        <v>---</v>
      </c>
      <c r="S388" s="291" t="str">
        <f>IF(A388="---","---",IF(AND(Geo_Face="y",Geo_Conn="f")=TRUE,INPUT!Q144,"---"))</f>
        <v>---</v>
      </c>
      <c r="T388" s="291" t="str">
        <f t="shared" si="372"/>
        <v>---</v>
      </c>
      <c r="U388" s="291" t="str">
        <f t="shared" si="373"/>
        <v>---</v>
      </c>
      <c r="V388" s="441" t="str">
        <f t="shared" si="374"/>
        <v>---</v>
      </c>
    </row>
    <row r="389" spans="1:22">
      <c r="A389" s="438" t="str">
        <f t="shared" ref="A389:B389" si="376">A332</f>
        <v>---</v>
      </c>
      <c r="B389" s="294" t="str">
        <f t="shared" si="376"/>
        <v>---</v>
      </c>
      <c r="C389" s="291" t="str">
        <f t="shared" si="362"/>
        <v>---</v>
      </c>
      <c r="D389" s="291" t="str">
        <f t="shared" si="363"/>
        <v>---</v>
      </c>
      <c r="E389" s="291" t="str">
        <f t="shared" si="364"/>
        <v>---</v>
      </c>
      <c r="F389" s="291" t="str">
        <f t="shared" si="324"/>
        <v>---</v>
      </c>
      <c r="G389" s="291" t="str">
        <f t="shared" si="365"/>
        <v>---</v>
      </c>
      <c r="H389" s="291" t="str">
        <f t="shared" si="325"/>
        <v>---</v>
      </c>
      <c r="I389" s="291" t="str">
        <f t="shared" si="366"/>
        <v>---</v>
      </c>
      <c r="J389" s="291" t="str">
        <f t="shared" si="367"/>
        <v>---</v>
      </c>
      <c r="K389" s="291" t="str">
        <f t="shared" si="368"/>
        <v>---</v>
      </c>
      <c r="L389" s="294" t="str">
        <f t="shared" si="326"/>
        <v>---</v>
      </c>
      <c r="M389" s="294" t="str">
        <f t="shared" si="369"/>
        <v>---</v>
      </c>
      <c r="N389" s="291" t="str">
        <f t="shared" si="327"/>
        <v>---</v>
      </c>
      <c r="O389" s="294" t="str">
        <f t="shared" si="328"/>
        <v>---</v>
      </c>
      <c r="P389" s="294" t="str">
        <f t="shared" si="370"/>
        <v>---</v>
      </c>
      <c r="Q389" s="291" t="str">
        <f t="shared" si="329"/>
        <v>---</v>
      </c>
      <c r="R389" s="291" t="str">
        <f t="shared" si="371"/>
        <v>---</v>
      </c>
      <c r="S389" s="291" t="str">
        <f>IF(A389="---","---",IF(AND(Geo_Face="y",Geo_Conn="f")=TRUE,INPUT!Q145,"---"))</f>
        <v>---</v>
      </c>
      <c r="T389" s="291" t="str">
        <f t="shared" si="372"/>
        <v>---</v>
      </c>
      <c r="U389" s="291" t="str">
        <f t="shared" si="373"/>
        <v>---</v>
      </c>
      <c r="V389" s="441" t="str">
        <f t="shared" si="374"/>
        <v>---</v>
      </c>
    </row>
    <row r="390" spans="1:22">
      <c r="A390" s="438" t="str">
        <f t="shared" ref="A390:B390" si="377">A333</f>
        <v>---</v>
      </c>
      <c r="B390" s="294" t="str">
        <f t="shared" si="377"/>
        <v>---</v>
      </c>
      <c r="C390" s="291" t="str">
        <f t="shared" si="362"/>
        <v>---</v>
      </c>
      <c r="D390" s="291" t="str">
        <f t="shared" si="363"/>
        <v>---</v>
      </c>
      <c r="E390" s="291" t="str">
        <f t="shared" si="364"/>
        <v>---</v>
      </c>
      <c r="F390" s="291" t="str">
        <f t="shared" si="324"/>
        <v>---</v>
      </c>
      <c r="G390" s="291" t="str">
        <f t="shared" si="365"/>
        <v>---</v>
      </c>
      <c r="H390" s="291" t="str">
        <f t="shared" si="325"/>
        <v>---</v>
      </c>
      <c r="I390" s="291" t="str">
        <f t="shared" si="366"/>
        <v>---</v>
      </c>
      <c r="J390" s="291" t="str">
        <f t="shared" si="367"/>
        <v>---</v>
      </c>
      <c r="K390" s="291" t="str">
        <f t="shared" si="368"/>
        <v>---</v>
      </c>
      <c r="L390" s="294" t="str">
        <f t="shared" si="326"/>
        <v>---</v>
      </c>
      <c r="M390" s="294" t="str">
        <f t="shared" si="369"/>
        <v>---</v>
      </c>
      <c r="N390" s="291" t="str">
        <f t="shared" si="327"/>
        <v>---</v>
      </c>
      <c r="O390" s="294" t="str">
        <f t="shared" si="328"/>
        <v>---</v>
      </c>
      <c r="P390" s="294" t="str">
        <f t="shared" si="370"/>
        <v>---</v>
      </c>
      <c r="Q390" s="291" t="str">
        <f t="shared" si="329"/>
        <v>---</v>
      </c>
      <c r="R390" s="291" t="str">
        <f t="shared" si="371"/>
        <v>---</v>
      </c>
      <c r="S390" s="291" t="str">
        <f>IF(A390="---","---",IF(AND(Geo_Face="y",Geo_Conn="f")=TRUE,INPUT!Q146,"---"))</f>
        <v>---</v>
      </c>
      <c r="T390" s="291" t="str">
        <f t="shared" si="372"/>
        <v>---</v>
      </c>
      <c r="U390" s="291" t="str">
        <f t="shared" si="373"/>
        <v>---</v>
      </c>
      <c r="V390" s="441" t="str">
        <f t="shared" si="374"/>
        <v>---</v>
      </c>
    </row>
    <row r="391" spans="1:22">
      <c r="A391" s="438" t="str">
        <f t="shared" ref="A391:B391" si="378">A334</f>
        <v>---</v>
      </c>
      <c r="B391" s="294" t="str">
        <f t="shared" si="378"/>
        <v>---</v>
      </c>
      <c r="C391" s="291" t="str">
        <f t="shared" si="362"/>
        <v>---</v>
      </c>
      <c r="D391" s="291" t="str">
        <f t="shared" si="363"/>
        <v>---</v>
      </c>
      <c r="E391" s="291" t="str">
        <f t="shared" si="364"/>
        <v>---</v>
      </c>
      <c r="F391" s="291" t="str">
        <f t="shared" si="324"/>
        <v>---</v>
      </c>
      <c r="G391" s="291" t="str">
        <f t="shared" si="365"/>
        <v>---</v>
      </c>
      <c r="H391" s="291" t="str">
        <f t="shared" si="325"/>
        <v>---</v>
      </c>
      <c r="I391" s="291" t="str">
        <f t="shared" si="366"/>
        <v>---</v>
      </c>
      <c r="J391" s="291" t="str">
        <f t="shared" si="367"/>
        <v>---</v>
      </c>
      <c r="K391" s="291" t="str">
        <f t="shared" si="368"/>
        <v>---</v>
      </c>
      <c r="L391" s="294" t="str">
        <f t="shared" si="326"/>
        <v>---</v>
      </c>
      <c r="M391" s="294" t="str">
        <f t="shared" si="369"/>
        <v>---</v>
      </c>
      <c r="N391" s="291" t="str">
        <f t="shared" si="327"/>
        <v>---</v>
      </c>
      <c r="O391" s="294" t="str">
        <f t="shared" si="328"/>
        <v>---</v>
      </c>
      <c r="P391" s="294" t="str">
        <f t="shared" si="370"/>
        <v>---</v>
      </c>
      <c r="Q391" s="291" t="str">
        <f t="shared" si="329"/>
        <v>---</v>
      </c>
      <c r="R391" s="291" t="str">
        <f t="shared" si="371"/>
        <v>---</v>
      </c>
      <c r="S391" s="291" t="str">
        <f>IF(A391="---","---",IF(AND(Geo_Face="y",Geo_Conn="f")=TRUE,INPUT!Q147,"---"))</f>
        <v>---</v>
      </c>
      <c r="T391" s="291" t="str">
        <f t="shared" si="372"/>
        <v>---</v>
      </c>
      <c r="U391" s="291" t="str">
        <f t="shared" si="373"/>
        <v>---</v>
      </c>
      <c r="V391" s="441" t="str">
        <f t="shared" si="374"/>
        <v>---</v>
      </c>
    </row>
    <row r="392" spans="1:22">
      <c r="A392" s="438" t="str">
        <f t="shared" ref="A392:B392" si="379">A335</f>
        <v>---</v>
      </c>
      <c r="B392" s="294" t="str">
        <f t="shared" si="379"/>
        <v>---</v>
      </c>
      <c r="C392" s="291" t="str">
        <f t="shared" si="362"/>
        <v>---</v>
      </c>
      <c r="D392" s="291" t="str">
        <f t="shared" si="363"/>
        <v>---</v>
      </c>
      <c r="E392" s="291" t="str">
        <f t="shared" si="364"/>
        <v>---</v>
      </c>
      <c r="F392" s="291" t="str">
        <f t="shared" si="324"/>
        <v>---</v>
      </c>
      <c r="G392" s="291" t="str">
        <f t="shared" si="365"/>
        <v>---</v>
      </c>
      <c r="H392" s="291" t="str">
        <f t="shared" si="325"/>
        <v>---</v>
      </c>
      <c r="I392" s="291" t="str">
        <f t="shared" si="366"/>
        <v>---</v>
      </c>
      <c r="J392" s="291" t="str">
        <f t="shared" si="367"/>
        <v>---</v>
      </c>
      <c r="K392" s="291" t="str">
        <f t="shared" si="368"/>
        <v>---</v>
      </c>
      <c r="L392" s="294" t="str">
        <f t="shared" si="326"/>
        <v>---</v>
      </c>
      <c r="M392" s="294" t="str">
        <f t="shared" si="369"/>
        <v>---</v>
      </c>
      <c r="N392" s="291" t="str">
        <f t="shared" si="327"/>
        <v>---</v>
      </c>
      <c r="O392" s="294" t="str">
        <f t="shared" si="328"/>
        <v>---</v>
      </c>
      <c r="P392" s="294" t="str">
        <f t="shared" si="370"/>
        <v>---</v>
      </c>
      <c r="Q392" s="291" t="str">
        <f t="shared" si="329"/>
        <v>---</v>
      </c>
      <c r="R392" s="291" t="str">
        <f t="shared" si="371"/>
        <v>---</v>
      </c>
      <c r="S392" s="291" t="str">
        <f>IF(A392="---","---",IF(AND(Geo_Face="y",Geo_Conn="f")=TRUE,INPUT!Q148,"---"))</f>
        <v>---</v>
      </c>
      <c r="T392" s="291" t="str">
        <f t="shared" si="372"/>
        <v>---</v>
      </c>
      <c r="U392" s="291" t="str">
        <f t="shared" si="373"/>
        <v>---</v>
      </c>
      <c r="V392" s="441" t="str">
        <f t="shared" si="374"/>
        <v>---</v>
      </c>
    </row>
    <row r="393" spans="1:22">
      <c r="A393" s="438" t="str">
        <f t="shared" ref="A393:B393" si="380">A336</f>
        <v>---</v>
      </c>
      <c r="B393" s="294" t="str">
        <f t="shared" si="380"/>
        <v>---</v>
      </c>
      <c r="C393" s="291" t="str">
        <f t="shared" si="362"/>
        <v>---</v>
      </c>
      <c r="D393" s="291" t="str">
        <f t="shared" si="363"/>
        <v>---</v>
      </c>
      <c r="E393" s="291" t="str">
        <f t="shared" si="364"/>
        <v>---</v>
      </c>
      <c r="F393" s="291" t="str">
        <f t="shared" si="324"/>
        <v>---</v>
      </c>
      <c r="G393" s="291" t="str">
        <f t="shared" si="365"/>
        <v>---</v>
      </c>
      <c r="H393" s="291" t="str">
        <f t="shared" si="325"/>
        <v>---</v>
      </c>
      <c r="I393" s="291" t="str">
        <f t="shared" si="366"/>
        <v>---</v>
      </c>
      <c r="J393" s="291" t="str">
        <f t="shared" si="367"/>
        <v>---</v>
      </c>
      <c r="K393" s="291" t="str">
        <f t="shared" si="368"/>
        <v>---</v>
      </c>
      <c r="L393" s="294" t="str">
        <f t="shared" si="326"/>
        <v>---</v>
      </c>
      <c r="M393" s="294" t="str">
        <f t="shared" si="369"/>
        <v>---</v>
      </c>
      <c r="N393" s="291" t="str">
        <f t="shared" si="327"/>
        <v>---</v>
      </c>
      <c r="O393" s="294" t="str">
        <f t="shared" si="328"/>
        <v>---</v>
      </c>
      <c r="P393" s="294" t="str">
        <f t="shared" si="370"/>
        <v>---</v>
      </c>
      <c r="Q393" s="291" t="str">
        <f t="shared" si="329"/>
        <v>---</v>
      </c>
      <c r="R393" s="291" t="str">
        <f t="shared" si="371"/>
        <v>---</v>
      </c>
      <c r="S393" s="291" t="str">
        <f>IF(A393="---","---",IF(AND(Geo_Face="y",Geo_Conn="f")=TRUE,INPUT!Q149,"---"))</f>
        <v>---</v>
      </c>
      <c r="T393" s="291" t="str">
        <f t="shared" si="372"/>
        <v>---</v>
      </c>
      <c r="U393" s="291" t="str">
        <f t="shared" si="373"/>
        <v>---</v>
      </c>
      <c r="V393" s="441" t="str">
        <f t="shared" si="374"/>
        <v>---</v>
      </c>
    </row>
    <row r="394" spans="1:22">
      <c r="A394" s="438" t="str">
        <f t="shared" ref="A394:B394" si="381">A337</f>
        <v>---</v>
      </c>
      <c r="B394" s="294" t="str">
        <f t="shared" si="381"/>
        <v>---</v>
      </c>
      <c r="C394" s="291" t="str">
        <f t="shared" si="362"/>
        <v>---</v>
      </c>
      <c r="D394" s="291" t="str">
        <f t="shared" si="363"/>
        <v>---</v>
      </c>
      <c r="E394" s="291" t="str">
        <f t="shared" si="364"/>
        <v>---</v>
      </c>
      <c r="F394" s="291" t="str">
        <f t="shared" si="324"/>
        <v>---</v>
      </c>
      <c r="G394" s="291" t="str">
        <f t="shared" si="365"/>
        <v>---</v>
      </c>
      <c r="H394" s="291" t="str">
        <f t="shared" si="325"/>
        <v>---</v>
      </c>
      <c r="I394" s="291" t="str">
        <f t="shared" si="366"/>
        <v>---</v>
      </c>
      <c r="J394" s="291" t="str">
        <f t="shared" si="367"/>
        <v>---</v>
      </c>
      <c r="K394" s="291" t="str">
        <f t="shared" si="368"/>
        <v>---</v>
      </c>
      <c r="L394" s="294" t="str">
        <f t="shared" si="326"/>
        <v>---</v>
      </c>
      <c r="M394" s="294" t="str">
        <f t="shared" si="369"/>
        <v>---</v>
      </c>
      <c r="N394" s="291" t="str">
        <f t="shared" si="327"/>
        <v>---</v>
      </c>
      <c r="O394" s="294" t="str">
        <f t="shared" si="328"/>
        <v>---</v>
      </c>
      <c r="P394" s="294" t="str">
        <f t="shared" si="370"/>
        <v>---</v>
      </c>
      <c r="Q394" s="291" t="str">
        <f t="shared" si="329"/>
        <v>---</v>
      </c>
      <c r="R394" s="291" t="str">
        <f t="shared" si="371"/>
        <v>---</v>
      </c>
      <c r="S394" s="291" t="str">
        <f>IF(A394="---","---",IF(AND(Geo_Face="y",Geo_Conn="f")=TRUE,INPUT!Q150,"---"))</f>
        <v>---</v>
      </c>
      <c r="T394" s="291" t="str">
        <f t="shared" si="372"/>
        <v>---</v>
      </c>
      <c r="U394" s="291" t="str">
        <f t="shared" si="373"/>
        <v>---</v>
      </c>
      <c r="V394" s="441" t="str">
        <f t="shared" si="374"/>
        <v>---</v>
      </c>
    </row>
    <row r="395" spans="1:22">
      <c r="A395" s="438" t="str">
        <f t="shared" ref="A395:B395" si="382">A338</f>
        <v>---</v>
      </c>
      <c r="B395" s="294" t="str">
        <f t="shared" si="382"/>
        <v>---</v>
      </c>
      <c r="C395" s="291" t="str">
        <f t="shared" si="362"/>
        <v>---</v>
      </c>
      <c r="D395" s="291" t="str">
        <f t="shared" si="363"/>
        <v>---</v>
      </c>
      <c r="E395" s="291" t="str">
        <f t="shared" si="364"/>
        <v>---</v>
      </c>
      <c r="F395" s="291" t="str">
        <f t="shared" si="324"/>
        <v>---</v>
      </c>
      <c r="G395" s="291" t="str">
        <f t="shared" si="365"/>
        <v>---</v>
      </c>
      <c r="H395" s="291" t="str">
        <f t="shared" si="325"/>
        <v>---</v>
      </c>
      <c r="I395" s="291" t="str">
        <f t="shared" si="366"/>
        <v>---</v>
      </c>
      <c r="J395" s="291" t="str">
        <f t="shared" si="367"/>
        <v>---</v>
      </c>
      <c r="K395" s="291" t="str">
        <f t="shared" si="368"/>
        <v>---</v>
      </c>
      <c r="L395" s="294" t="str">
        <f t="shared" si="326"/>
        <v>---</v>
      </c>
      <c r="M395" s="294" t="str">
        <f t="shared" si="369"/>
        <v>---</v>
      </c>
      <c r="N395" s="291" t="str">
        <f t="shared" si="327"/>
        <v>---</v>
      </c>
      <c r="O395" s="294" t="str">
        <f t="shared" si="328"/>
        <v>---</v>
      </c>
      <c r="P395" s="294" t="str">
        <f t="shared" si="370"/>
        <v>---</v>
      </c>
      <c r="Q395" s="291" t="str">
        <f t="shared" si="329"/>
        <v>---</v>
      </c>
      <c r="R395" s="291" t="str">
        <f t="shared" si="371"/>
        <v>---</v>
      </c>
      <c r="S395" s="291" t="str">
        <f>IF(A395="---","---",IF(AND(Geo_Face="y",Geo_Conn="f")=TRUE,INPUT!Q151,"---"))</f>
        <v>---</v>
      </c>
      <c r="T395" s="291" t="str">
        <f t="shared" si="372"/>
        <v>---</v>
      </c>
      <c r="U395" s="291" t="str">
        <f t="shared" si="373"/>
        <v>---</v>
      </c>
      <c r="V395" s="441" t="str">
        <f t="shared" si="374"/>
        <v>---</v>
      </c>
    </row>
    <row r="396" spans="1:22">
      <c r="A396" s="438" t="str">
        <f t="shared" ref="A396:B396" si="383">A339</f>
        <v>---</v>
      </c>
      <c r="B396" s="294" t="str">
        <f t="shared" si="383"/>
        <v>---</v>
      </c>
      <c r="C396" s="291" t="str">
        <f t="shared" si="362"/>
        <v>---</v>
      </c>
      <c r="D396" s="291" t="str">
        <f t="shared" si="363"/>
        <v>---</v>
      </c>
      <c r="E396" s="291" t="str">
        <f t="shared" si="364"/>
        <v>---</v>
      </c>
      <c r="F396" s="291" t="str">
        <f t="shared" si="324"/>
        <v>---</v>
      </c>
      <c r="G396" s="291" t="str">
        <f t="shared" si="365"/>
        <v>---</v>
      </c>
      <c r="H396" s="291" t="str">
        <f t="shared" si="325"/>
        <v>---</v>
      </c>
      <c r="I396" s="291" t="str">
        <f t="shared" si="366"/>
        <v>---</v>
      </c>
      <c r="J396" s="291" t="str">
        <f t="shared" si="367"/>
        <v>---</v>
      </c>
      <c r="K396" s="291" t="str">
        <f t="shared" si="368"/>
        <v>---</v>
      </c>
      <c r="L396" s="294" t="str">
        <f t="shared" si="326"/>
        <v>---</v>
      </c>
      <c r="M396" s="294" t="str">
        <f t="shared" si="369"/>
        <v>---</v>
      </c>
      <c r="N396" s="291" t="str">
        <f t="shared" si="327"/>
        <v>---</v>
      </c>
      <c r="O396" s="294" t="str">
        <f t="shared" si="328"/>
        <v>---</v>
      </c>
      <c r="P396" s="294" t="str">
        <f t="shared" si="370"/>
        <v>---</v>
      </c>
      <c r="Q396" s="291" t="str">
        <f t="shared" si="329"/>
        <v>---</v>
      </c>
      <c r="R396" s="291" t="str">
        <f t="shared" si="371"/>
        <v>---</v>
      </c>
      <c r="S396" s="291" t="str">
        <f>IF(A396="---","---",IF(AND(Geo_Face="y",Geo_Conn="f")=TRUE,INPUT!Q152,"---"))</f>
        <v>---</v>
      </c>
      <c r="T396" s="291" t="str">
        <f t="shared" si="372"/>
        <v>---</v>
      </c>
      <c r="U396" s="291" t="str">
        <f t="shared" si="373"/>
        <v>---</v>
      </c>
      <c r="V396" s="441" t="str">
        <f t="shared" si="374"/>
        <v>---</v>
      </c>
    </row>
    <row r="397" spans="1:22">
      <c r="A397" s="438" t="str">
        <f t="shared" ref="A397:B397" si="384">A340</f>
        <v>---</v>
      </c>
      <c r="B397" s="294" t="str">
        <f t="shared" si="384"/>
        <v>---</v>
      </c>
      <c r="C397" s="291" t="str">
        <f t="shared" si="362"/>
        <v>---</v>
      </c>
      <c r="D397" s="291" t="str">
        <f t="shared" si="363"/>
        <v>---</v>
      </c>
      <c r="E397" s="291" t="str">
        <f t="shared" si="364"/>
        <v>---</v>
      </c>
      <c r="F397" s="291" t="str">
        <f t="shared" si="324"/>
        <v>---</v>
      </c>
      <c r="G397" s="291" t="str">
        <f t="shared" si="365"/>
        <v>---</v>
      </c>
      <c r="H397" s="291" t="str">
        <f t="shared" si="325"/>
        <v>---</v>
      </c>
      <c r="I397" s="291" t="str">
        <f t="shared" si="366"/>
        <v>---</v>
      </c>
      <c r="J397" s="291" t="str">
        <f t="shared" si="367"/>
        <v>---</v>
      </c>
      <c r="K397" s="291" t="str">
        <f t="shared" si="368"/>
        <v>---</v>
      </c>
      <c r="L397" s="294" t="str">
        <f t="shared" si="326"/>
        <v>---</v>
      </c>
      <c r="M397" s="294" t="str">
        <f t="shared" si="369"/>
        <v>---</v>
      </c>
      <c r="N397" s="291" t="str">
        <f t="shared" si="327"/>
        <v>---</v>
      </c>
      <c r="O397" s="294" t="str">
        <f t="shared" si="328"/>
        <v>---</v>
      </c>
      <c r="P397" s="294" t="str">
        <f t="shared" si="370"/>
        <v>---</v>
      </c>
      <c r="Q397" s="291" t="str">
        <f t="shared" si="329"/>
        <v>---</v>
      </c>
      <c r="R397" s="291" t="str">
        <f t="shared" si="371"/>
        <v>---</v>
      </c>
      <c r="S397" s="291" t="str">
        <f>IF(A397="---","---",IF(AND(Geo_Face="y",Geo_Conn="f")=TRUE,INPUT!Q153,"---"))</f>
        <v>---</v>
      </c>
      <c r="T397" s="291" t="str">
        <f t="shared" si="372"/>
        <v>---</v>
      </c>
      <c r="U397" s="291" t="str">
        <f t="shared" si="373"/>
        <v>---</v>
      </c>
      <c r="V397" s="441" t="str">
        <f t="shared" si="374"/>
        <v>---</v>
      </c>
    </row>
    <row r="398" spans="1:22">
      <c r="A398" s="438" t="str">
        <f t="shared" ref="A398:B398" si="385">A341</f>
        <v>---</v>
      </c>
      <c r="B398" s="294" t="str">
        <f t="shared" si="385"/>
        <v>---</v>
      </c>
      <c r="C398" s="291" t="str">
        <f t="shared" si="362"/>
        <v>---</v>
      </c>
      <c r="D398" s="291" t="str">
        <f t="shared" si="363"/>
        <v>---</v>
      </c>
      <c r="E398" s="291" t="str">
        <f t="shared" si="364"/>
        <v>---</v>
      </c>
      <c r="F398" s="291" t="str">
        <f t="shared" si="324"/>
        <v>---</v>
      </c>
      <c r="G398" s="291" t="str">
        <f t="shared" si="365"/>
        <v>---</v>
      </c>
      <c r="H398" s="291" t="str">
        <f t="shared" si="325"/>
        <v>---</v>
      </c>
      <c r="I398" s="291" t="str">
        <f t="shared" si="366"/>
        <v>---</v>
      </c>
      <c r="J398" s="291" t="str">
        <f t="shared" si="367"/>
        <v>---</v>
      </c>
      <c r="K398" s="291" t="str">
        <f t="shared" si="368"/>
        <v>---</v>
      </c>
      <c r="L398" s="294" t="str">
        <f t="shared" si="326"/>
        <v>---</v>
      </c>
      <c r="M398" s="294" t="str">
        <f t="shared" si="369"/>
        <v>---</v>
      </c>
      <c r="N398" s="291" t="str">
        <f t="shared" si="327"/>
        <v>---</v>
      </c>
      <c r="O398" s="294" t="str">
        <f t="shared" si="328"/>
        <v>---</v>
      </c>
      <c r="P398" s="294" t="str">
        <f t="shared" si="370"/>
        <v>---</v>
      </c>
      <c r="Q398" s="291" t="str">
        <f t="shared" si="329"/>
        <v>---</v>
      </c>
      <c r="R398" s="291" t="str">
        <f t="shared" si="371"/>
        <v>---</v>
      </c>
      <c r="S398" s="291" t="str">
        <f>IF(A398="---","---",IF(AND(Geo_Face="y",Geo_Conn="f")=TRUE,INPUT!Q154,"---"))</f>
        <v>---</v>
      </c>
      <c r="T398" s="291" t="str">
        <f t="shared" si="372"/>
        <v>---</v>
      </c>
      <c r="U398" s="291" t="str">
        <f t="shared" si="373"/>
        <v>---</v>
      </c>
      <c r="V398" s="441" t="str">
        <f t="shared" si="374"/>
        <v>---</v>
      </c>
    </row>
    <row r="399" spans="1:22">
      <c r="A399" s="438" t="str">
        <f t="shared" ref="A399:B399" si="386">A342</f>
        <v>---</v>
      </c>
      <c r="B399" s="294" t="str">
        <f t="shared" si="386"/>
        <v>---</v>
      </c>
      <c r="C399" s="291" t="str">
        <f t="shared" si="362"/>
        <v>---</v>
      </c>
      <c r="D399" s="291" t="str">
        <f t="shared" si="363"/>
        <v>---</v>
      </c>
      <c r="E399" s="291" t="str">
        <f t="shared" si="364"/>
        <v>---</v>
      </c>
      <c r="F399" s="291" t="str">
        <f t="shared" si="324"/>
        <v>---</v>
      </c>
      <c r="G399" s="291" t="str">
        <f t="shared" si="365"/>
        <v>---</v>
      </c>
      <c r="H399" s="291" t="str">
        <f t="shared" si="325"/>
        <v>---</v>
      </c>
      <c r="I399" s="291" t="str">
        <f t="shared" si="366"/>
        <v>---</v>
      </c>
      <c r="J399" s="291" t="str">
        <f t="shared" si="367"/>
        <v>---</v>
      </c>
      <c r="K399" s="291" t="str">
        <f t="shared" si="368"/>
        <v>---</v>
      </c>
      <c r="L399" s="294" t="str">
        <f t="shared" si="326"/>
        <v>---</v>
      </c>
      <c r="M399" s="294" t="str">
        <f t="shared" si="369"/>
        <v>---</v>
      </c>
      <c r="N399" s="291" t="str">
        <f t="shared" si="327"/>
        <v>---</v>
      </c>
      <c r="O399" s="294" t="str">
        <f t="shared" si="328"/>
        <v>---</v>
      </c>
      <c r="P399" s="294" t="str">
        <f t="shared" si="370"/>
        <v>---</v>
      </c>
      <c r="Q399" s="291" t="str">
        <f t="shared" si="329"/>
        <v>---</v>
      </c>
      <c r="R399" s="291" t="str">
        <f t="shared" si="371"/>
        <v>---</v>
      </c>
      <c r="S399" s="291" t="str">
        <f>IF(A399="---","---",IF(AND(Geo_Face="y",Geo_Conn="f")=TRUE,INPUT!Q155,"---"))</f>
        <v>---</v>
      </c>
      <c r="T399" s="291" t="str">
        <f t="shared" si="372"/>
        <v>---</v>
      </c>
      <c r="U399" s="291" t="str">
        <f t="shared" si="373"/>
        <v>---</v>
      </c>
      <c r="V399" s="441" t="str">
        <f t="shared" si="374"/>
        <v>---</v>
      </c>
    </row>
    <row r="400" spans="1:22">
      <c r="A400" s="438" t="str">
        <f t="shared" ref="A400:B400" si="387">A343</f>
        <v>---</v>
      </c>
      <c r="B400" s="294" t="str">
        <f t="shared" si="387"/>
        <v>---</v>
      </c>
      <c r="C400" s="291" t="str">
        <f t="shared" si="362"/>
        <v>---</v>
      </c>
      <c r="D400" s="291" t="str">
        <f t="shared" si="363"/>
        <v>---</v>
      </c>
      <c r="E400" s="291" t="str">
        <f t="shared" si="364"/>
        <v>---</v>
      </c>
      <c r="F400" s="291" t="str">
        <f t="shared" si="324"/>
        <v>---</v>
      </c>
      <c r="G400" s="291" t="str">
        <f t="shared" si="365"/>
        <v>---</v>
      </c>
      <c r="H400" s="291" t="str">
        <f t="shared" si="325"/>
        <v>---</v>
      </c>
      <c r="I400" s="291" t="str">
        <f t="shared" si="366"/>
        <v>---</v>
      </c>
      <c r="J400" s="291" t="str">
        <f t="shared" si="367"/>
        <v>---</v>
      </c>
      <c r="K400" s="291" t="str">
        <f t="shared" si="368"/>
        <v>---</v>
      </c>
      <c r="L400" s="294" t="str">
        <f t="shared" si="326"/>
        <v>---</v>
      </c>
      <c r="M400" s="294" t="str">
        <f t="shared" si="369"/>
        <v>---</v>
      </c>
      <c r="N400" s="291" t="str">
        <f t="shared" si="327"/>
        <v>---</v>
      </c>
      <c r="O400" s="294" t="str">
        <f t="shared" si="328"/>
        <v>---</v>
      </c>
      <c r="P400" s="294" t="str">
        <f t="shared" si="370"/>
        <v>---</v>
      </c>
      <c r="Q400" s="291" t="str">
        <f t="shared" si="329"/>
        <v>---</v>
      </c>
      <c r="R400" s="291" t="str">
        <f t="shared" si="371"/>
        <v>---</v>
      </c>
      <c r="S400" s="291" t="str">
        <f>IF(A400="---","---",IF(AND(Geo_Face="y",Geo_Conn="f")=TRUE,INPUT!Q156,"---"))</f>
        <v>---</v>
      </c>
      <c r="T400" s="291" t="str">
        <f t="shared" si="372"/>
        <v>---</v>
      </c>
      <c r="U400" s="291" t="str">
        <f t="shared" si="373"/>
        <v>---</v>
      </c>
      <c r="V400" s="441" t="str">
        <f t="shared" si="374"/>
        <v>---</v>
      </c>
    </row>
    <row r="401" spans="1:23">
      <c r="A401" s="438" t="str">
        <f t="shared" ref="A401:B401" si="388">A344</f>
        <v>---</v>
      </c>
      <c r="B401" s="294" t="str">
        <f t="shared" si="388"/>
        <v>---</v>
      </c>
      <c r="C401" s="291" t="str">
        <f t="shared" si="362"/>
        <v>---</v>
      </c>
      <c r="D401" s="291" t="str">
        <f t="shared" si="363"/>
        <v>---</v>
      </c>
      <c r="E401" s="291" t="str">
        <f t="shared" si="364"/>
        <v>---</v>
      </c>
      <c r="F401" s="291" t="str">
        <f t="shared" si="324"/>
        <v>---</v>
      </c>
      <c r="G401" s="291" t="str">
        <f t="shared" si="365"/>
        <v>---</v>
      </c>
      <c r="H401" s="291" t="str">
        <f t="shared" si="325"/>
        <v>---</v>
      </c>
      <c r="I401" s="291" t="str">
        <f t="shared" si="366"/>
        <v>---</v>
      </c>
      <c r="J401" s="291" t="str">
        <f t="shared" si="367"/>
        <v>---</v>
      </c>
      <c r="K401" s="291" t="str">
        <f t="shared" si="368"/>
        <v>---</v>
      </c>
      <c r="L401" s="294" t="str">
        <f t="shared" si="326"/>
        <v>---</v>
      </c>
      <c r="M401" s="294" t="str">
        <f t="shared" si="369"/>
        <v>---</v>
      </c>
      <c r="N401" s="291" t="str">
        <f t="shared" si="327"/>
        <v>---</v>
      </c>
      <c r="O401" s="294" t="str">
        <f t="shared" si="328"/>
        <v>---</v>
      </c>
      <c r="P401" s="294" t="str">
        <f t="shared" si="370"/>
        <v>---</v>
      </c>
      <c r="Q401" s="291" t="str">
        <f t="shared" si="329"/>
        <v>---</v>
      </c>
      <c r="R401" s="291" t="str">
        <f t="shared" si="371"/>
        <v>---</v>
      </c>
      <c r="S401" s="291" t="str">
        <f>IF(A401="---","---",IF(AND(Geo_Face="y",Geo_Conn="f")=TRUE,INPUT!Q157,"---"))</f>
        <v>---</v>
      </c>
      <c r="T401" s="291" t="str">
        <f t="shared" si="372"/>
        <v>---</v>
      </c>
      <c r="U401" s="291" t="str">
        <f t="shared" si="373"/>
        <v>---</v>
      </c>
      <c r="V401" s="441" t="str">
        <f t="shared" si="374"/>
        <v>---</v>
      </c>
    </row>
    <row r="402" spans="1:23">
      <c r="A402" s="438" t="str">
        <f t="shared" ref="A402:B402" si="389">A345</f>
        <v>---</v>
      </c>
      <c r="B402" s="294" t="str">
        <f t="shared" si="389"/>
        <v>---</v>
      </c>
      <c r="C402" s="291" t="str">
        <f t="shared" si="362"/>
        <v>---</v>
      </c>
      <c r="D402" s="291" t="str">
        <f t="shared" si="363"/>
        <v>---</v>
      </c>
      <c r="E402" s="291" t="str">
        <f t="shared" si="364"/>
        <v>---</v>
      </c>
      <c r="F402" s="291" t="str">
        <f t="shared" si="324"/>
        <v>---</v>
      </c>
      <c r="G402" s="291" t="str">
        <f t="shared" si="365"/>
        <v>---</v>
      </c>
      <c r="H402" s="291" t="str">
        <f t="shared" si="325"/>
        <v>---</v>
      </c>
      <c r="I402" s="291" t="str">
        <f t="shared" si="366"/>
        <v>---</v>
      </c>
      <c r="J402" s="291" t="str">
        <f t="shared" si="367"/>
        <v>---</v>
      </c>
      <c r="K402" s="291" t="str">
        <f t="shared" si="368"/>
        <v>---</v>
      </c>
      <c r="L402" s="294" t="str">
        <f t="shared" si="326"/>
        <v>---</v>
      </c>
      <c r="M402" s="294" t="str">
        <f t="shared" si="369"/>
        <v>---</v>
      </c>
      <c r="N402" s="291" t="str">
        <f t="shared" si="327"/>
        <v>---</v>
      </c>
      <c r="O402" s="294" t="str">
        <f t="shared" si="328"/>
        <v>---</v>
      </c>
      <c r="P402" s="294" t="str">
        <f t="shared" si="370"/>
        <v>---</v>
      </c>
      <c r="Q402" s="291" t="str">
        <f t="shared" si="329"/>
        <v>---</v>
      </c>
      <c r="R402" s="291" t="str">
        <f t="shared" si="371"/>
        <v>---</v>
      </c>
      <c r="S402" s="291" t="str">
        <f>IF(A402="---","---",IF(AND(Geo_Face="y",Geo_Conn="f")=TRUE,INPUT!Q158,"---"))</f>
        <v>---</v>
      </c>
      <c r="T402" s="291" t="str">
        <f t="shared" si="372"/>
        <v>---</v>
      </c>
      <c r="U402" s="291" t="str">
        <f t="shared" si="373"/>
        <v>---</v>
      </c>
      <c r="V402" s="441" t="str">
        <f t="shared" si="374"/>
        <v>---</v>
      </c>
    </row>
    <row r="403" spans="1:23">
      <c r="A403" s="438" t="str">
        <f t="shared" ref="A403:B403" si="390">A346</f>
        <v>---</v>
      </c>
      <c r="B403" s="294" t="str">
        <f t="shared" si="390"/>
        <v>---</v>
      </c>
      <c r="C403" s="291" t="str">
        <f t="shared" si="362"/>
        <v>---</v>
      </c>
      <c r="D403" s="291" t="str">
        <f t="shared" si="363"/>
        <v>---</v>
      </c>
      <c r="E403" s="291" t="str">
        <f t="shared" si="364"/>
        <v>---</v>
      </c>
      <c r="F403" s="291" t="str">
        <f t="shared" si="324"/>
        <v>---</v>
      </c>
      <c r="G403" s="291" t="str">
        <f t="shared" si="365"/>
        <v>---</v>
      </c>
      <c r="H403" s="291" t="str">
        <f t="shared" si="325"/>
        <v>---</v>
      </c>
      <c r="I403" s="291" t="str">
        <f t="shared" si="366"/>
        <v>---</v>
      </c>
      <c r="J403" s="291" t="str">
        <f t="shared" si="367"/>
        <v>---</v>
      </c>
      <c r="K403" s="291" t="str">
        <f t="shared" si="368"/>
        <v>---</v>
      </c>
      <c r="L403" s="294" t="str">
        <f t="shared" si="326"/>
        <v>---</v>
      </c>
      <c r="M403" s="294" t="str">
        <f t="shared" si="369"/>
        <v>---</v>
      </c>
      <c r="N403" s="291" t="str">
        <f t="shared" si="327"/>
        <v>---</v>
      </c>
      <c r="O403" s="294" t="str">
        <f t="shared" si="328"/>
        <v>---</v>
      </c>
      <c r="P403" s="294" t="str">
        <f t="shared" si="370"/>
        <v>---</v>
      </c>
      <c r="Q403" s="291" t="str">
        <f t="shared" si="329"/>
        <v>---</v>
      </c>
      <c r="R403" s="291" t="str">
        <f t="shared" si="371"/>
        <v>---</v>
      </c>
      <c r="S403" s="291" t="str">
        <f>IF(A403="---","---",IF(AND(Geo_Face="y",Geo_Conn="f")=TRUE,INPUT!Q159,"---"))</f>
        <v>---</v>
      </c>
      <c r="T403" s="291" t="str">
        <f t="shared" si="372"/>
        <v>---</v>
      </c>
      <c r="U403" s="291" t="str">
        <f t="shared" si="373"/>
        <v>---</v>
      </c>
      <c r="V403" s="441" t="str">
        <f t="shared" si="374"/>
        <v>---</v>
      </c>
    </row>
    <row r="404" spans="1:23">
      <c r="A404" s="438" t="str">
        <f t="shared" ref="A404:B404" si="391">A347</f>
        <v>---</v>
      </c>
      <c r="B404" s="294" t="str">
        <f t="shared" si="391"/>
        <v>---</v>
      </c>
      <c r="C404" s="291" t="str">
        <f t="shared" si="362"/>
        <v>---</v>
      </c>
      <c r="D404" s="291" t="str">
        <f t="shared" si="363"/>
        <v>---</v>
      </c>
      <c r="E404" s="291" t="str">
        <f t="shared" si="364"/>
        <v>---</v>
      </c>
      <c r="F404" s="291" t="str">
        <f t="shared" si="324"/>
        <v>---</v>
      </c>
      <c r="G404" s="291" t="str">
        <f t="shared" si="365"/>
        <v>---</v>
      </c>
      <c r="H404" s="291" t="str">
        <f t="shared" si="325"/>
        <v>---</v>
      </c>
      <c r="I404" s="291" t="str">
        <f t="shared" si="366"/>
        <v>---</v>
      </c>
      <c r="J404" s="291" t="str">
        <f t="shared" si="367"/>
        <v>---</v>
      </c>
      <c r="K404" s="291" t="str">
        <f t="shared" si="368"/>
        <v>---</v>
      </c>
      <c r="L404" s="294" t="str">
        <f t="shared" si="326"/>
        <v>---</v>
      </c>
      <c r="M404" s="294" t="str">
        <f t="shared" si="369"/>
        <v>---</v>
      </c>
      <c r="N404" s="291" t="str">
        <f t="shared" si="327"/>
        <v>---</v>
      </c>
      <c r="O404" s="294" t="str">
        <f t="shared" si="328"/>
        <v>---</v>
      </c>
      <c r="P404" s="294" t="str">
        <f t="shared" si="370"/>
        <v>---</v>
      </c>
      <c r="Q404" s="291" t="str">
        <f t="shared" si="329"/>
        <v>---</v>
      </c>
      <c r="R404" s="291" t="str">
        <f t="shared" si="371"/>
        <v>---</v>
      </c>
      <c r="S404" s="291" t="str">
        <f>IF(A404="---","---",IF(AND(Geo_Face="y",Geo_Conn="f")=TRUE,INPUT!Q160,"---"))</f>
        <v>---</v>
      </c>
      <c r="T404" s="291" t="str">
        <f t="shared" si="372"/>
        <v>---</v>
      </c>
      <c r="U404" s="291" t="str">
        <f t="shared" si="373"/>
        <v>---</v>
      </c>
      <c r="V404" s="441" t="str">
        <f t="shared" si="374"/>
        <v>---</v>
      </c>
    </row>
    <row r="405" spans="1:23">
      <c r="A405" s="7"/>
      <c r="B405" s="7"/>
      <c r="C405" s="114"/>
      <c r="D405" s="114"/>
      <c r="E405" s="2"/>
      <c r="F405" s="114"/>
      <c r="G405" s="114"/>
      <c r="H405" s="114"/>
      <c r="I405" s="114"/>
      <c r="J405" s="114"/>
      <c r="K405" s="114"/>
      <c r="L405" s="114"/>
      <c r="M405" s="7"/>
      <c r="N405" s="114"/>
      <c r="O405" s="114"/>
      <c r="P405" s="114"/>
      <c r="Q405" s="114"/>
    </row>
    <row r="406" spans="1:23" ht="14.25">
      <c r="A406" s="114"/>
      <c r="B406" s="187" t="s">
        <v>445</v>
      </c>
      <c r="C406" s="212" t="s">
        <v>637</v>
      </c>
      <c r="D406" s="114"/>
      <c r="E406" s="114"/>
      <c r="F406" s="114"/>
      <c r="G406" s="114"/>
      <c r="H406" s="114"/>
      <c r="I406" s="114"/>
      <c r="J406" s="114"/>
      <c r="K406" s="114"/>
      <c r="L406" s="114"/>
      <c r="M406" s="114"/>
      <c r="N406" s="7"/>
      <c r="O406" s="114"/>
      <c r="P406" s="114"/>
      <c r="Q406" s="114"/>
      <c r="R406" s="114"/>
    </row>
    <row r="407" spans="1:23">
      <c r="A407" s="251"/>
      <c r="B407" s="251"/>
      <c r="C407" s="251"/>
      <c r="D407" s="251"/>
      <c r="E407" s="251"/>
      <c r="F407" s="251"/>
      <c r="G407" s="251"/>
      <c r="H407" s="251"/>
      <c r="I407" s="251"/>
      <c r="J407" s="251"/>
      <c r="K407" s="251"/>
      <c r="L407" s="251"/>
      <c r="M407" s="251"/>
      <c r="N407" s="7"/>
      <c r="O407" s="251"/>
      <c r="P407" s="251"/>
      <c r="Q407" s="251"/>
      <c r="R407" s="251"/>
    </row>
    <row r="408" spans="1:23">
      <c r="A408" s="251"/>
      <c r="B408" s="251"/>
      <c r="C408" s="251"/>
      <c r="D408" s="251"/>
      <c r="E408" s="251"/>
      <c r="F408" s="251"/>
      <c r="G408" s="251"/>
      <c r="H408" s="251"/>
      <c r="I408" s="251"/>
      <c r="J408" s="251"/>
      <c r="K408" s="251"/>
      <c r="L408" s="251"/>
      <c r="M408" s="251"/>
      <c r="N408" s="7"/>
      <c r="O408" s="251"/>
      <c r="P408" s="251"/>
      <c r="Q408" s="251"/>
      <c r="R408" s="251"/>
    </row>
    <row r="409" spans="1:23">
      <c r="A409" s="8" t="s">
        <v>360</v>
      </c>
      <c r="B409" s="114"/>
      <c r="C409" s="114"/>
      <c r="D409" s="114"/>
      <c r="E409" s="37" t="s">
        <v>362</v>
      </c>
      <c r="F409" s="114"/>
      <c r="G409" s="114"/>
      <c r="H409" s="114"/>
      <c r="I409" s="114"/>
      <c r="J409" s="114"/>
      <c r="K409" s="114"/>
      <c r="L409" s="114"/>
      <c r="M409" s="114"/>
      <c r="N409" s="7"/>
      <c r="O409" s="114"/>
      <c r="P409" s="114"/>
      <c r="Q409" s="114"/>
      <c r="R409" s="114"/>
    </row>
    <row r="410" spans="1:23">
      <c r="A410" s="114"/>
      <c r="B410" s="114"/>
      <c r="C410" s="114"/>
      <c r="D410" s="114"/>
      <c r="E410" s="114"/>
      <c r="F410" s="114"/>
      <c r="G410" s="114"/>
      <c r="H410" s="114"/>
      <c r="I410" s="114"/>
      <c r="J410" s="114"/>
      <c r="K410" s="114"/>
      <c r="L410" s="114"/>
      <c r="M410" s="114"/>
      <c r="N410" s="7"/>
      <c r="O410" s="114"/>
      <c r="P410" s="114"/>
      <c r="Q410" s="114"/>
      <c r="R410" s="114"/>
    </row>
    <row r="411" spans="1:23">
      <c r="A411" s="35" t="s">
        <v>353</v>
      </c>
      <c r="B411" s="2"/>
      <c r="C411" s="2"/>
      <c r="D411" s="2"/>
      <c r="E411" s="12" t="s">
        <v>354</v>
      </c>
      <c r="F411" s="2"/>
      <c r="G411" s="2"/>
      <c r="H411" s="2"/>
      <c r="I411" s="2"/>
      <c r="J411" s="2"/>
      <c r="K411" s="2"/>
      <c r="L411" s="2"/>
      <c r="M411" s="2"/>
      <c r="N411" s="2"/>
      <c r="O411" s="2"/>
      <c r="P411" s="2"/>
      <c r="Q411" s="2"/>
      <c r="R411" s="2"/>
    </row>
    <row r="412" spans="1:23">
      <c r="A412" s="35"/>
      <c r="B412" s="114"/>
      <c r="C412" s="114"/>
      <c r="D412" s="114"/>
      <c r="E412" s="114"/>
      <c r="F412" s="12"/>
      <c r="G412" s="114"/>
      <c r="H412" s="114"/>
      <c r="I412" s="114"/>
      <c r="J412" s="114"/>
      <c r="K412" s="114"/>
      <c r="L412" s="114"/>
      <c r="M412" s="114"/>
      <c r="N412" s="114"/>
      <c r="O412" s="114"/>
      <c r="P412" s="114"/>
      <c r="Q412" s="114"/>
      <c r="R412" s="114"/>
      <c r="S412" s="114"/>
    </row>
    <row r="413" spans="1:23">
      <c r="B413" s="35" t="s">
        <v>370</v>
      </c>
      <c r="C413" s="2"/>
      <c r="D413" s="114"/>
      <c r="E413" s="152" t="s">
        <v>365</v>
      </c>
      <c r="F413" s="152"/>
      <c r="G413" s="154"/>
      <c r="H413" s="152" t="s">
        <v>366</v>
      </c>
      <c r="I413" s="152"/>
      <c r="J413" s="152"/>
      <c r="K413" s="130"/>
      <c r="L413" s="130"/>
      <c r="M413" s="130"/>
      <c r="N413" s="2"/>
      <c r="O413" s="2"/>
      <c r="P413" s="2"/>
      <c r="Q413" s="2"/>
      <c r="R413" s="2"/>
      <c r="S413" s="2"/>
      <c r="T413" s="2"/>
      <c r="U413" s="2"/>
      <c r="V413" s="2"/>
      <c r="W413" s="2"/>
    </row>
    <row r="414" spans="1:23" ht="15.75">
      <c r="B414" s="12" t="s">
        <v>373</v>
      </c>
      <c r="C414" s="2"/>
      <c r="D414" s="153"/>
      <c r="E414" s="144" t="s">
        <v>367</v>
      </c>
      <c r="F414" s="294">
        <f>0.67*TAN(RADIANS(PHI_reinf))</f>
        <v>0.45192070628442593</v>
      </c>
      <c r="G414" s="150"/>
      <c r="H414" s="144" t="s">
        <v>709</v>
      </c>
      <c r="I414" s="294">
        <f>0.67*TAN(RADIANS(PHI_reinf))</f>
        <v>0.45192070628442593</v>
      </c>
      <c r="J414" s="9"/>
      <c r="K414" s="7"/>
      <c r="L414" s="7"/>
      <c r="M414" s="7"/>
      <c r="N414" s="2"/>
      <c r="O414" s="2"/>
      <c r="P414" s="480"/>
      <c r="Q414" s="480"/>
      <c r="R414" s="480"/>
      <c r="S414" s="480"/>
      <c r="T414" s="480"/>
      <c r="U414" s="482"/>
      <c r="V414" s="482"/>
      <c r="W414" s="2"/>
    </row>
    <row r="415" spans="1:23" ht="15.75">
      <c r="B415" s="12" t="s">
        <v>357</v>
      </c>
      <c r="C415" s="2"/>
      <c r="D415" s="150"/>
      <c r="E415" s="144" t="s">
        <v>368</v>
      </c>
      <c r="F415" s="294">
        <f>TAN(RADIANS(PHI_reinf))</f>
        <v>0.67450851684242674</v>
      </c>
      <c r="G415" s="150"/>
      <c r="H415" s="385" t="s">
        <v>377</v>
      </c>
      <c r="I415" s="386"/>
      <c r="J415" s="7"/>
      <c r="K415" s="7"/>
      <c r="L415" s="7"/>
      <c r="M415" s="7"/>
      <c r="N415" s="2"/>
      <c r="O415" s="2"/>
      <c r="P415" s="225"/>
      <c r="Q415" s="480"/>
      <c r="R415" s="480"/>
      <c r="S415" s="268"/>
      <c r="T415" s="480"/>
      <c r="U415" s="220"/>
      <c r="V415" s="480"/>
    </row>
    <row r="416" spans="1:23">
      <c r="B416" s="12" t="s">
        <v>355</v>
      </c>
      <c r="C416" s="2"/>
      <c r="D416" s="150"/>
      <c r="E416" s="144" t="s">
        <v>372</v>
      </c>
      <c r="F416" s="294">
        <f>0.4</f>
        <v>0.4</v>
      </c>
      <c r="G416" s="150"/>
      <c r="H416" s="144" t="s">
        <v>372</v>
      </c>
      <c r="I416" s="294">
        <f>0.4</f>
        <v>0.4</v>
      </c>
      <c r="J416" s="7"/>
      <c r="K416" s="7"/>
      <c r="L416" s="7"/>
      <c r="M416" s="7"/>
      <c r="N416" s="2"/>
      <c r="O416" s="2"/>
      <c r="P416" s="480"/>
      <c r="Q416" s="182"/>
      <c r="R416" s="182"/>
      <c r="S416" s="216"/>
      <c r="T416" s="548"/>
      <c r="U416" s="548"/>
      <c r="V416" s="216"/>
      <c r="W416" s="12"/>
    </row>
    <row r="417" spans="1:66" ht="15.75">
      <c r="B417" s="12" t="s">
        <v>356</v>
      </c>
      <c r="C417" s="2"/>
      <c r="D417" s="150"/>
      <c r="E417" s="144" t="s">
        <v>369</v>
      </c>
      <c r="F417" s="294">
        <f>IF(INPUT!I111=0,0,10*(INPUT!J111/INPUT!I111))</f>
        <v>0</v>
      </c>
      <c r="G417" s="150"/>
      <c r="H417" s="385" t="s">
        <v>371</v>
      </c>
      <c r="I417" s="386"/>
      <c r="J417" s="7"/>
      <c r="K417" s="106"/>
      <c r="L417" s="7"/>
      <c r="M417" s="7"/>
      <c r="N417" s="106"/>
      <c r="O417" s="12"/>
      <c r="P417" s="2"/>
      <c r="Q417" s="182"/>
      <c r="R417" s="549"/>
      <c r="S417" s="182"/>
      <c r="T417" s="216"/>
      <c r="U417" s="216"/>
      <c r="V417" s="216"/>
    </row>
    <row r="418" spans="1:66">
      <c r="A418" s="2"/>
      <c r="B418" s="2"/>
      <c r="C418" s="2"/>
      <c r="D418" s="114"/>
      <c r="E418" s="2"/>
      <c r="F418" s="2"/>
      <c r="G418" s="7"/>
      <c r="H418" s="2"/>
      <c r="I418" s="2"/>
      <c r="J418" s="2"/>
      <c r="K418" s="2"/>
      <c r="L418" s="2"/>
      <c r="M418" s="2"/>
      <c r="N418" s="2"/>
      <c r="O418" s="2"/>
      <c r="P418" s="2"/>
      <c r="Q418" s="182"/>
      <c r="R418" s="182"/>
      <c r="S418" s="182"/>
      <c r="T418" s="182"/>
      <c r="U418" s="182"/>
      <c r="V418" s="182"/>
    </row>
    <row r="419" spans="1:66">
      <c r="A419" s="35" t="s">
        <v>364</v>
      </c>
      <c r="B419" s="36"/>
      <c r="E419" s="12" t="s">
        <v>363</v>
      </c>
      <c r="H419" s="142"/>
      <c r="I419" s="182"/>
      <c r="J419" s="182"/>
      <c r="K419" s="182"/>
      <c r="L419" s="182"/>
      <c r="M419" s="182"/>
      <c r="N419" s="268"/>
      <c r="O419" s="268"/>
      <c r="P419" s="498"/>
      <c r="Q419" s="216"/>
      <c r="R419" s="182"/>
      <c r="S419" s="182"/>
      <c r="T419" s="182"/>
      <c r="U419" s="182"/>
      <c r="V419" s="182"/>
    </row>
    <row r="420" spans="1:66">
      <c r="A420" s="35"/>
      <c r="B420" s="36"/>
      <c r="E420" s="12"/>
      <c r="H420" s="142"/>
      <c r="I420" s="151"/>
      <c r="J420" s="182"/>
      <c r="K420" s="182"/>
      <c r="L420" s="268"/>
      <c r="M420" s="268"/>
      <c r="N420" s="498"/>
      <c r="O420" s="482"/>
      <c r="P420" s="482"/>
      <c r="Q420" s="482"/>
      <c r="R420" s="268"/>
      <c r="S420" s="268"/>
      <c r="T420" s="268"/>
      <c r="U420" s="268"/>
      <c r="V420" s="268"/>
    </row>
    <row r="421" spans="1:66">
      <c r="B421" s="12" t="s">
        <v>379</v>
      </c>
      <c r="C421" s="21"/>
      <c r="D421" s="363">
        <v>1</v>
      </c>
      <c r="H421" s="177"/>
      <c r="I421" s="75"/>
      <c r="J421" s="182"/>
      <c r="K421" s="182"/>
      <c r="L421" s="268"/>
      <c r="M421" s="547"/>
      <c r="N421" s="544"/>
      <c r="O421" s="216"/>
      <c r="P421" s="216"/>
      <c r="Q421" s="498"/>
      <c r="R421" s="268"/>
      <c r="S421" s="268"/>
      <c r="T421" s="268"/>
      <c r="U421" s="268"/>
      <c r="V421" s="268"/>
    </row>
    <row r="422" spans="1:66">
      <c r="B422" s="12" t="s">
        <v>374</v>
      </c>
      <c r="C422" s="21"/>
      <c r="D422" s="363">
        <v>0.8</v>
      </c>
      <c r="I422" s="268"/>
      <c r="J422" s="268"/>
      <c r="K422" s="268"/>
      <c r="L422" s="268"/>
      <c r="M422" s="268"/>
      <c r="N422" s="268"/>
      <c r="O422" s="268"/>
      <c r="P422" s="268"/>
      <c r="Q422" s="268"/>
      <c r="R422" s="268"/>
      <c r="S422" s="268"/>
      <c r="T422" s="268"/>
      <c r="U422" s="268"/>
      <c r="V422" s="268"/>
    </row>
    <row r="423" spans="1:66">
      <c r="B423" s="152" t="s">
        <v>375</v>
      </c>
      <c r="C423" s="389"/>
      <c r="D423" s="390">
        <v>0.6</v>
      </c>
      <c r="I423" s="268"/>
      <c r="J423" s="268"/>
      <c r="K423" s="268"/>
      <c r="L423" s="268"/>
      <c r="M423" s="268"/>
      <c r="N423" s="268"/>
      <c r="O423" s="268"/>
      <c r="P423" s="268"/>
      <c r="Q423" s="268"/>
      <c r="R423" s="268"/>
      <c r="S423" s="268"/>
      <c r="T423" s="268"/>
      <c r="U423" s="268"/>
      <c r="V423" s="268"/>
    </row>
    <row r="424" spans="1:66">
      <c r="B424" s="12" t="s">
        <v>384</v>
      </c>
      <c r="C424" s="21"/>
      <c r="D424" s="391">
        <f>IF(Type_Reinf="g",IF(Type_of_Geo="d",D422,D423),D421)</f>
        <v>1</v>
      </c>
      <c r="F424" s="22"/>
      <c r="I424" s="268"/>
      <c r="J424" s="182"/>
      <c r="K424" s="268"/>
      <c r="L424" s="268"/>
      <c r="M424" s="268"/>
      <c r="N424" s="268"/>
      <c r="O424" s="268"/>
      <c r="P424" s="268"/>
      <c r="Q424" s="268"/>
      <c r="R424" s="268"/>
      <c r="S424" s="268"/>
      <c r="T424" s="268"/>
      <c r="U424" s="268"/>
      <c r="V424" s="268"/>
    </row>
    <row r="425" spans="1:66" ht="15.75">
      <c r="D425" s="43"/>
      <c r="H425" s="9"/>
      <c r="I425" s="621" t="s">
        <v>804</v>
      </c>
      <c r="J425" s="621"/>
      <c r="K425" s="37"/>
      <c r="O425" s="196" t="s">
        <v>536</v>
      </c>
      <c r="P425" s="196"/>
      <c r="Q425" s="196"/>
      <c r="R425" s="227" t="s">
        <v>529</v>
      </c>
      <c r="S425" s="225"/>
      <c r="T425" s="225"/>
      <c r="U425" s="208"/>
      <c r="AF425" s="10"/>
      <c r="AG425" s="10" t="s">
        <v>134</v>
      </c>
      <c r="AN425" s="9"/>
      <c r="AO425" s="9"/>
      <c r="AP425" s="9"/>
      <c r="AQ425" s="9"/>
      <c r="AR425" s="9"/>
      <c r="AS425" s="9"/>
      <c r="AT425" s="9"/>
      <c r="AU425" s="9"/>
      <c r="AV425" s="9"/>
      <c r="AX425" s="195" t="s">
        <v>669</v>
      </c>
      <c r="BE425" s="9"/>
    </row>
    <row r="426" spans="1:66" ht="30">
      <c r="A426" s="192" t="s">
        <v>34</v>
      </c>
      <c r="B426" s="192" t="s">
        <v>35</v>
      </c>
      <c r="C426" s="148" t="s">
        <v>376</v>
      </c>
      <c r="D426" s="2" t="s">
        <v>37</v>
      </c>
      <c r="E426" s="260" t="s">
        <v>778</v>
      </c>
      <c r="F426" s="260" t="s">
        <v>779</v>
      </c>
      <c r="G426" s="179" t="s">
        <v>43</v>
      </c>
      <c r="H426" s="260" t="s">
        <v>780</v>
      </c>
      <c r="I426" s="468" t="s">
        <v>802</v>
      </c>
      <c r="J426" s="470" t="s">
        <v>803</v>
      </c>
      <c r="K426" s="468" t="s">
        <v>797</v>
      </c>
      <c r="L426" s="468" t="s">
        <v>763</v>
      </c>
      <c r="M426" s="470" t="s">
        <v>764</v>
      </c>
      <c r="N426" s="468" t="s">
        <v>800</v>
      </c>
      <c r="O426" s="500" t="s">
        <v>769</v>
      </c>
      <c r="P426" s="500" t="s">
        <v>770</v>
      </c>
      <c r="Q426" s="216" t="s">
        <v>30</v>
      </c>
      <c r="R426" s="536" t="s">
        <v>810</v>
      </c>
      <c r="S426" s="470" t="s">
        <v>811</v>
      </c>
      <c r="T426" s="469" t="s">
        <v>771</v>
      </c>
      <c r="U426" s="207" t="s">
        <v>30</v>
      </c>
      <c r="V426" s="475" t="s">
        <v>776</v>
      </c>
      <c r="W426" s="470" t="s">
        <v>777</v>
      </c>
      <c r="AC426" t="s">
        <v>784</v>
      </c>
      <c r="AG426" s="37" t="s">
        <v>787</v>
      </c>
      <c r="AK426" s="37" t="s">
        <v>644</v>
      </c>
      <c r="AO426" s="9"/>
      <c r="AP426" s="37" t="s">
        <v>543</v>
      </c>
      <c r="AQ426" s="9"/>
      <c r="AR426" s="9"/>
      <c r="AS426" s="9"/>
      <c r="AT426" s="37" t="s">
        <v>672</v>
      </c>
      <c r="AU426" s="9"/>
      <c r="AV426" s="9"/>
      <c r="AW426" s="9"/>
      <c r="AX426" s="56" t="s">
        <v>135</v>
      </c>
      <c r="BB426" s="37" t="s">
        <v>644</v>
      </c>
      <c r="BF426" s="9"/>
      <c r="BG426" s="268" t="s">
        <v>543</v>
      </c>
      <c r="BK426" s="268" t="s">
        <v>672</v>
      </c>
    </row>
    <row r="427" spans="1:66" ht="15.75">
      <c r="A427" s="191" t="s">
        <v>352</v>
      </c>
      <c r="B427" s="192" t="s">
        <v>42</v>
      </c>
      <c r="C427" s="2" t="s">
        <v>42</v>
      </c>
      <c r="D427" s="2" t="s">
        <v>42</v>
      </c>
      <c r="E427" s="2" t="s">
        <v>42</v>
      </c>
      <c r="F427" s="2" t="s">
        <v>42</v>
      </c>
      <c r="G427" s="179" t="s">
        <v>504</v>
      </c>
      <c r="H427" s="467" t="s">
        <v>343</v>
      </c>
      <c r="I427" s="87" t="s">
        <v>41</v>
      </c>
      <c r="J427" s="87" t="s">
        <v>154</v>
      </c>
      <c r="K427" s="87" t="s">
        <v>41</v>
      </c>
      <c r="L427" s="87" t="s">
        <v>41</v>
      </c>
      <c r="M427" s="87" t="s">
        <v>154</v>
      </c>
      <c r="N427" s="87" t="s">
        <v>41</v>
      </c>
      <c r="O427" s="495" t="s">
        <v>42</v>
      </c>
      <c r="P427" s="495" t="s">
        <v>42</v>
      </c>
      <c r="Q427" s="216" t="s">
        <v>358</v>
      </c>
      <c r="R427" s="223" t="s">
        <v>41</v>
      </c>
      <c r="S427" s="87" t="s">
        <v>154</v>
      </c>
      <c r="T427" s="207" t="s">
        <v>42</v>
      </c>
      <c r="U427" s="207" t="s">
        <v>358</v>
      </c>
      <c r="V427" s="223" t="s">
        <v>42</v>
      </c>
      <c r="W427" s="87" t="s">
        <v>42</v>
      </c>
      <c r="X427" s="216"/>
      <c r="AC427" t="s">
        <v>785</v>
      </c>
      <c r="AD427" t="s">
        <v>786</v>
      </c>
      <c r="AG427" s="53" t="s">
        <v>38</v>
      </c>
      <c r="AH427" s="247" t="s">
        <v>666</v>
      </c>
      <c r="AI427" s="20" t="s">
        <v>78</v>
      </c>
      <c r="AJ427" s="2" t="s">
        <v>79</v>
      </c>
      <c r="AK427" s="248" t="s">
        <v>38</v>
      </c>
      <c r="AL427" s="247" t="s">
        <v>666</v>
      </c>
      <c r="AM427" s="247" t="s">
        <v>78</v>
      </c>
      <c r="AN427" s="251" t="s">
        <v>79</v>
      </c>
      <c r="AO427" s="7"/>
      <c r="AP427" s="248" t="s">
        <v>38</v>
      </c>
      <c r="AQ427" s="247" t="s">
        <v>666</v>
      </c>
      <c r="AR427" s="247" t="s">
        <v>78</v>
      </c>
      <c r="AS427" s="251" t="s">
        <v>79</v>
      </c>
      <c r="AT427" s="248" t="s">
        <v>38</v>
      </c>
      <c r="AU427" s="247" t="s">
        <v>666</v>
      </c>
      <c r="AV427" s="247" t="s">
        <v>78</v>
      </c>
      <c r="AW427" s="251" t="s">
        <v>79</v>
      </c>
      <c r="AX427" s="255" t="s">
        <v>143</v>
      </c>
      <c r="AY427" s="247" t="s">
        <v>670</v>
      </c>
      <c r="AZ427" s="247" t="s">
        <v>78</v>
      </c>
      <c r="BA427" s="251" t="s">
        <v>79</v>
      </c>
      <c r="BB427" s="248" t="s">
        <v>143</v>
      </c>
      <c r="BC427" s="247" t="s">
        <v>670</v>
      </c>
      <c r="BD427" s="247" t="s">
        <v>78</v>
      </c>
      <c r="BE427" s="251" t="s">
        <v>79</v>
      </c>
      <c r="BF427" s="7"/>
      <c r="BG427" s="248" t="s">
        <v>143</v>
      </c>
      <c r="BH427" s="247" t="s">
        <v>670</v>
      </c>
      <c r="BI427" s="247" t="s">
        <v>78</v>
      </c>
      <c r="BJ427" s="251" t="s">
        <v>79</v>
      </c>
      <c r="BK427" s="248" t="s">
        <v>143</v>
      </c>
      <c r="BL427" s="247" t="s">
        <v>670</v>
      </c>
      <c r="BM427" s="247" t="s">
        <v>78</v>
      </c>
      <c r="BN427" s="251" t="s">
        <v>79</v>
      </c>
    </row>
    <row r="428" spans="1:66">
      <c r="A428" s="438">
        <f t="shared" ref="A428:B447" si="392">A298</f>
        <v>1</v>
      </c>
      <c r="B428" s="294">
        <f t="shared" si="392"/>
        <v>1.5</v>
      </c>
      <c r="C428" s="294">
        <f t="shared" ref="C428" si="393">IF(A428="---","---",B428+IF(Type_Reinf="g",IF(Backfill="s",(H-B428)*TAN(RADIANS(Beta))/TAN(RADIANS(psi_r)),MIN(hB,(H-B428)*TAN(RADIANS(Beta))/TAN(RADIANS(psi_r)))),IF(Backfill="s",IF(B428&lt;(H-H_1/2),H_1-H,(H-B428)*(0.3/0.5)*TAN(RADIANS(Beta))),IF(B428&lt;(H-H_1/2),MIN(hB,H_1-H),MIN(hB,(H-B428)*(0.3/0.5)*TAN(RADIANS(Beta)))))))</f>
        <v>1.5</v>
      </c>
      <c r="D428" s="294">
        <f t="shared" ref="D428" si="394">IF(A428="---","---",B428+IF(Backfill="b",IF(hB&gt;($J$12-H),0.5*L_reinf*TAN(RADIANS(Beta)),($N$31+$O$31)/L_reinf),0.5*L_reinf*TAN(RADIANS(Beta))))</f>
        <v>1.5</v>
      </c>
      <c r="E428" s="294">
        <f t="shared" ref="E428:E459" si="395">IF(A428="---","---",IF(Type_Reinf="g",(H-B428)/TAN(RADIANS(psi_r)),IF(B428&lt;(H-H_1/2),0.3*H_1,(0.3/0.5)*(H-B428))))</f>
        <v>4.7910000000000004</v>
      </c>
      <c r="F428" s="294">
        <f t="shared" ref="F428" si="396">IF(A428="---","---",L_reinf-E428)</f>
        <v>16.209</v>
      </c>
      <c r="G428" s="291">
        <f>IF(A428="---","---",IF(Type_Reinf="g",$I$414,IF(AND(Type_Reinf="s",Type_Steel_Strip="s")=TRUE,$I$416,IF(C428&gt;=20,IF(Type_Reinf="s",$F$415,10*INPUT!$J$111/INPUT!$I$111),IF(Type_Reinf="s",MIN(1.2+LOG(Cu),2)-C428*((MIN(1.2+LOG(Cu),2)-TAN(RADIANS(PHI_reinf)))/20),20*(INPUT!$J$111/INPUT!$I$111)-10*(INPUT!$J$111/INPUT!$I$111)*C428/20)))))</f>
        <v>1.7174936307415472</v>
      </c>
      <c r="H428" s="294">
        <f t="shared" ref="H428" si="397">IF(A428="---","---",ka_int*IF(Type_Reinf="g",1,MAX((1.2+0.5*(20-B428)/20),1.2)))</f>
        <v>0.4700135540307972</v>
      </c>
      <c r="I428" s="294">
        <f t="shared" ref="I428:I459" si="398">IF(A428="---","---",gamma_P*(J298*$H428+L298))</f>
        <v>0.46428514729866244</v>
      </c>
      <c r="J428" s="294">
        <f>IF($A428="---","---",I428*$C298)</f>
        <v>1.2767841550713217</v>
      </c>
      <c r="K428" s="294">
        <f t="shared" ref="K428:K477" si="399">IF(A298="---","---",IF(L_1=0,0,MAX(0,IF(Abut_on_Piles="y",0,PH_1_pullout)*2*(L_1-B298)/(L_1^2))))</f>
        <v>0</v>
      </c>
      <c r="L428" s="294">
        <f t="shared" ref="L428:L459" si="400">IF(A298="---","---",gamma_P*(K298*$H428+K428))</f>
        <v>0.5204689329819443</v>
      </c>
      <c r="M428" s="294">
        <f t="shared" ref="M428:M459" si="401">IF($A428="---","---",L428*$C298)</f>
        <v>1.4312895657003468</v>
      </c>
      <c r="N428" s="291">
        <f t="shared" ref="N428:N459" si="402">IF(A428="---","---",IF(Abut_on_Piles="y",gamma_reinf*C428+IF(E298&gt;F428,(q_DW+q_ES)*(L_reinf-cf-bf)/E298,(q_DW+q_ES)*(L_reinf-cf-bf)/F428)+IF(cf+bf+0.5*(B428-Ad)&lt;E428,0,IF(cf-0.5*(B428-Ad)&gt;E428,H298*IF(D298&gt;F428,F428,D298)/F428,H298*MAX(0,(cf+bf+0.5*(B428-Ad)-E428))/F428)),IF(C428&gt;D428,gamma_reinf*C428+IF(E428&gt;cf+pw-0.5*B428,q_DW_int*(L_reinf/E298),IF(AND(E428&lt;=cf+pw-0.5*B428,cf+pw&lt;=L_reinf)=TRUE,q_DW_int*(L_reinf/F428),0)),gamma_reinf*B428+gamma_fill*S+IF(E428&gt;cf+pw-0.5*B428,q_DW_int*(L_reinf/E298),IF(AND(E428&lt;=cf+pw-0.5*B428,cf+pw&lt;=L_reinf)=TRUE,q_DW_int*(L_reinf/F428),0)))))</f>
        <v>0.52205228979069596</v>
      </c>
      <c r="O428" s="294">
        <f t="shared" ref="O428:O459" si="403">IF(A428="---","---",MAX(3,J428/(phi_Pullout_Static*G428*alpha*N428*C_surf_geo*I236)))</f>
        <v>11.771688744621517</v>
      </c>
      <c r="P428" s="294">
        <f t="shared" ref="P428:P459" si="404">IF(A428="---","---",MAX(3,M428/(phi_Pullout_Combined*G428*alpha*N428*C_surf_geo*I236)))</f>
        <v>9.897147770001002</v>
      </c>
      <c r="Q428" s="441" t="str">
        <f t="shared" ref="Q428:Q459" si="405">IF(A428="---","---",IF(OR(O428&gt;F428,P428&gt;L_reinf)=TRUE,"NG!","OK"))</f>
        <v>OK</v>
      </c>
      <c r="R428" s="291">
        <f>IF(A428="---","---",IF(V236="N/A","---",$B$291*($B$292*J298*H428+L298)))</f>
        <v>0.37830641631742867</v>
      </c>
      <c r="S428" s="294">
        <f>IF($A428="---","---",R428*$C298)</f>
        <v>1.0403426448729289</v>
      </c>
      <c r="T428" s="294">
        <f t="shared" ref="T428:T459" si="406">IF(A428="---","---",IF(V236="N/A","---",MAX(3,S428/(phi_Pullout_Static*G428*alpha*N428*C_surf_geo*V236))))</f>
        <v>14.387619576759636</v>
      </c>
      <c r="U428" s="438" t="str">
        <f>IF(A428="---","---",IF(V236="N/A","N/A",IF(F428&gt;=T428,"OK","NG!")))</f>
        <v>OK</v>
      </c>
      <c r="V428" s="476" t="str">
        <f t="shared" ref="V428:V459" si="407">IF($A428="---","---",IF(V236="N/A",IF(Q428="OK","---",MAX(O428-F428,P428-L_reinf)),IF(AND(Q428="OK",U428="OK")=TRUE,"---",MAX(O428-F428,T428-F428,P428-L_reinf))))</f>
        <v>---</v>
      </c>
      <c r="W428" s="291">
        <f t="shared" ref="W428:W459" si="408">IF($A428="---","---",IF(V236="N/A",IF(Q428="OK",L_reinf,MAX(E428+O428,P428)),IF(AND(Q428="OK",U428="OK")=TRUE,L_reinf,MAX(E428+MAX(O428,T428),P428))))</f>
        <v>21</v>
      </c>
      <c r="X428" s="484"/>
      <c r="Y428" s="22"/>
      <c r="AC428" s="17">
        <f t="shared" ref="AC428:AC459" si="409">IF(A428="---","---",F428/MAX(O428,T428))</f>
        <v>1.1265935906577933</v>
      </c>
      <c r="AD428" s="17">
        <f t="shared" ref="AD428:AD459" si="410">IF(A428="---","---",L_reinf/P428)</f>
        <v>2.1218234271142822</v>
      </c>
      <c r="AE428" s="471">
        <f t="shared" ref="AE428:AE459" si="411">IF(AC428=MIN($AC428,$AD428),1,0)</f>
        <v>1</v>
      </c>
      <c r="AF428" s="471">
        <f t="shared" ref="AF428:AF459" si="412">IF(AD428=MIN($AC428,$AD428),1,0)</f>
        <v>0</v>
      </c>
      <c r="AG428" s="140">
        <f t="shared" ref="AG428:AG459" si="413">IF(AC428&lt;=AD428,F428,L_reinf)</f>
        <v>16.209</v>
      </c>
      <c r="AH428" s="140">
        <f>IF(AG428="---","---",IF(AC428&lt;=AD428,MAX(O428,T428),P428))</f>
        <v>14.387619576759636</v>
      </c>
      <c r="AI428" s="140">
        <f>IF(AG428="---",999.99,IF(AH428=0,999.99,AG428/AH428))</f>
        <v>1.1265935906577933</v>
      </c>
      <c r="AJ428" s="263">
        <f t="shared" ref="AJ428:AJ459" si="414">IF(AI428=MIN($AI$428:$AI$477,$AM$428:$AM$477),1,0)</f>
        <v>0</v>
      </c>
      <c r="AK428" s="173">
        <f>WORKSHEET_CONSTR!F367</f>
        <v>16.209</v>
      </c>
      <c r="AL428" s="141">
        <f>IF(WORKSHEET_CONSTR!P367="---","---",WORKSHEET_CONSTR!M367)</f>
        <v>15.460241246809009</v>
      </c>
      <c r="AM428" s="140">
        <f>IF(AK428="---",999.99,IF(AL428=0,999.99,AK428/AL428))</f>
        <v>1.0484312463976289</v>
      </c>
      <c r="AN428" s="263">
        <f>IF(AM428&gt;=AI428,0,IF(AM428=MIN($AI$428:$AI$477,$AM$428:$AM$477),1,0))</f>
        <v>1</v>
      </c>
      <c r="AO428" s="265"/>
      <c r="AP428" s="140">
        <f>F428</f>
        <v>16.209</v>
      </c>
      <c r="AQ428" s="140">
        <f t="shared" ref="AQ428:AQ459" si="415">N492</f>
        <v>11.361952737828876</v>
      </c>
      <c r="AR428" s="140">
        <f>IF(AP428="---",999.99,IF(AQ428=0,999.99,AP428/AQ428))</f>
        <v>1.4266033642292137</v>
      </c>
      <c r="AS428" s="263">
        <f t="shared" ref="AS428:AS459" si="416">IF(AR428=MIN($AR$428:$AR$477,$AV$428:$AV$477),1,0)</f>
        <v>0</v>
      </c>
      <c r="AT428" s="140">
        <f>WORKSHEET_CONSTR!F367</f>
        <v>16.209</v>
      </c>
      <c r="AU428" s="140">
        <f>WORKSHEET_CONSTR!P431</f>
        <v>15.247991466426082</v>
      </c>
      <c r="AV428" s="140">
        <f>IF(AT428="---",999.99,IF(AU428=0,999.99,AT428/AU428))</f>
        <v>1.0630252538958933</v>
      </c>
      <c r="AW428" s="263">
        <f t="shared" ref="AW428:AW459" si="417">IF(AV428&gt;=AR428,0,IF(AV428=MIN($AR$428:$AR$477,$AV$428:$AV$477),1,0))</f>
        <v>1</v>
      </c>
      <c r="AX428" s="267" t="str">
        <f>IF(INPUT!Q111&lt;&gt;0,INPUT!Q111,"---")</f>
        <v>---</v>
      </c>
      <c r="AY428" s="140" t="str">
        <f t="shared" ref="AY428:AY459" si="418">U355</f>
        <v>---</v>
      </c>
      <c r="AZ428" s="140">
        <f>IF(AX428="---",999.99,IF(AY428="---",999.99,AX428/AY428))</f>
        <v>999.99</v>
      </c>
      <c r="BA428" s="263">
        <f t="shared" ref="BA428:BA459" si="419">IF(AY428="---",0,IF(AZ428=MIN($AZ$428:$AZ$477,$BD$428:$BD$477),1,0))</f>
        <v>0</v>
      </c>
      <c r="BB428" s="140" t="str">
        <f>AX428</f>
        <v>---</v>
      </c>
      <c r="BC428" s="140" t="str">
        <f>WORKSHEET_CONSTR!S367</f>
        <v>---</v>
      </c>
      <c r="BD428" s="140">
        <f>IF(BB428="---",999.99,IF(BC428="---",999.99,BB428/BC428))</f>
        <v>999.99</v>
      </c>
      <c r="BE428" s="263">
        <f t="shared" ref="BE428:BE459" si="420">IF(BC428="---",0,IF(BD428=MIN($AZ$428:$AZ$477,$BD$428:$BD$477),1,0))</f>
        <v>0</v>
      </c>
      <c r="BF428" s="265"/>
      <c r="BG428" s="140" t="str">
        <f>AX428</f>
        <v>---</v>
      </c>
      <c r="BH428" s="140" t="str">
        <f t="shared" ref="BH428:BH459" si="421">Q550</f>
        <v>---</v>
      </c>
      <c r="BI428" s="140">
        <f>IF(BG428="---",999.99,IF(BH428="---",999.99,BG428/BH428))</f>
        <v>999.99</v>
      </c>
      <c r="BJ428" s="263">
        <f t="shared" ref="BJ428:BJ459" si="422">IF(BH428="---",0,IF(BI428=MIN($BI$428:$BI$477,$BM$428:$BM$477),1,0))</f>
        <v>0</v>
      </c>
      <c r="BK428" s="140" t="str">
        <f>AX428</f>
        <v>---</v>
      </c>
      <c r="BL428" s="140" t="str">
        <f>WORKSHEET_CONSTR!Q489</f>
        <v>---</v>
      </c>
      <c r="BM428" s="140">
        <f>IF(BK428="---",999.99,IF(BL428="---",999.99,BK428/BL428))</f>
        <v>999.99</v>
      </c>
      <c r="BN428" s="263">
        <f t="shared" ref="BN428:BN459" si="423">IF(BL428="---",0,IF(BM428=MIN($BI$428:$BI$477,$BM$428:$BM$477),1,0))</f>
        <v>0</v>
      </c>
    </row>
    <row r="429" spans="1:66">
      <c r="A429" s="438">
        <f t="shared" si="392"/>
        <v>2</v>
      </c>
      <c r="B429" s="294">
        <f t="shared" si="392"/>
        <v>4</v>
      </c>
      <c r="C429" s="294">
        <f t="shared" ref="C429:C477" si="424">IF(A429="---","---",B429+IF(Type_Reinf="g",IF(Backfill="s",(H-B429)*TAN(RADIANS(Beta))/TAN(RADIANS(psi_r)),MIN(hB,(H-B429)*TAN(RADIANS(Beta))/TAN(RADIANS(psi_r)))),IF(Backfill="s",IF(B429&lt;(H-H_1/2),H_1-H,(H-B429)*(0.3/0.5)*TAN(RADIANS(Beta))),IF(B429&lt;(H-H_1/2),MIN(hB,H_1-H),MIN(hB,(H-B429)*(0.3/0.5)*TAN(RADIANS(Beta)))))))</f>
        <v>4</v>
      </c>
      <c r="D429" s="294">
        <f t="shared" ref="D429:D477" si="425">IF(A429="---","---",B429+IF(Backfill="b",IF(hB&gt;($J$12-H),0.5*L_reinf*TAN(RADIANS(Beta)),($N$31+$O$31)/L_reinf),0.5*L_reinf*TAN(RADIANS(Beta))))</f>
        <v>4</v>
      </c>
      <c r="E429" s="294">
        <f t="shared" si="395"/>
        <v>4.7910000000000004</v>
      </c>
      <c r="F429" s="294">
        <f t="shared" ref="F429:F477" si="426">IF(A429="---","---",L_reinf-E429)</f>
        <v>16.209</v>
      </c>
      <c r="G429" s="291">
        <f>IF(A429="---","---",IF(Type_Reinf="g",$I$414,IF(AND(Type_Reinf="s",Type_Steel_Strip="s")=TRUE,$I$416,IF(C429&gt;=20,IF(Type_Reinf="s",$F$415,10*INPUT!$J$111/INPUT!$I$111),IF(Type_Reinf="s",MIN(1.2+LOG(Cu),2)-C429*((MIN(1.2+LOG(Cu),2)-TAN(RADIANS(PHI_reinf)))/20),20*(INPUT!$J$111/INPUT!$I$111)-10*(INPUT!$J$111/INPUT!$I$111)*C429/20)))))</f>
        <v>1.5765496964308552</v>
      </c>
      <c r="H429" s="294">
        <f t="shared" ref="H429:H477" si="427">IF(A429="---","---",ka_int*IF(Type_Reinf="g",1,MAX((1.2+0.5*(20-B429)/20),1.2)))</f>
        <v>0.45234387154843642</v>
      </c>
      <c r="I429" s="294">
        <f t="shared" si="398"/>
        <v>0.49214361156235253</v>
      </c>
      <c r="J429" s="294">
        <f t="shared" ref="J429:J477" si="428">IF($A429="---","---",I429*$C299)</f>
        <v>1.2303590289058812</v>
      </c>
      <c r="K429" s="294">
        <f t="shared" si="399"/>
        <v>0</v>
      </c>
      <c r="L429" s="294">
        <f t="shared" si="400"/>
        <v>0.54217278964749116</v>
      </c>
      <c r="M429" s="294">
        <f t="shared" si="401"/>
        <v>1.355431974118728</v>
      </c>
      <c r="N429" s="291">
        <f t="shared" si="402"/>
        <v>0.66854261067615928</v>
      </c>
      <c r="O429" s="294">
        <f t="shared" si="403"/>
        <v>9.6499603418039026</v>
      </c>
      <c r="P429" s="294">
        <f t="shared" si="404"/>
        <v>7.9731999901830699</v>
      </c>
      <c r="Q429" s="441" t="str">
        <f t="shared" si="405"/>
        <v>OK</v>
      </c>
      <c r="R429" s="291">
        <f t="shared" ref="R429:R477" si="429">IF(A429="---","---",IF(V237="N/A","---",$B$291*($B$292*J299*H429+L299)))</f>
        <v>0.40100590571747247</v>
      </c>
      <c r="S429" s="294">
        <f t="shared" ref="S429:S477" si="430">IF($A429="---","---",R429*$C299)</f>
        <v>1.0025147642936811</v>
      </c>
      <c r="T429" s="294">
        <f t="shared" si="406"/>
        <v>11.794395973315885</v>
      </c>
      <c r="U429" s="438" t="str">
        <f t="shared" ref="U429:U477" si="431">IF(A429="---","---",IF(V237="N/A","N/A",IF(F429&gt;=T429,"OK","NG!")))</f>
        <v>OK</v>
      </c>
      <c r="V429" s="476" t="str">
        <f t="shared" si="407"/>
        <v>---</v>
      </c>
      <c r="W429" s="291">
        <f t="shared" si="408"/>
        <v>21</v>
      </c>
      <c r="X429" s="484"/>
      <c r="Y429" s="22"/>
      <c r="AC429" s="17">
        <f t="shared" si="409"/>
        <v>1.3742967453926334</v>
      </c>
      <c r="AD429" s="17">
        <f t="shared" si="410"/>
        <v>2.6338233113249458</v>
      </c>
      <c r="AE429" s="471">
        <f t="shared" si="411"/>
        <v>1</v>
      </c>
      <c r="AF429" s="471">
        <f t="shared" si="412"/>
        <v>0</v>
      </c>
      <c r="AG429" s="140">
        <f t="shared" si="413"/>
        <v>16.209</v>
      </c>
      <c r="AH429" s="140">
        <f t="shared" ref="AH429:AH477" si="432">IF(AG429="---","---",IF(AC429&lt;=AD429,MAX(O429,T429),P429))</f>
        <v>11.794395973315885</v>
      </c>
      <c r="AI429" s="140">
        <f t="shared" ref="AI429:AI477" si="433">IF(AG429="---",999.99,IF(AH429=0,999.99,AG429/AH429))</f>
        <v>1.3742967453926334</v>
      </c>
      <c r="AJ429" s="263">
        <f t="shared" si="414"/>
        <v>0</v>
      </c>
      <c r="AK429" s="173">
        <f>WORKSHEET_CONSTR!F368</f>
        <v>16.209</v>
      </c>
      <c r="AL429" s="141">
        <f>IF(WORKSHEET_CONSTR!P368="---","---",WORKSHEET_CONSTR!M368)</f>
        <v>10.861962121007569</v>
      </c>
      <c r="AM429" s="140">
        <f t="shared" ref="AM429:AM477" si="434">IF(AK429="---",999.99,IF(AL429=0,999.99,AK429/AL429))</f>
        <v>1.4922718215570829</v>
      </c>
      <c r="AN429" s="263">
        <f t="shared" ref="AN429:AN459" si="435">IF(AM429&gt;=AI429,0,IF(AM429=MIN($AI$428:$AI$477,$AM$428:$AM$477),1,0))</f>
        <v>0</v>
      </c>
      <c r="AO429" s="265"/>
      <c r="AP429" s="140">
        <f t="shared" ref="AP429:AP477" si="436">F429</f>
        <v>16.209</v>
      </c>
      <c r="AQ429" s="140">
        <f t="shared" si="415"/>
        <v>9.3241587886875283</v>
      </c>
      <c r="AR429" s="140">
        <f t="shared" ref="AR429:AR477" si="437">IF(AP429="---",999.99,IF(AQ429=0,999.99,AP429/AQ429))</f>
        <v>1.7383873834994592</v>
      </c>
      <c r="AS429" s="263">
        <f t="shared" si="416"/>
        <v>0</v>
      </c>
      <c r="AT429" s="140">
        <f>WORKSHEET_CONSTR!F368</f>
        <v>16.209</v>
      </c>
      <c r="AU429" s="140">
        <f>WORKSHEET_CONSTR!P432</f>
        <v>10.664748661492688</v>
      </c>
      <c r="AV429" s="140">
        <f t="shared" ref="AV429:AV477" si="438">IF(AT429="---",999.99,IF(AU429=0,999.99,AT429/AU429))</f>
        <v>1.5198670418296865</v>
      </c>
      <c r="AW429" s="263">
        <f t="shared" si="417"/>
        <v>0</v>
      </c>
      <c r="AX429" s="267" t="str">
        <f>IF(INPUT!Q112&lt;&gt;0,INPUT!Q112,"---")</f>
        <v>---</v>
      </c>
      <c r="AY429" s="140" t="str">
        <f t="shared" si="418"/>
        <v>---</v>
      </c>
      <c r="AZ429" s="140">
        <f t="shared" ref="AZ429:AZ477" si="439">IF(AX429="---",999.99,IF(AY429="---",999.99,AX429/AY429))</f>
        <v>999.99</v>
      </c>
      <c r="BA429" s="263">
        <f t="shared" si="419"/>
        <v>0</v>
      </c>
      <c r="BB429" s="140" t="str">
        <f t="shared" ref="BB429:BB477" si="440">AX429</f>
        <v>---</v>
      </c>
      <c r="BC429" s="140" t="str">
        <f>WORKSHEET_CONSTR!S368</f>
        <v>---</v>
      </c>
      <c r="BD429" s="140">
        <f t="shared" ref="BD429:BD477" si="441">IF(BB429="---",999.99,IF(BC429="---",999.99,BB429/BC429))</f>
        <v>999.99</v>
      </c>
      <c r="BE429" s="263">
        <f t="shared" si="420"/>
        <v>0</v>
      </c>
      <c r="BF429" s="265"/>
      <c r="BG429" s="140" t="str">
        <f t="shared" ref="BG429:BG477" si="442">AX429</f>
        <v>---</v>
      </c>
      <c r="BH429" s="140" t="str">
        <f t="shared" si="421"/>
        <v>---</v>
      </c>
      <c r="BI429" s="140">
        <f t="shared" ref="BI429:BI477" si="443">IF(BG429="---",999.99,IF(BH429="---",999.99,BG429/BH429))</f>
        <v>999.99</v>
      </c>
      <c r="BJ429" s="263">
        <f t="shared" si="422"/>
        <v>0</v>
      </c>
      <c r="BK429" s="140" t="str">
        <f t="shared" ref="BK429:BK477" si="444">AX429</f>
        <v>---</v>
      </c>
      <c r="BL429" s="140" t="str">
        <f>WORKSHEET_CONSTR!Q490</f>
        <v>---</v>
      </c>
      <c r="BM429" s="140">
        <f t="shared" ref="BM429:BM477" si="445">IF(BK429="---",999.99,IF(BL429="---",999.99,BK429/BL429))</f>
        <v>999.99</v>
      </c>
      <c r="BN429" s="263">
        <f t="shared" si="423"/>
        <v>0</v>
      </c>
    </row>
    <row r="430" spans="1:66">
      <c r="A430" s="438">
        <f t="shared" si="392"/>
        <v>3</v>
      </c>
      <c r="B430" s="294">
        <f t="shared" si="392"/>
        <v>6.5</v>
      </c>
      <c r="C430" s="294">
        <f t="shared" si="424"/>
        <v>6.5</v>
      </c>
      <c r="D430" s="294">
        <f t="shared" si="425"/>
        <v>6.5</v>
      </c>
      <c r="E430" s="294">
        <f t="shared" si="395"/>
        <v>4.7910000000000004</v>
      </c>
      <c r="F430" s="294">
        <f t="shared" si="426"/>
        <v>16.209</v>
      </c>
      <c r="G430" s="291">
        <f>IF(A430="---","---",IF(Type_Reinf="g",$I$414,IF(AND(Type_Reinf="s",Type_Steel_Strip="s")=TRUE,$I$416,IF(C430&gt;=20,IF(Type_Reinf="s",$F$415,10*INPUT!$J$111/INPUT!$I$111),IF(Type_Reinf="s",MIN(1.2+LOG(Cu),2)-C430*((MIN(1.2+LOG(Cu),2)-TAN(RADIANS(PHI_reinf)))/20),20*(INPUT!$J$111/INPUT!$I$111)-10*(INPUT!$J$111/INPUT!$I$111)*C430/20)))))</f>
        <v>1.4356057621201632</v>
      </c>
      <c r="H430" s="294">
        <f t="shared" si="427"/>
        <v>0.43467418906607563</v>
      </c>
      <c r="I430" s="294">
        <f t="shared" si="398"/>
        <v>0.53050946424274936</v>
      </c>
      <c r="J430" s="294">
        <f t="shared" si="428"/>
        <v>1.3262736606068735</v>
      </c>
      <c r="K430" s="294">
        <f t="shared" si="399"/>
        <v>0</v>
      </c>
      <c r="L430" s="294">
        <f t="shared" si="400"/>
        <v>0.57524026839670928</v>
      </c>
      <c r="M430" s="294">
        <f t="shared" si="401"/>
        <v>1.4381006709917732</v>
      </c>
      <c r="N430" s="291">
        <f t="shared" si="402"/>
        <v>0.79749620399573129</v>
      </c>
      <c r="O430" s="294">
        <f t="shared" si="403"/>
        <v>9.5763443348285406</v>
      </c>
      <c r="P430" s="294">
        <f t="shared" si="404"/>
        <v>7.7878425222194769</v>
      </c>
      <c r="Q430" s="441" t="str">
        <f t="shared" si="405"/>
        <v>OK</v>
      </c>
      <c r="R430" s="291">
        <f t="shared" si="429"/>
        <v>0.43226697086446247</v>
      </c>
      <c r="S430" s="294">
        <f t="shared" si="430"/>
        <v>1.0806674271611563</v>
      </c>
      <c r="T430" s="294">
        <f t="shared" si="406"/>
        <v>11.704420853679331</v>
      </c>
      <c r="U430" s="438" t="str">
        <f t="shared" si="431"/>
        <v>OK</v>
      </c>
      <c r="V430" s="476" t="str">
        <f t="shared" si="407"/>
        <v>---</v>
      </c>
      <c r="W430" s="291">
        <f t="shared" si="408"/>
        <v>21</v>
      </c>
      <c r="X430" s="484"/>
      <c r="Y430" s="22"/>
      <c r="AC430" s="17">
        <f t="shared" si="409"/>
        <v>1.3848613444982745</v>
      </c>
      <c r="AD430" s="17">
        <f t="shared" si="410"/>
        <v>2.6965106112617128</v>
      </c>
      <c r="AE430" s="471">
        <f t="shared" si="411"/>
        <v>1</v>
      </c>
      <c r="AF430" s="471">
        <f t="shared" si="412"/>
        <v>0</v>
      </c>
      <c r="AG430" s="140">
        <f t="shared" si="413"/>
        <v>16.209</v>
      </c>
      <c r="AH430" s="140">
        <f t="shared" si="432"/>
        <v>11.704420853679331</v>
      </c>
      <c r="AI430" s="140">
        <f t="shared" si="433"/>
        <v>1.3848613444982745</v>
      </c>
      <c r="AJ430" s="263">
        <f t="shared" si="414"/>
        <v>0</v>
      </c>
      <c r="AK430" s="173">
        <f>WORKSHEET_CONSTR!F369</f>
        <v>16.209</v>
      </c>
      <c r="AL430" s="141">
        <f>IF(WORKSHEET_CONSTR!P369="---","---",WORKSHEET_CONSTR!M369)</f>
        <v>10.108583675462949</v>
      </c>
      <c r="AM430" s="140">
        <f t="shared" si="434"/>
        <v>1.6034887300131753</v>
      </c>
      <c r="AN430" s="263">
        <f t="shared" si="435"/>
        <v>0</v>
      </c>
      <c r="AO430" s="265"/>
      <c r="AP430" s="140">
        <f t="shared" si="436"/>
        <v>16.209</v>
      </c>
      <c r="AQ430" s="140">
        <f t="shared" si="415"/>
        <v>9.2331256555304861</v>
      </c>
      <c r="AR430" s="140">
        <f t="shared" si="437"/>
        <v>1.7555268502482777</v>
      </c>
      <c r="AS430" s="263">
        <f t="shared" si="416"/>
        <v>0</v>
      </c>
      <c r="AT430" s="140">
        <f>WORKSHEET_CONSTR!F369</f>
        <v>16.209</v>
      </c>
      <c r="AU430" s="140">
        <f>WORKSHEET_CONSTR!P433</f>
        <v>9.8524825646677332</v>
      </c>
      <c r="AV430" s="140">
        <f t="shared" si="438"/>
        <v>1.6451691128211232</v>
      </c>
      <c r="AW430" s="263">
        <f t="shared" si="417"/>
        <v>0</v>
      </c>
      <c r="AX430" s="267" t="str">
        <f>IF(INPUT!Q113&lt;&gt;0,INPUT!Q113,"---")</f>
        <v>---</v>
      </c>
      <c r="AY430" s="140" t="str">
        <f t="shared" si="418"/>
        <v>---</v>
      </c>
      <c r="AZ430" s="140">
        <f t="shared" si="439"/>
        <v>999.99</v>
      </c>
      <c r="BA430" s="263">
        <f t="shared" si="419"/>
        <v>0</v>
      </c>
      <c r="BB430" s="140" t="str">
        <f t="shared" si="440"/>
        <v>---</v>
      </c>
      <c r="BC430" s="140" t="str">
        <f>WORKSHEET_CONSTR!S369</f>
        <v>---</v>
      </c>
      <c r="BD430" s="140">
        <f t="shared" si="441"/>
        <v>999.99</v>
      </c>
      <c r="BE430" s="263">
        <f t="shared" si="420"/>
        <v>0</v>
      </c>
      <c r="BF430" s="265"/>
      <c r="BG430" s="140" t="str">
        <f t="shared" si="442"/>
        <v>---</v>
      </c>
      <c r="BH430" s="140" t="str">
        <f t="shared" si="421"/>
        <v>---</v>
      </c>
      <c r="BI430" s="140">
        <f t="shared" si="443"/>
        <v>999.99</v>
      </c>
      <c r="BJ430" s="263">
        <f t="shared" si="422"/>
        <v>0</v>
      </c>
      <c r="BK430" s="140" t="str">
        <f t="shared" si="444"/>
        <v>---</v>
      </c>
      <c r="BL430" s="140" t="str">
        <f>WORKSHEET_CONSTR!Q491</f>
        <v>---</v>
      </c>
      <c r="BM430" s="140">
        <f t="shared" si="445"/>
        <v>999.99</v>
      </c>
      <c r="BN430" s="263">
        <f t="shared" si="423"/>
        <v>0</v>
      </c>
    </row>
    <row r="431" spans="1:66">
      <c r="A431" s="438">
        <f t="shared" si="392"/>
        <v>4</v>
      </c>
      <c r="B431" s="294">
        <f t="shared" si="392"/>
        <v>9</v>
      </c>
      <c r="C431" s="294">
        <f t="shared" si="424"/>
        <v>9</v>
      </c>
      <c r="D431" s="294">
        <f t="shared" si="425"/>
        <v>9</v>
      </c>
      <c r="E431" s="294">
        <f t="shared" si="395"/>
        <v>4.1820000000000004</v>
      </c>
      <c r="F431" s="294">
        <f t="shared" si="426"/>
        <v>16.817999999999998</v>
      </c>
      <c r="G431" s="291">
        <f>IF(A431="---","---",IF(Type_Reinf="g",$I$414,IF(AND(Type_Reinf="s",Type_Steel_Strip="s")=TRUE,$I$416,IF(C431&gt;=20,IF(Type_Reinf="s",$F$415,10*INPUT!$J$111/INPUT!$I$111),IF(Type_Reinf="s",MIN(1.2+LOG(Cu),2)-C431*((MIN(1.2+LOG(Cu),2)-TAN(RADIANS(PHI_reinf)))/20),20*(INPUT!$J$111/INPUT!$I$111)-10*(INPUT!$J$111/INPUT!$I$111)*C431/20)))))</f>
        <v>1.2946618278094713</v>
      </c>
      <c r="H431" s="294">
        <f t="shared" si="427"/>
        <v>0.4170045065837148</v>
      </c>
      <c r="I431" s="294">
        <f t="shared" si="398"/>
        <v>0.56967152778438113</v>
      </c>
      <c r="J431" s="294">
        <f t="shared" si="428"/>
        <v>1.4241788194609528</v>
      </c>
      <c r="K431" s="294">
        <f t="shared" si="399"/>
        <v>0</v>
      </c>
      <c r="L431" s="294">
        <f t="shared" si="400"/>
        <v>0.60979313255596312</v>
      </c>
      <c r="M431" s="294">
        <f t="shared" si="401"/>
        <v>1.5244828313899079</v>
      </c>
      <c r="N431" s="291">
        <f t="shared" si="402"/>
        <v>0.9313329148770606</v>
      </c>
      <c r="O431" s="294">
        <f t="shared" si="403"/>
        <v>9.7641322587836186</v>
      </c>
      <c r="P431" s="294">
        <f t="shared" si="404"/>
        <v>7.8388604305865943</v>
      </c>
      <c r="Q431" s="441" t="str">
        <f t="shared" si="405"/>
        <v>OK</v>
      </c>
      <c r="R431" s="291">
        <f t="shared" si="429"/>
        <v>0.46417680041690318</v>
      </c>
      <c r="S431" s="294">
        <f t="shared" si="430"/>
        <v>1.160442001042258</v>
      </c>
      <c r="T431" s="294">
        <f t="shared" si="406"/>
        <v>11.933939427402205</v>
      </c>
      <c r="U431" s="438" t="str">
        <f t="shared" si="431"/>
        <v>OK</v>
      </c>
      <c r="V431" s="476" t="str">
        <f t="shared" si="407"/>
        <v>---</v>
      </c>
      <c r="W431" s="291">
        <f t="shared" si="408"/>
        <v>21</v>
      </c>
      <c r="X431" s="484"/>
      <c r="Y431" s="22"/>
      <c r="AC431" s="17">
        <f t="shared" si="409"/>
        <v>1.4092580327149324</v>
      </c>
      <c r="AD431" s="17">
        <f t="shared" si="410"/>
        <v>2.6789608242110949</v>
      </c>
      <c r="AE431" s="471">
        <f t="shared" si="411"/>
        <v>1</v>
      </c>
      <c r="AF431" s="471">
        <f t="shared" si="412"/>
        <v>0</v>
      </c>
      <c r="AG431" s="140">
        <f t="shared" si="413"/>
        <v>16.817999999999998</v>
      </c>
      <c r="AH431" s="140">
        <f t="shared" si="432"/>
        <v>11.933939427402205</v>
      </c>
      <c r="AI431" s="140">
        <f t="shared" si="433"/>
        <v>1.4092580327149324</v>
      </c>
      <c r="AJ431" s="263">
        <f t="shared" si="414"/>
        <v>0</v>
      </c>
      <c r="AK431" s="173">
        <f>WORKSHEET_CONSTR!F370</f>
        <v>16.817999999999998</v>
      </c>
      <c r="AL431" s="141">
        <f>IF(WORKSHEET_CONSTR!P370="---","---",WORKSHEET_CONSTR!M370)</f>
        <v>10.020821258348303</v>
      </c>
      <c r="AM431" s="140">
        <f t="shared" si="434"/>
        <v>1.6783055566417768</v>
      </c>
      <c r="AN431" s="263">
        <f t="shared" si="435"/>
        <v>0</v>
      </c>
      <c r="AO431" s="265"/>
      <c r="AP431" s="140">
        <f t="shared" si="436"/>
        <v>16.817999999999998</v>
      </c>
      <c r="AQ431" s="140">
        <f t="shared" si="415"/>
        <v>9.4053961773463914</v>
      </c>
      <c r="AR431" s="140">
        <f t="shared" si="437"/>
        <v>1.788122444061147</v>
      </c>
      <c r="AS431" s="263">
        <f t="shared" si="416"/>
        <v>0</v>
      </c>
      <c r="AT431" s="140">
        <f>WORKSHEET_CONSTR!F370</f>
        <v>16.817999999999998</v>
      </c>
      <c r="AU431" s="140">
        <f>WORKSHEET_CONSTR!P434</f>
        <v>9.729062838664289</v>
      </c>
      <c r="AV431" s="140">
        <f t="shared" si="438"/>
        <v>1.728635150054078</v>
      </c>
      <c r="AW431" s="263">
        <f t="shared" si="417"/>
        <v>0</v>
      </c>
      <c r="AX431" s="267" t="str">
        <f>IF(INPUT!Q114&lt;&gt;0,INPUT!Q114,"---")</f>
        <v>---</v>
      </c>
      <c r="AY431" s="140" t="str">
        <f t="shared" si="418"/>
        <v>---</v>
      </c>
      <c r="AZ431" s="140">
        <f t="shared" si="439"/>
        <v>999.99</v>
      </c>
      <c r="BA431" s="263">
        <f t="shared" si="419"/>
        <v>0</v>
      </c>
      <c r="BB431" s="140" t="str">
        <f t="shared" si="440"/>
        <v>---</v>
      </c>
      <c r="BC431" s="140" t="str">
        <f>WORKSHEET_CONSTR!S370</f>
        <v>---</v>
      </c>
      <c r="BD431" s="140">
        <f t="shared" si="441"/>
        <v>999.99</v>
      </c>
      <c r="BE431" s="263">
        <f t="shared" si="420"/>
        <v>0</v>
      </c>
      <c r="BF431" s="265"/>
      <c r="BG431" s="140" t="str">
        <f t="shared" si="442"/>
        <v>---</v>
      </c>
      <c r="BH431" s="140" t="str">
        <f t="shared" si="421"/>
        <v>---</v>
      </c>
      <c r="BI431" s="140">
        <f t="shared" si="443"/>
        <v>999.99</v>
      </c>
      <c r="BJ431" s="263">
        <f t="shared" si="422"/>
        <v>0</v>
      </c>
      <c r="BK431" s="140" t="str">
        <f t="shared" si="444"/>
        <v>---</v>
      </c>
      <c r="BL431" s="140" t="str">
        <f>WORKSHEET_CONSTR!Q492</f>
        <v>---</v>
      </c>
      <c r="BM431" s="140">
        <f t="shared" si="445"/>
        <v>999.99</v>
      </c>
      <c r="BN431" s="263">
        <f t="shared" si="423"/>
        <v>0</v>
      </c>
    </row>
    <row r="432" spans="1:66">
      <c r="A432" s="438">
        <f t="shared" si="392"/>
        <v>5</v>
      </c>
      <c r="B432" s="294">
        <f t="shared" si="392"/>
        <v>11.5</v>
      </c>
      <c r="C432" s="294">
        <f t="shared" si="424"/>
        <v>11.5</v>
      </c>
      <c r="D432" s="294">
        <f t="shared" si="425"/>
        <v>11.5</v>
      </c>
      <c r="E432" s="294">
        <f t="shared" si="395"/>
        <v>2.6820000000000004</v>
      </c>
      <c r="F432" s="294">
        <f t="shared" si="426"/>
        <v>18.317999999999998</v>
      </c>
      <c r="G432" s="291">
        <f>IF(A432="---","---",IF(Type_Reinf="g",$I$414,IF(AND(Type_Reinf="s",Type_Steel_Strip="s")=TRUE,$I$416,IF(C432&gt;=20,IF(Type_Reinf="s",$F$415,10*INPUT!$J$111/INPUT!$I$111),IF(Type_Reinf="s",MIN(1.2+LOG(Cu),2)-C432*((MIN(1.2+LOG(Cu),2)-TAN(RADIANS(PHI_reinf)))/20),20*(INPUT!$J$111/INPUT!$I$111)-10*(INPUT!$J$111/INPUT!$I$111)*C432/20)))))</f>
        <v>1.1537178934987793</v>
      </c>
      <c r="H432" s="294">
        <f t="shared" si="427"/>
        <v>0.39933482410135396</v>
      </c>
      <c r="I432" s="294">
        <f t="shared" si="398"/>
        <v>0.60745846335579257</v>
      </c>
      <c r="J432" s="294">
        <f t="shared" si="428"/>
        <v>1.5186461583894815</v>
      </c>
      <c r="K432" s="294">
        <f t="shared" si="399"/>
        <v>0</v>
      </c>
      <c r="L432" s="294">
        <f t="shared" si="400"/>
        <v>0.6435337900178808</v>
      </c>
      <c r="M432" s="294">
        <f t="shared" si="401"/>
        <v>1.6088344750447021</v>
      </c>
      <c r="N432" s="291">
        <f t="shared" si="402"/>
        <v>1.0684959678030461</v>
      </c>
      <c r="O432" s="294">
        <f t="shared" si="403"/>
        <v>10.183908908339616</v>
      </c>
      <c r="P432" s="294">
        <f t="shared" si="404"/>
        <v>8.0915279302917291</v>
      </c>
      <c r="Q432" s="441" t="str">
        <f t="shared" si="405"/>
        <v>OK</v>
      </c>
      <c r="R432" s="291">
        <f t="shared" si="429"/>
        <v>0.49496615532694216</v>
      </c>
      <c r="S432" s="294">
        <f t="shared" si="430"/>
        <v>1.2374153883173553</v>
      </c>
      <c r="T432" s="294">
        <f t="shared" si="406"/>
        <v>12.446999776859533</v>
      </c>
      <c r="U432" s="438" t="str">
        <f t="shared" si="431"/>
        <v>OK</v>
      </c>
      <c r="V432" s="476" t="str">
        <f t="shared" si="407"/>
        <v>---</v>
      </c>
      <c r="W432" s="291">
        <f t="shared" si="408"/>
        <v>21</v>
      </c>
      <c r="X432" s="484"/>
      <c r="Y432" s="22"/>
      <c r="AC432" s="17">
        <f t="shared" si="409"/>
        <v>1.4716799492561541</v>
      </c>
      <c r="AD432" s="17">
        <f t="shared" si="410"/>
        <v>2.595307113923893</v>
      </c>
      <c r="AE432" s="471">
        <f t="shared" si="411"/>
        <v>1</v>
      </c>
      <c r="AF432" s="471">
        <f t="shared" si="412"/>
        <v>0</v>
      </c>
      <c r="AG432" s="140">
        <f t="shared" si="413"/>
        <v>18.317999999999998</v>
      </c>
      <c r="AH432" s="140">
        <f t="shared" si="432"/>
        <v>12.446999776859533</v>
      </c>
      <c r="AI432" s="140">
        <f t="shared" si="433"/>
        <v>1.4716799492561541</v>
      </c>
      <c r="AJ432" s="263">
        <f t="shared" si="414"/>
        <v>0</v>
      </c>
      <c r="AK432" s="173">
        <f>WORKSHEET_CONSTR!F371</f>
        <v>18.317999999999998</v>
      </c>
      <c r="AL432" s="141">
        <f>IF(WORKSHEET_CONSTR!P371="---","---",WORKSHEET_CONSTR!M371)</f>
        <v>10.312556270306912</v>
      </c>
      <c r="AM432" s="140">
        <f t="shared" si="434"/>
        <v>1.7762812167864988</v>
      </c>
      <c r="AN432" s="263">
        <f t="shared" si="435"/>
        <v>0</v>
      </c>
      <c r="AO432" s="265"/>
      <c r="AP432" s="140">
        <f t="shared" si="436"/>
        <v>18.317999999999998</v>
      </c>
      <c r="AQ432" s="140">
        <f t="shared" si="415"/>
        <v>9.8153738694445725</v>
      </c>
      <c r="AR432" s="140">
        <f t="shared" si="437"/>
        <v>1.8662559616831558</v>
      </c>
      <c r="AS432" s="263">
        <f t="shared" si="416"/>
        <v>0</v>
      </c>
      <c r="AT432" s="140">
        <f>WORKSHEET_CONSTR!F371</f>
        <v>18.317999999999998</v>
      </c>
      <c r="AU432" s="140">
        <f>WORKSHEET_CONSTR!P435</f>
        <v>10.001403021615548</v>
      </c>
      <c r="AV432" s="140">
        <f t="shared" si="438"/>
        <v>1.8315430305538325</v>
      </c>
      <c r="AW432" s="263">
        <f t="shared" si="417"/>
        <v>0</v>
      </c>
      <c r="AX432" s="267" t="str">
        <f>IF(INPUT!Q115&lt;&gt;0,INPUT!Q115,"---")</f>
        <v>---</v>
      </c>
      <c r="AY432" s="140" t="str">
        <f t="shared" si="418"/>
        <v>---</v>
      </c>
      <c r="AZ432" s="140">
        <f t="shared" si="439"/>
        <v>999.99</v>
      </c>
      <c r="BA432" s="263">
        <f t="shared" si="419"/>
        <v>0</v>
      </c>
      <c r="BB432" s="140" t="str">
        <f t="shared" si="440"/>
        <v>---</v>
      </c>
      <c r="BC432" s="140" t="str">
        <f>WORKSHEET_CONSTR!S371</f>
        <v>---</v>
      </c>
      <c r="BD432" s="140">
        <f t="shared" si="441"/>
        <v>999.99</v>
      </c>
      <c r="BE432" s="263">
        <f t="shared" si="420"/>
        <v>0</v>
      </c>
      <c r="BF432" s="265"/>
      <c r="BG432" s="140" t="str">
        <f t="shared" si="442"/>
        <v>---</v>
      </c>
      <c r="BH432" s="140" t="str">
        <f t="shared" si="421"/>
        <v>---</v>
      </c>
      <c r="BI432" s="140">
        <f t="shared" si="443"/>
        <v>999.99</v>
      </c>
      <c r="BJ432" s="263">
        <f t="shared" si="422"/>
        <v>0</v>
      </c>
      <c r="BK432" s="140" t="str">
        <f t="shared" si="444"/>
        <v>---</v>
      </c>
      <c r="BL432" s="140" t="str">
        <f>WORKSHEET_CONSTR!Q493</f>
        <v>---</v>
      </c>
      <c r="BM432" s="140">
        <f t="shared" si="445"/>
        <v>999.99</v>
      </c>
      <c r="BN432" s="263">
        <f t="shared" si="423"/>
        <v>0</v>
      </c>
    </row>
    <row r="433" spans="1:66">
      <c r="A433" s="438">
        <f t="shared" si="392"/>
        <v>6</v>
      </c>
      <c r="B433" s="294">
        <f t="shared" si="392"/>
        <v>14</v>
      </c>
      <c r="C433" s="294">
        <f t="shared" si="424"/>
        <v>14</v>
      </c>
      <c r="D433" s="294">
        <f t="shared" si="425"/>
        <v>14</v>
      </c>
      <c r="E433" s="294">
        <f t="shared" si="395"/>
        <v>1.1820000000000004</v>
      </c>
      <c r="F433" s="294">
        <f t="shared" si="426"/>
        <v>19.817999999999998</v>
      </c>
      <c r="G433" s="291">
        <f>IF(A433="---","---",IF(Type_Reinf="g",$I$414,IF(AND(Type_Reinf="s",Type_Steel_Strip="s")=TRUE,$I$416,IF(C433&gt;=20,IF(Type_Reinf="s",$F$415,10*INPUT!$J$111/INPUT!$I$111),IF(Type_Reinf="s",MIN(1.2+LOG(Cu),2)-C433*((MIN(1.2+LOG(Cu),2)-TAN(RADIANS(PHI_reinf)))/20),20*(INPUT!$J$111/INPUT!$I$111)-10*(INPUT!$J$111/INPUT!$I$111)*C433/20)))))</f>
        <v>1.0127739591880873</v>
      </c>
      <c r="H433" s="294">
        <f t="shared" si="427"/>
        <v>0.38166514161899318</v>
      </c>
      <c r="I433" s="294">
        <f t="shared" si="398"/>
        <v>0.64796178765144907</v>
      </c>
      <c r="J433" s="294">
        <f t="shared" si="428"/>
        <v>2.0864369562376663</v>
      </c>
      <c r="K433" s="294">
        <f t="shared" si="399"/>
        <v>0</v>
      </c>
      <c r="L433" s="294">
        <f t="shared" si="400"/>
        <v>0.68157067478650102</v>
      </c>
      <c r="M433" s="294">
        <f t="shared" si="401"/>
        <v>2.1946575728125337</v>
      </c>
      <c r="N433" s="291">
        <f t="shared" si="402"/>
        <v>1.2152385190110415</v>
      </c>
      <c r="O433" s="294">
        <f t="shared" si="403"/>
        <v>14.013984727891444</v>
      </c>
      <c r="P433" s="294">
        <f t="shared" si="404"/>
        <v>11.05565313742078</v>
      </c>
      <c r="Q433" s="441" t="str">
        <f t="shared" si="405"/>
        <v>OK</v>
      </c>
      <c r="R433" s="291">
        <f t="shared" si="429"/>
        <v>0.52796886401229182</v>
      </c>
      <c r="S433" s="294">
        <f t="shared" si="430"/>
        <v>1.70005974211958</v>
      </c>
      <c r="T433" s="294">
        <f t="shared" si="406"/>
        <v>17.128203556311767</v>
      </c>
      <c r="U433" s="438" t="str">
        <f t="shared" si="431"/>
        <v>OK</v>
      </c>
      <c r="V433" s="476" t="str">
        <f t="shared" si="407"/>
        <v>---</v>
      </c>
      <c r="W433" s="291">
        <f t="shared" si="408"/>
        <v>21</v>
      </c>
      <c r="X433" s="484"/>
      <c r="Y433" s="22"/>
      <c r="AC433" s="17">
        <f t="shared" si="409"/>
        <v>1.1570390283397254</v>
      </c>
      <c r="AD433" s="17">
        <f t="shared" si="410"/>
        <v>1.8994807216698895</v>
      </c>
      <c r="AE433" s="471">
        <f t="shared" si="411"/>
        <v>1</v>
      </c>
      <c r="AF433" s="471">
        <f t="shared" si="412"/>
        <v>0</v>
      </c>
      <c r="AG433" s="140">
        <f t="shared" si="413"/>
        <v>19.817999999999998</v>
      </c>
      <c r="AH433" s="140">
        <f t="shared" si="432"/>
        <v>17.128203556311767</v>
      </c>
      <c r="AI433" s="140">
        <f t="shared" si="433"/>
        <v>1.1570390283397254</v>
      </c>
      <c r="AJ433" s="263">
        <f t="shared" si="414"/>
        <v>0</v>
      </c>
      <c r="AK433" s="173">
        <f>WORKSHEET_CONSTR!F372</f>
        <v>19.817999999999998</v>
      </c>
      <c r="AL433" s="141">
        <f>IF(WORKSHEET_CONSTR!P372="---","---",WORKSHEET_CONSTR!M372)</f>
        <v>14.107677552837439</v>
      </c>
      <c r="AM433" s="140">
        <f t="shared" si="434"/>
        <v>1.4047670090116327</v>
      </c>
      <c r="AN433" s="263">
        <f t="shared" si="435"/>
        <v>0</v>
      </c>
      <c r="AO433" s="265"/>
      <c r="AP433" s="140">
        <f t="shared" si="436"/>
        <v>19.817999999999998</v>
      </c>
      <c r="AQ433" s="140">
        <f t="shared" si="415"/>
        <v>13.42847885742025</v>
      </c>
      <c r="AR433" s="140">
        <f t="shared" si="437"/>
        <v>1.4758186843366146</v>
      </c>
      <c r="AS433" s="263">
        <f t="shared" si="416"/>
        <v>0</v>
      </c>
      <c r="AT433" s="140">
        <f>WORKSHEET_CONSTR!F372</f>
        <v>19.817999999999998</v>
      </c>
      <c r="AU433" s="140">
        <f>WORKSHEET_CONSTR!P436</f>
        <v>13.573983871348691</v>
      </c>
      <c r="AV433" s="140">
        <f t="shared" si="438"/>
        <v>1.4599987879631178</v>
      </c>
      <c r="AW433" s="263">
        <f t="shared" si="417"/>
        <v>0</v>
      </c>
      <c r="AX433" s="267" t="str">
        <f>IF(INPUT!Q116&lt;&gt;0,INPUT!Q116,"---")</f>
        <v>---</v>
      </c>
      <c r="AY433" s="140" t="str">
        <f t="shared" si="418"/>
        <v>---</v>
      </c>
      <c r="AZ433" s="140">
        <f t="shared" si="439"/>
        <v>999.99</v>
      </c>
      <c r="BA433" s="263">
        <f t="shared" si="419"/>
        <v>0</v>
      </c>
      <c r="BB433" s="140" t="str">
        <f t="shared" si="440"/>
        <v>---</v>
      </c>
      <c r="BC433" s="140" t="str">
        <f>WORKSHEET_CONSTR!S372</f>
        <v>---</v>
      </c>
      <c r="BD433" s="140">
        <f t="shared" si="441"/>
        <v>999.99</v>
      </c>
      <c r="BE433" s="263">
        <f t="shared" si="420"/>
        <v>0</v>
      </c>
      <c r="BF433" s="265"/>
      <c r="BG433" s="140" t="str">
        <f t="shared" si="442"/>
        <v>---</v>
      </c>
      <c r="BH433" s="140" t="str">
        <f t="shared" si="421"/>
        <v>---</v>
      </c>
      <c r="BI433" s="140">
        <f t="shared" si="443"/>
        <v>999.99</v>
      </c>
      <c r="BJ433" s="263">
        <f t="shared" si="422"/>
        <v>0</v>
      </c>
      <c r="BK433" s="140" t="str">
        <f t="shared" si="444"/>
        <v>---</v>
      </c>
      <c r="BL433" s="140" t="str">
        <f>WORKSHEET_CONSTR!Q494</f>
        <v>---</v>
      </c>
      <c r="BM433" s="140">
        <f t="shared" si="445"/>
        <v>999.99</v>
      </c>
      <c r="BN433" s="263">
        <f t="shared" si="423"/>
        <v>0</v>
      </c>
    </row>
    <row r="434" spans="1:66">
      <c r="A434" s="438" t="str">
        <f t="shared" si="392"/>
        <v>---</v>
      </c>
      <c r="B434" s="294" t="str">
        <f t="shared" si="392"/>
        <v>---</v>
      </c>
      <c r="C434" s="294" t="str">
        <f t="shared" si="424"/>
        <v>---</v>
      </c>
      <c r="D434" s="294" t="str">
        <f t="shared" si="425"/>
        <v>---</v>
      </c>
      <c r="E434" s="294" t="str">
        <f t="shared" si="395"/>
        <v>---</v>
      </c>
      <c r="F434" s="294" t="str">
        <f t="shared" si="426"/>
        <v>---</v>
      </c>
      <c r="G434" s="291" t="str">
        <f>IF(A434="---","---",IF(Type_Reinf="g",$I$414,IF(AND(Type_Reinf="s",Type_Steel_Strip="s")=TRUE,$I$416,IF(C434&gt;=20,IF(Type_Reinf="s",$F$415,10*INPUT!$J$111/INPUT!$I$111),IF(Type_Reinf="s",MIN(1.2+LOG(Cu),2)-C434*((MIN(1.2+LOG(Cu),2)-TAN(RADIANS(PHI_reinf)))/20),20*(INPUT!$J$111/INPUT!$I$111)-10*(INPUT!$J$111/INPUT!$I$111)*C434/20)))))</f>
        <v>---</v>
      </c>
      <c r="H434" s="294" t="str">
        <f t="shared" si="427"/>
        <v>---</v>
      </c>
      <c r="I434" s="294" t="str">
        <f t="shared" si="398"/>
        <v>---</v>
      </c>
      <c r="J434" s="294" t="str">
        <f t="shared" si="428"/>
        <v>---</v>
      </c>
      <c r="K434" s="294" t="str">
        <f t="shared" si="399"/>
        <v>---</v>
      </c>
      <c r="L434" s="294" t="str">
        <f t="shared" si="400"/>
        <v>---</v>
      </c>
      <c r="M434" s="294" t="str">
        <f t="shared" si="401"/>
        <v>---</v>
      </c>
      <c r="N434" s="291" t="str">
        <f t="shared" si="402"/>
        <v>---</v>
      </c>
      <c r="O434" s="294" t="str">
        <f t="shared" si="403"/>
        <v>---</v>
      </c>
      <c r="P434" s="294" t="str">
        <f t="shared" si="404"/>
        <v>---</v>
      </c>
      <c r="Q434" s="441" t="str">
        <f t="shared" si="405"/>
        <v>---</v>
      </c>
      <c r="R434" s="291" t="str">
        <f t="shared" si="429"/>
        <v>---</v>
      </c>
      <c r="S434" s="294" t="str">
        <f t="shared" si="430"/>
        <v>---</v>
      </c>
      <c r="T434" s="294" t="str">
        <f t="shared" si="406"/>
        <v>---</v>
      </c>
      <c r="U434" s="438" t="str">
        <f t="shared" si="431"/>
        <v>---</v>
      </c>
      <c r="V434" s="476" t="str">
        <f t="shared" si="407"/>
        <v>---</v>
      </c>
      <c r="W434" s="291" t="str">
        <f t="shared" si="408"/>
        <v>---</v>
      </c>
      <c r="X434" s="484"/>
      <c r="AC434" s="17" t="str">
        <f t="shared" si="409"/>
        <v>---</v>
      </c>
      <c r="AD434" s="17" t="str">
        <f t="shared" si="410"/>
        <v>---</v>
      </c>
      <c r="AE434" s="471">
        <f t="shared" si="411"/>
        <v>0</v>
      </c>
      <c r="AF434" s="471">
        <f t="shared" si="412"/>
        <v>0</v>
      </c>
      <c r="AG434" s="140" t="str">
        <f t="shared" si="413"/>
        <v>---</v>
      </c>
      <c r="AH434" s="140" t="str">
        <f t="shared" si="432"/>
        <v>---</v>
      </c>
      <c r="AI434" s="140">
        <f t="shared" si="433"/>
        <v>999.99</v>
      </c>
      <c r="AJ434" s="263">
        <f t="shared" si="414"/>
        <v>0</v>
      </c>
      <c r="AK434" s="173" t="str">
        <f>WORKSHEET_CONSTR!F373</f>
        <v>---</v>
      </c>
      <c r="AL434" s="141" t="str">
        <f>IF(WORKSHEET_CONSTR!P373="---","---",WORKSHEET_CONSTR!M373)</f>
        <v>---</v>
      </c>
      <c r="AM434" s="140">
        <f t="shared" si="434"/>
        <v>999.99</v>
      </c>
      <c r="AN434" s="263">
        <f t="shared" si="435"/>
        <v>0</v>
      </c>
      <c r="AO434" s="265"/>
      <c r="AP434" s="140" t="str">
        <f t="shared" si="436"/>
        <v>---</v>
      </c>
      <c r="AQ434" s="140" t="str">
        <f t="shared" si="415"/>
        <v>---</v>
      </c>
      <c r="AR434" s="140">
        <f t="shared" si="437"/>
        <v>999.99</v>
      </c>
      <c r="AS434" s="263">
        <f t="shared" si="416"/>
        <v>0</v>
      </c>
      <c r="AT434" s="140" t="str">
        <f>WORKSHEET_CONSTR!F373</f>
        <v>---</v>
      </c>
      <c r="AU434" s="140" t="str">
        <f>WORKSHEET_CONSTR!P437</f>
        <v>---</v>
      </c>
      <c r="AV434" s="140">
        <f t="shared" si="438"/>
        <v>999.99</v>
      </c>
      <c r="AW434" s="263">
        <f t="shared" si="417"/>
        <v>0</v>
      </c>
      <c r="AX434" s="267" t="str">
        <f>IF(INPUT!Q117&lt;&gt;0,INPUT!Q117,"---")</f>
        <v>---</v>
      </c>
      <c r="AY434" s="140" t="str">
        <f t="shared" si="418"/>
        <v>---</v>
      </c>
      <c r="AZ434" s="140">
        <f t="shared" si="439"/>
        <v>999.99</v>
      </c>
      <c r="BA434" s="263">
        <f t="shared" si="419"/>
        <v>0</v>
      </c>
      <c r="BB434" s="140" t="str">
        <f t="shared" si="440"/>
        <v>---</v>
      </c>
      <c r="BC434" s="140" t="str">
        <f>WORKSHEET_CONSTR!S373</f>
        <v>---</v>
      </c>
      <c r="BD434" s="140">
        <f t="shared" si="441"/>
        <v>999.99</v>
      </c>
      <c r="BE434" s="263">
        <f t="shared" si="420"/>
        <v>0</v>
      </c>
      <c r="BF434" s="265"/>
      <c r="BG434" s="140" t="str">
        <f t="shared" si="442"/>
        <v>---</v>
      </c>
      <c r="BH434" s="140" t="str">
        <f t="shared" si="421"/>
        <v>---</v>
      </c>
      <c r="BI434" s="140">
        <f t="shared" si="443"/>
        <v>999.99</v>
      </c>
      <c r="BJ434" s="263">
        <f t="shared" si="422"/>
        <v>0</v>
      </c>
      <c r="BK434" s="140" t="str">
        <f t="shared" si="444"/>
        <v>---</v>
      </c>
      <c r="BL434" s="140" t="str">
        <f>WORKSHEET_CONSTR!Q495</f>
        <v>---</v>
      </c>
      <c r="BM434" s="140">
        <f t="shared" si="445"/>
        <v>999.99</v>
      </c>
      <c r="BN434" s="263">
        <f t="shared" si="423"/>
        <v>0</v>
      </c>
    </row>
    <row r="435" spans="1:66">
      <c r="A435" s="438" t="str">
        <f t="shared" si="392"/>
        <v>---</v>
      </c>
      <c r="B435" s="294" t="str">
        <f t="shared" si="392"/>
        <v>---</v>
      </c>
      <c r="C435" s="294" t="str">
        <f t="shared" si="424"/>
        <v>---</v>
      </c>
      <c r="D435" s="294" t="str">
        <f t="shared" si="425"/>
        <v>---</v>
      </c>
      <c r="E435" s="294" t="str">
        <f t="shared" si="395"/>
        <v>---</v>
      </c>
      <c r="F435" s="294" t="str">
        <f t="shared" si="426"/>
        <v>---</v>
      </c>
      <c r="G435" s="291" t="str">
        <f>IF(A435="---","---",IF(Type_Reinf="g",$I$414,IF(AND(Type_Reinf="s",Type_Steel_Strip="s")=TRUE,$I$416,IF(C435&gt;=20,IF(Type_Reinf="s",$F$415,10*INPUT!$J$111/INPUT!$I$111),IF(Type_Reinf="s",MIN(1.2+LOG(Cu),2)-C435*((MIN(1.2+LOG(Cu),2)-TAN(RADIANS(PHI_reinf)))/20),20*(INPUT!$J$111/INPUT!$I$111)-10*(INPUT!$J$111/INPUT!$I$111)*C435/20)))))</f>
        <v>---</v>
      </c>
      <c r="H435" s="294" t="str">
        <f t="shared" si="427"/>
        <v>---</v>
      </c>
      <c r="I435" s="294" t="str">
        <f t="shared" si="398"/>
        <v>---</v>
      </c>
      <c r="J435" s="294" t="str">
        <f t="shared" si="428"/>
        <v>---</v>
      </c>
      <c r="K435" s="294" t="str">
        <f t="shared" si="399"/>
        <v>---</v>
      </c>
      <c r="L435" s="294" t="str">
        <f t="shared" si="400"/>
        <v>---</v>
      </c>
      <c r="M435" s="294" t="str">
        <f t="shared" si="401"/>
        <v>---</v>
      </c>
      <c r="N435" s="291" t="str">
        <f t="shared" si="402"/>
        <v>---</v>
      </c>
      <c r="O435" s="294" t="str">
        <f t="shared" si="403"/>
        <v>---</v>
      </c>
      <c r="P435" s="294" t="str">
        <f t="shared" si="404"/>
        <v>---</v>
      </c>
      <c r="Q435" s="441" t="str">
        <f t="shared" si="405"/>
        <v>---</v>
      </c>
      <c r="R435" s="291" t="str">
        <f t="shared" si="429"/>
        <v>---</v>
      </c>
      <c r="S435" s="294" t="str">
        <f t="shared" si="430"/>
        <v>---</v>
      </c>
      <c r="T435" s="294" t="str">
        <f t="shared" si="406"/>
        <v>---</v>
      </c>
      <c r="U435" s="438" t="str">
        <f t="shared" si="431"/>
        <v>---</v>
      </c>
      <c r="V435" s="476" t="str">
        <f t="shared" si="407"/>
        <v>---</v>
      </c>
      <c r="W435" s="291" t="str">
        <f t="shared" si="408"/>
        <v>---</v>
      </c>
      <c r="X435" s="484"/>
      <c r="AC435" s="17" t="str">
        <f t="shared" si="409"/>
        <v>---</v>
      </c>
      <c r="AD435" s="17" t="str">
        <f t="shared" si="410"/>
        <v>---</v>
      </c>
      <c r="AE435" s="471">
        <f t="shared" si="411"/>
        <v>0</v>
      </c>
      <c r="AF435" s="471">
        <f t="shared" si="412"/>
        <v>0</v>
      </c>
      <c r="AG435" s="140" t="str">
        <f t="shared" si="413"/>
        <v>---</v>
      </c>
      <c r="AH435" s="140" t="str">
        <f t="shared" si="432"/>
        <v>---</v>
      </c>
      <c r="AI435" s="140">
        <f t="shared" si="433"/>
        <v>999.99</v>
      </c>
      <c r="AJ435" s="263">
        <f t="shared" si="414"/>
        <v>0</v>
      </c>
      <c r="AK435" s="173" t="str">
        <f>WORKSHEET_CONSTR!F374</f>
        <v>---</v>
      </c>
      <c r="AL435" s="141" t="str">
        <f>IF(WORKSHEET_CONSTR!P374="---","---",WORKSHEET_CONSTR!M374)</f>
        <v>---</v>
      </c>
      <c r="AM435" s="140">
        <f t="shared" si="434"/>
        <v>999.99</v>
      </c>
      <c r="AN435" s="263">
        <f t="shared" si="435"/>
        <v>0</v>
      </c>
      <c r="AO435" s="265"/>
      <c r="AP435" s="140" t="str">
        <f t="shared" si="436"/>
        <v>---</v>
      </c>
      <c r="AQ435" s="140" t="str">
        <f t="shared" si="415"/>
        <v>---</v>
      </c>
      <c r="AR435" s="140">
        <f t="shared" si="437"/>
        <v>999.99</v>
      </c>
      <c r="AS435" s="263">
        <f t="shared" si="416"/>
        <v>0</v>
      </c>
      <c r="AT435" s="140" t="str">
        <f>WORKSHEET_CONSTR!F374</f>
        <v>---</v>
      </c>
      <c r="AU435" s="140" t="str">
        <f>WORKSHEET_CONSTR!P438</f>
        <v>---</v>
      </c>
      <c r="AV435" s="140">
        <f t="shared" si="438"/>
        <v>999.99</v>
      </c>
      <c r="AW435" s="263">
        <f t="shared" si="417"/>
        <v>0</v>
      </c>
      <c r="AX435" s="267" t="str">
        <f>IF(INPUT!Q118&lt;&gt;0,INPUT!Q118,"---")</f>
        <v>---</v>
      </c>
      <c r="AY435" s="140" t="str">
        <f t="shared" si="418"/>
        <v>---</v>
      </c>
      <c r="AZ435" s="140">
        <f t="shared" si="439"/>
        <v>999.99</v>
      </c>
      <c r="BA435" s="263">
        <f t="shared" si="419"/>
        <v>0</v>
      </c>
      <c r="BB435" s="140" t="str">
        <f t="shared" si="440"/>
        <v>---</v>
      </c>
      <c r="BC435" s="140" t="str">
        <f>WORKSHEET_CONSTR!S374</f>
        <v>---</v>
      </c>
      <c r="BD435" s="140">
        <f t="shared" si="441"/>
        <v>999.99</v>
      </c>
      <c r="BE435" s="263">
        <f t="shared" si="420"/>
        <v>0</v>
      </c>
      <c r="BF435" s="265"/>
      <c r="BG435" s="140" t="str">
        <f t="shared" si="442"/>
        <v>---</v>
      </c>
      <c r="BH435" s="140" t="str">
        <f t="shared" si="421"/>
        <v>---</v>
      </c>
      <c r="BI435" s="140">
        <f t="shared" si="443"/>
        <v>999.99</v>
      </c>
      <c r="BJ435" s="263">
        <f t="shared" si="422"/>
        <v>0</v>
      </c>
      <c r="BK435" s="140" t="str">
        <f t="shared" si="444"/>
        <v>---</v>
      </c>
      <c r="BL435" s="140" t="str">
        <f>WORKSHEET_CONSTR!Q496</f>
        <v>---</v>
      </c>
      <c r="BM435" s="140">
        <f t="shared" si="445"/>
        <v>999.99</v>
      </c>
      <c r="BN435" s="263">
        <f t="shared" si="423"/>
        <v>0</v>
      </c>
    </row>
    <row r="436" spans="1:66">
      <c r="A436" s="438" t="str">
        <f t="shared" si="392"/>
        <v>---</v>
      </c>
      <c r="B436" s="294" t="str">
        <f t="shared" si="392"/>
        <v>---</v>
      </c>
      <c r="C436" s="294" t="str">
        <f t="shared" si="424"/>
        <v>---</v>
      </c>
      <c r="D436" s="294" t="str">
        <f t="shared" si="425"/>
        <v>---</v>
      </c>
      <c r="E436" s="294" t="str">
        <f t="shared" si="395"/>
        <v>---</v>
      </c>
      <c r="F436" s="294" t="str">
        <f t="shared" si="426"/>
        <v>---</v>
      </c>
      <c r="G436" s="291" t="str">
        <f>IF(A436="---","---",IF(Type_Reinf="g",$I$414,IF(AND(Type_Reinf="s",Type_Steel_Strip="s")=TRUE,$I$416,IF(C436&gt;=20,IF(Type_Reinf="s",$F$415,10*INPUT!$J$111/INPUT!$I$111),IF(Type_Reinf="s",MIN(1.2+LOG(Cu),2)-C436*((MIN(1.2+LOG(Cu),2)-TAN(RADIANS(PHI_reinf)))/20),20*(INPUT!$J$111/INPUT!$I$111)-10*(INPUT!$J$111/INPUT!$I$111)*C436/20)))))</f>
        <v>---</v>
      </c>
      <c r="H436" s="294" t="str">
        <f t="shared" si="427"/>
        <v>---</v>
      </c>
      <c r="I436" s="294" t="str">
        <f t="shared" si="398"/>
        <v>---</v>
      </c>
      <c r="J436" s="294" t="str">
        <f t="shared" si="428"/>
        <v>---</v>
      </c>
      <c r="K436" s="294" t="str">
        <f t="shared" si="399"/>
        <v>---</v>
      </c>
      <c r="L436" s="294" t="str">
        <f t="shared" si="400"/>
        <v>---</v>
      </c>
      <c r="M436" s="294" t="str">
        <f t="shared" si="401"/>
        <v>---</v>
      </c>
      <c r="N436" s="291" t="str">
        <f t="shared" si="402"/>
        <v>---</v>
      </c>
      <c r="O436" s="294" t="str">
        <f t="shared" si="403"/>
        <v>---</v>
      </c>
      <c r="P436" s="294" t="str">
        <f t="shared" si="404"/>
        <v>---</v>
      </c>
      <c r="Q436" s="441" t="str">
        <f t="shared" si="405"/>
        <v>---</v>
      </c>
      <c r="R436" s="291" t="str">
        <f t="shared" si="429"/>
        <v>---</v>
      </c>
      <c r="S436" s="294" t="str">
        <f t="shared" si="430"/>
        <v>---</v>
      </c>
      <c r="T436" s="294" t="str">
        <f t="shared" si="406"/>
        <v>---</v>
      </c>
      <c r="U436" s="438" t="str">
        <f t="shared" si="431"/>
        <v>---</v>
      </c>
      <c r="V436" s="476" t="str">
        <f t="shared" si="407"/>
        <v>---</v>
      </c>
      <c r="W436" s="291" t="str">
        <f t="shared" si="408"/>
        <v>---</v>
      </c>
      <c r="X436" s="484"/>
      <c r="AC436" s="17" t="str">
        <f t="shared" si="409"/>
        <v>---</v>
      </c>
      <c r="AD436" s="17" t="str">
        <f t="shared" si="410"/>
        <v>---</v>
      </c>
      <c r="AE436" s="471">
        <f t="shared" si="411"/>
        <v>0</v>
      </c>
      <c r="AF436" s="471">
        <f t="shared" si="412"/>
        <v>0</v>
      </c>
      <c r="AG436" s="140" t="str">
        <f t="shared" si="413"/>
        <v>---</v>
      </c>
      <c r="AH436" s="140" t="str">
        <f t="shared" si="432"/>
        <v>---</v>
      </c>
      <c r="AI436" s="140">
        <f t="shared" si="433"/>
        <v>999.99</v>
      </c>
      <c r="AJ436" s="263">
        <f t="shared" si="414"/>
        <v>0</v>
      </c>
      <c r="AK436" s="173" t="str">
        <f>WORKSHEET_CONSTR!F375</f>
        <v>---</v>
      </c>
      <c r="AL436" s="141" t="str">
        <f>IF(WORKSHEET_CONSTR!P375="---","---",WORKSHEET_CONSTR!M375)</f>
        <v>---</v>
      </c>
      <c r="AM436" s="140">
        <f t="shared" si="434"/>
        <v>999.99</v>
      </c>
      <c r="AN436" s="263">
        <f t="shared" si="435"/>
        <v>0</v>
      </c>
      <c r="AO436" s="265"/>
      <c r="AP436" s="140" t="str">
        <f t="shared" si="436"/>
        <v>---</v>
      </c>
      <c r="AQ436" s="140" t="str">
        <f t="shared" si="415"/>
        <v>---</v>
      </c>
      <c r="AR436" s="140">
        <f t="shared" si="437"/>
        <v>999.99</v>
      </c>
      <c r="AS436" s="263">
        <f t="shared" si="416"/>
        <v>0</v>
      </c>
      <c r="AT436" s="140" t="str">
        <f>WORKSHEET_CONSTR!F375</f>
        <v>---</v>
      </c>
      <c r="AU436" s="140" t="str">
        <f>WORKSHEET_CONSTR!P439</f>
        <v>---</v>
      </c>
      <c r="AV436" s="140">
        <f t="shared" si="438"/>
        <v>999.99</v>
      </c>
      <c r="AW436" s="263">
        <f t="shared" si="417"/>
        <v>0</v>
      </c>
      <c r="AX436" s="267" t="str">
        <f>IF(INPUT!Q119&lt;&gt;0,INPUT!Q119,"---")</f>
        <v>---</v>
      </c>
      <c r="AY436" s="140" t="str">
        <f t="shared" si="418"/>
        <v>---</v>
      </c>
      <c r="AZ436" s="140">
        <f t="shared" si="439"/>
        <v>999.99</v>
      </c>
      <c r="BA436" s="263">
        <f t="shared" si="419"/>
        <v>0</v>
      </c>
      <c r="BB436" s="140" t="str">
        <f t="shared" si="440"/>
        <v>---</v>
      </c>
      <c r="BC436" s="140" t="str">
        <f>WORKSHEET_CONSTR!S375</f>
        <v>---</v>
      </c>
      <c r="BD436" s="140">
        <f t="shared" si="441"/>
        <v>999.99</v>
      </c>
      <c r="BE436" s="263">
        <f t="shared" si="420"/>
        <v>0</v>
      </c>
      <c r="BF436" s="265"/>
      <c r="BG436" s="140" t="str">
        <f t="shared" si="442"/>
        <v>---</v>
      </c>
      <c r="BH436" s="140" t="str">
        <f t="shared" si="421"/>
        <v>---</v>
      </c>
      <c r="BI436" s="140">
        <f t="shared" si="443"/>
        <v>999.99</v>
      </c>
      <c r="BJ436" s="263">
        <f t="shared" si="422"/>
        <v>0</v>
      </c>
      <c r="BK436" s="140" t="str">
        <f t="shared" si="444"/>
        <v>---</v>
      </c>
      <c r="BL436" s="140" t="str">
        <f>WORKSHEET_CONSTR!Q497</f>
        <v>---</v>
      </c>
      <c r="BM436" s="140">
        <f t="shared" si="445"/>
        <v>999.99</v>
      </c>
      <c r="BN436" s="263">
        <f t="shared" si="423"/>
        <v>0</v>
      </c>
    </row>
    <row r="437" spans="1:66">
      <c r="A437" s="438" t="str">
        <f t="shared" si="392"/>
        <v>---</v>
      </c>
      <c r="B437" s="294" t="str">
        <f t="shared" si="392"/>
        <v>---</v>
      </c>
      <c r="C437" s="294" t="str">
        <f t="shared" si="424"/>
        <v>---</v>
      </c>
      <c r="D437" s="294" t="str">
        <f t="shared" si="425"/>
        <v>---</v>
      </c>
      <c r="E437" s="294" t="str">
        <f t="shared" si="395"/>
        <v>---</v>
      </c>
      <c r="F437" s="294" t="str">
        <f t="shared" si="426"/>
        <v>---</v>
      </c>
      <c r="G437" s="291" t="str">
        <f>IF(A437="---","---",IF(Type_Reinf="g",$I$414,IF(AND(Type_Reinf="s",Type_Steel_Strip="s")=TRUE,$I$416,IF(C437&gt;=20,IF(Type_Reinf="s",$F$415,10*INPUT!$J$111/INPUT!$I$111),IF(Type_Reinf="s",MIN(1.2+LOG(Cu),2)-C437*((MIN(1.2+LOG(Cu),2)-TAN(RADIANS(PHI_reinf)))/20),20*(INPUT!$J$111/INPUT!$I$111)-10*(INPUT!$J$111/INPUT!$I$111)*C437/20)))))</f>
        <v>---</v>
      </c>
      <c r="H437" s="294" t="str">
        <f t="shared" si="427"/>
        <v>---</v>
      </c>
      <c r="I437" s="294" t="str">
        <f t="shared" si="398"/>
        <v>---</v>
      </c>
      <c r="J437" s="294" t="str">
        <f t="shared" si="428"/>
        <v>---</v>
      </c>
      <c r="K437" s="294" t="str">
        <f t="shared" si="399"/>
        <v>---</v>
      </c>
      <c r="L437" s="294" t="str">
        <f t="shared" si="400"/>
        <v>---</v>
      </c>
      <c r="M437" s="294" t="str">
        <f t="shared" si="401"/>
        <v>---</v>
      </c>
      <c r="N437" s="291" t="str">
        <f t="shared" si="402"/>
        <v>---</v>
      </c>
      <c r="O437" s="294" t="str">
        <f t="shared" si="403"/>
        <v>---</v>
      </c>
      <c r="P437" s="294" t="str">
        <f t="shared" si="404"/>
        <v>---</v>
      </c>
      <c r="Q437" s="441" t="str">
        <f t="shared" si="405"/>
        <v>---</v>
      </c>
      <c r="R437" s="291" t="str">
        <f t="shared" si="429"/>
        <v>---</v>
      </c>
      <c r="S437" s="294" t="str">
        <f t="shared" si="430"/>
        <v>---</v>
      </c>
      <c r="T437" s="294" t="str">
        <f t="shared" si="406"/>
        <v>---</v>
      </c>
      <c r="U437" s="438" t="str">
        <f t="shared" si="431"/>
        <v>---</v>
      </c>
      <c r="V437" s="476" t="str">
        <f t="shared" si="407"/>
        <v>---</v>
      </c>
      <c r="W437" s="291" t="str">
        <f t="shared" si="408"/>
        <v>---</v>
      </c>
      <c r="X437" s="484"/>
      <c r="AC437" s="17" t="str">
        <f t="shared" si="409"/>
        <v>---</v>
      </c>
      <c r="AD437" s="17" t="str">
        <f t="shared" si="410"/>
        <v>---</v>
      </c>
      <c r="AE437" s="471">
        <f t="shared" si="411"/>
        <v>0</v>
      </c>
      <c r="AF437" s="471">
        <f t="shared" si="412"/>
        <v>0</v>
      </c>
      <c r="AG437" s="140" t="str">
        <f t="shared" si="413"/>
        <v>---</v>
      </c>
      <c r="AH437" s="140" t="str">
        <f t="shared" si="432"/>
        <v>---</v>
      </c>
      <c r="AI437" s="140">
        <f t="shared" si="433"/>
        <v>999.99</v>
      </c>
      <c r="AJ437" s="263">
        <f t="shared" si="414"/>
        <v>0</v>
      </c>
      <c r="AK437" s="173" t="str">
        <f>WORKSHEET_CONSTR!F376</f>
        <v>---</v>
      </c>
      <c r="AL437" s="141" t="str">
        <f>IF(WORKSHEET_CONSTR!P376="---","---",WORKSHEET_CONSTR!M376)</f>
        <v>---</v>
      </c>
      <c r="AM437" s="140">
        <f t="shared" si="434"/>
        <v>999.99</v>
      </c>
      <c r="AN437" s="263">
        <f t="shared" si="435"/>
        <v>0</v>
      </c>
      <c r="AO437" s="265"/>
      <c r="AP437" s="140" t="str">
        <f t="shared" si="436"/>
        <v>---</v>
      </c>
      <c r="AQ437" s="140" t="str">
        <f t="shared" si="415"/>
        <v>---</v>
      </c>
      <c r="AR437" s="140">
        <f t="shared" si="437"/>
        <v>999.99</v>
      </c>
      <c r="AS437" s="263">
        <f t="shared" si="416"/>
        <v>0</v>
      </c>
      <c r="AT437" s="140" t="str">
        <f>WORKSHEET_CONSTR!F376</f>
        <v>---</v>
      </c>
      <c r="AU437" s="140" t="str">
        <f>WORKSHEET_CONSTR!P440</f>
        <v>---</v>
      </c>
      <c r="AV437" s="140">
        <f t="shared" si="438"/>
        <v>999.99</v>
      </c>
      <c r="AW437" s="263">
        <f t="shared" si="417"/>
        <v>0</v>
      </c>
      <c r="AX437" s="267" t="str">
        <f>IF(INPUT!Q120&lt;&gt;0,INPUT!Q120,"---")</f>
        <v>---</v>
      </c>
      <c r="AY437" s="140" t="str">
        <f t="shared" si="418"/>
        <v>---</v>
      </c>
      <c r="AZ437" s="140">
        <f t="shared" si="439"/>
        <v>999.99</v>
      </c>
      <c r="BA437" s="263">
        <f t="shared" si="419"/>
        <v>0</v>
      </c>
      <c r="BB437" s="140" t="str">
        <f t="shared" si="440"/>
        <v>---</v>
      </c>
      <c r="BC437" s="140" t="str">
        <f>WORKSHEET_CONSTR!S376</f>
        <v>---</v>
      </c>
      <c r="BD437" s="140">
        <f t="shared" si="441"/>
        <v>999.99</v>
      </c>
      <c r="BE437" s="263">
        <f t="shared" si="420"/>
        <v>0</v>
      </c>
      <c r="BF437" s="265"/>
      <c r="BG437" s="140" t="str">
        <f t="shared" si="442"/>
        <v>---</v>
      </c>
      <c r="BH437" s="140" t="str">
        <f t="shared" si="421"/>
        <v>---</v>
      </c>
      <c r="BI437" s="140">
        <f t="shared" si="443"/>
        <v>999.99</v>
      </c>
      <c r="BJ437" s="263">
        <f t="shared" si="422"/>
        <v>0</v>
      </c>
      <c r="BK437" s="140" t="str">
        <f t="shared" si="444"/>
        <v>---</v>
      </c>
      <c r="BL437" s="140" t="str">
        <f>WORKSHEET_CONSTR!Q498</f>
        <v>---</v>
      </c>
      <c r="BM437" s="140">
        <f t="shared" si="445"/>
        <v>999.99</v>
      </c>
      <c r="BN437" s="263">
        <f t="shared" si="423"/>
        <v>0</v>
      </c>
    </row>
    <row r="438" spans="1:66">
      <c r="A438" s="438" t="str">
        <f t="shared" si="392"/>
        <v>---</v>
      </c>
      <c r="B438" s="294" t="str">
        <f t="shared" si="392"/>
        <v>---</v>
      </c>
      <c r="C438" s="294" t="str">
        <f t="shared" si="424"/>
        <v>---</v>
      </c>
      <c r="D438" s="294" t="str">
        <f t="shared" si="425"/>
        <v>---</v>
      </c>
      <c r="E438" s="294" t="str">
        <f t="shared" si="395"/>
        <v>---</v>
      </c>
      <c r="F438" s="294" t="str">
        <f t="shared" si="426"/>
        <v>---</v>
      </c>
      <c r="G438" s="291" t="str">
        <f>IF(A438="---","---",IF(Type_Reinf="g",$I$414,IF(AND(Type_Reinf="s",Type_Steel_Strip="s")=TRUE,$I$416,IF(C438&gt;=20,IF(Type_Reinf="s",$F$415,10*INPUT!$J$111/INPUT!$I$111),IF(Type_Reinf="s",MIN(1.2+LOG(Cu),2)-C438*((MIN(1.2+LOG(Cu),2)-TAN(RADIANS(PHI_reinf)))/20),20*(INPUT!$J$111/INPUT!$I$111)-10*(INPUT!$J$111/INPUT!$I$111)*C438/20)))))</f>
        <v>---</v>
      </c>
      <c r="H438" s="294" t="str">
        <f t="shared" si="427"/>
        <v>---</v>
      </c>
      <c r="I438" s="294" t="str">
        <f t="shared" si="398"/>
        <v>---</v>
      </c>
      <c r="J438" s="294" t="str">
        <f t="shared" si="428"/>
        <v>---</v>
      </c>
      <c r="K438" s="294" t="str">
        <f t="shared" si="399"/>
        <v>---</v>
      </c>
      <c r="L438" s="294" t="str">
        <f t="shared" si="400"/>
        <v>---</v>
      </c>
      <c r="M438" s="294" t="str">
        <f t="shared" si="401"/>
        <v>---</v>
      </c>
      <c r="N438" s="291" t="str">
        <f t="shared" si="402"/>
        <v>---</v>
      </c>
      <c r="O438" s="294" t="str">
        <f t="shared" si="403"/>
        <v>---</v>
      </c>
      <c r="P438" s="294" t="str">
        <f t="shared" si="404"/>
        <v>---</v>
      </c>
      <c r="Q438" s="441" t="str">
        <f t="shared" si="405"/>
        <v>---</v>
      </c>
      <c r="R438" s="291" t="str">
        <f t="shared" si="429"/>
        <v>---</v>
      </c>
      <c r="S438" s="294" t="str">
        <f t="shared" si="430"/>
        <v>---</v>
      </c>
      <c r="T438" s="294" t="str">
        <f t="shared" si="406"/>
        <v>---</v>
      </c>
      <c r="U438" s="438" t="str">
        <f t="shared" si="431"/>
        <v>---</v>
      </c>
      <c r="V438" s="476" t="str">
        <f t="shared" si="407"/>
        <v>---</v>
      </c>
      <c r="W438" s="291" t="str">
        <f t="shared" si="408"/>
        <v>---</v>
      </c>
      <c r="X438" s="484"/>
      <c r="AC438" s="17" t="str">
        <f t="shared" si="409"/>
        <v>---</v>
      </c>
      <c r="AD438" s="17" t="str">
        <f t="shared" si="410"/>
        <v>---</v>
      </c>
      <c r="AE438" s="471">
        <f t="shared" si="411"/>
        <v>0</v>
      </c>
      <c r="AF438" s="471">
        <f t="shared" si="412"/>
        <v>0</v>
      </c>
      <c r="AG438" s="140" t="str">
        <f t="shared" si="413"/>
        <v>---</v>
      </c>
      <c r="AH438" s="140" t="str">
        <f t="shared" si="432"/>
        <v>---</v>
      </c>
      <c r="AI438" s="140">
        <f t="shared" si="433"/>
        <v>999.99</v>
      </c>
      <c r="AJ438" s="263">
        <f t="shared" si="414"/>
        <v>0</v>
      </c>
      <c r="AK438" s="173" t="str">
        <f>WORKSHEET_CONSTR!F377</f>
        <v>---</v>
      </c>
      <c r="AL438" s="141" t="str">
        <f>IF(WORKSHEET_CONSTR!P377="---","---",WORKSHEET_CONSTR!M377)</f>
        <v>---</v>
      </c>
      <c r="AM438" s="140">
        <f t="shared" si="434"/>
        <v>999.99</v>
      </c>
      <c r="AN438" s="263">
        <f t="shared" si="435"/>
        <v>0</v>
      </c>
      <c r="AO438" s="265"/>
      <c r="AP438" s="140" t="str">
        <f t="shared" si="436"/>
        <v>---</v>
      </c>
      <c r="AQ438" s="140" t="str">
        <f t="shared" si="415"/>
        <v>---</v>
      </c>
      <c r="AR438" s="140">
        <f t="shared" si="437"/>
        <v>999.99</v>
      </c>
      <c r="AS438" s="263">
        <f t="shared" si="416"/>
        <v>0</v>
      </c>
      <c r="AT438" s="140" t="str">
        <f>WORKSHEET_CONSTR!F377</f>
        <v>---</v>
      </c>
      <c r="AU438" s="140" t="str">
        <f>WORKSHEET_CONSTR!P441</f>
        <v>---</v>
      </c>
      <c r="AV438" s="140">
        <f t="shared" si="438"/>
        <v>999.99</v>
      </c>
      <c r="AW438" s="263">
        <f t="shared" si="417"/>
        <v>0</v>
      </c>
      <c r="AX438" s="267" t="str">
        <f>IF(INPUT!Q121&lt;&gt;0,INPUT!Q121,"---")</f>
        <v>---</v>
      </c>
      <c r="AY438" s="140" t="str">
        <f t="shared" si="418"/>
        <v>---</v>
      </c>
      <c r="AZ438" s="140">
        <f t="shared" si="439"/>
        <v>999.99</v>
      </c>
      <c r="BA438" s="263">
        <f t="shared" si="419"/>
        <v>0</v>
      </c>
      <c r="BB438" s="140" t="str">
        <f t="shared" si="440"/>
        <v>---</v>
      </c>
      <c r="BC438" s="140" t="str">
        <f>WORKSHEET_CONSTR!S377</f>
        <v>---</v>
      </c>
      <c r="BD438" s="140">
        <f t="shared" si="441"/>
        <v>999.99</v>
      </c>
      <c r="BE438" s="263">
        <f t="shared" si="420"/>
        <v>0</v>
      </c>
      <c r="BF438" s="265"/>
      <c r="BG438" s="140" t="str">
        <f t="shared" si="442"/>
        <v>---</v>
      </c>
      <c r="BH438" s="140" t="str">
        <f t="shared" si="421"/>
        <v>---</v>
      </c>
      <c r="BI438" s="140">
        <f t="shared" si="443"/>
        <v>999.99</v>
      </c>
      <c r="BJ438" s="263">
        <f t="shared" si="422"/>
        <v>0</v>
      </c>
      <c r="BK438" s="140" t="str">
        <f t="shared" si="444"/>
        <v>---</v>
      </c>
      <c r="BL438" s="140" t="str">
        <f>WORKSHEET_CONSTR!Q499</f>
        <v>---</v>
      </c>
      <c r="BM438" s="140">
        <f t="shared" si="445"/>
        <v>999.99</v>
      </c>
      <c r="BN438" s="263">
        <f t="shared" si="423"/>
        <v>0</v>
      </c>
    </row>
    <row r="439" spans="1:66">
      <c r="A439" s="438" t="str">
        <f t="shared" si="392"/>
        <v>---</v>
      </c>
      <c r="B439" s="294" t="str">
        <f t="shared" si="392"/>
        <v>---</v>
      </c>
      <c r="C439" s="294" t="str">
        <f t="shared" si="424"/>
        <v>---</v>
      </c>
      <c r="D439" s="294" t="str">
        <f t="shared" si="425"/>
        <v>---</v>
      </c>
      <c r="E439" s="294" t="str">
        <f t="shared" si="395"/>
        <v>---</v>
      </c>
      <c r="F439" s="294" t="str">
        <f t="shared" si="426"/>
        <v>---</v>
      </c>
      <c r="G439" s="291" t="str">
        <f>IF(A439="---","---",IF(Type_Reinf="g",$I$414,IF(AND(Type_Reinf="s",Type_Steel_Strip="s")=TRUE,$I$416,IF(C439&gt;=20,IF(Type_Reinf="s",$F$415,10*INPUT!$J$111/INPUT!$I$111),IF(Type_Reinf="s",MIN(1.2+LOG(Cu),2)-C439*((MIN(1.2+LOG(Cu),2)-TAN(RADIANS(PHI_reinf)))/20),20*(INPUT!$J$111/INPUT!$I$111)-10*(INPUT!$J$111/INPUT!$I$111)*C439/20)))))</f>
        <v>---</v>
      </c>
      <c r="H439" s="294" t="str">
        <f t="shared" si="427"/>
        <v>---</v>
      </c>
      <c r="I439" s="294" t="str">
        <f t="shared" si="398"/>
        <v>---</v>
      </c>
      <c r="J439" s="294" t="str">
        <f t="shared" si="428"/>
        <v>---</v>
      </c>
      <c r="K439" s="294" t="str">
        <f t="shared" si="399"/>
        <v>---</v>
      </c>
      <c r="L439" s="294" t="str">
        <f t="shared" si="400"/>
        <v>---</v>
      </c>
      <c r="M439" s="294" t="str">
        <f t="shared" si="401"/>
        <v>---</v>
      </c>
      <c r="N439" s="291" t="str">
        <f t="shared" si="402"/>
        <v>---</v>
      </c>
      <c r="O439" s="294" t="str">
        <f t="shared" si="403"/>
        <v>---</v>
      </c>
      <c r="P439" s="294" t="str">
        <f t="shared" si="404"/>
        <v>---</v>
      </c>
      <c r="Q439" s="441" t="str">
        <f t="shared" si="405"/>
        <v>---</v>
      </c>
      <c r="R439" s="291" t="str">
        <f t="shared" si="429"/>
        <v>---</v>
      </c>
      <c r="S439" s="294" t="str">
        <f t="shared" si="430"/>
        <v>---</v>
      </c>
      <c r="T439" s="294" t="str">
        <f t="shared" si="406"/>
        <v>---</v>
      </c>
      <c r="U439" s="438" t="str">
        <f t="shared" si="431"/>
        <v>---</v>
      </c>
      <c r="V439" s="476" t="str">
        <f t="shared" si="407"/>
        <v>---</v>
      </c>
      <c r="W439" s="291" t="str">
        <f t="shared" si="408"/>
        <v>---</v>
      </c>
      <c r="X439" s="484"/>
      <c r="AC439" s="17" t="str">
        <f t="shared" si="409"/>
        <v>---</v>
      </c>
      <c r="AD439" s="17" t="str">
        <f t="shared" si="410"/>
        <v>---</v>
      </c>
      <c r="AE439" s="471">
        <f t="shared" si="411"/>
        <v>0</v>
      </c>
      <c r="AF439" s="471">
        <f t="shared" si="412"/>
        <v>0</v>
      </c>
      <c r="AG439" s="140" t="str">
        <f t="shared" si="413"/>
        <v>---</v>
      </c>
      <c r="AH439" s="140" t="str">
        <f t="shared" si="432"/>
        <v>---</v>
      </c>
      <c r="AI439" s="140">
        <f t="shared" si="433"/>
        <v>999.99</v>
      </c>
      <c r="AJ439" s="263">
        <f t="shared" si="414"/>
        <v>0</v>
      </c>
      <c r="AK439" s="173" t="str">
        <f>WORKSHEET_CONSTR!F378</f>
        <v>---</v>
      </c>
      <c r="AL439" s="141" t="str">
        <f>IF(WORKSHEET_CONSTR!P378="---","---",WORKSHEET_CONSTR!M378)</f>
        <v>---</v>
      </c>
      <c r="AM439" s="140">
        <f t="shared" si="434"/>
        <v>999.99</v>
      </c>
      <c r="AN439" s="263">
        <f t="shared" si="435"/>
        <v>0</v>
      </c>
      <c r="AO439" s="265"/>
      <c r="AP439" s="140" t="str">
        <f t="shared" si="436"/>
        <v>---</v>
      </c>
      <c r="AQ439" s="140" t="str">
        <f t="shared" si="415"/>
        <v>---</v>
      </c>
      <c r="AR439" s="140">
        <f t="shared" si="437"/>
        <v>999.99</v>
      </c>
      <c r="AS439" s="263">
        <f t="shared" si="416"/>
        <v>0</v>
      </c>
      <c r="AT439" s="140" t="str">
        <f>WORKSHEET_CONSTR!F378</f>
        <v>---</v>
      </c>
      <c r="AU439" s="140" t="str">
        <f>WORKSHEET_CONSTR!P442</f>
        <v>---</v>
      </c>
      <c r="AV439" s="140">
        <f t="shared" si="438"/>
        <v>999.99</v>
      </c>
      <c r="AW439" s="263">
        <f t="shared" si="417"/>
        <v>0</v>
      </c>
      <c r="AX439" s="267" t="str">
        <f>IF(INPUT!Q122&lt;&gt;0,INPUT!Q122,"---")</f>
        <v>---</v>
      </c>
      <c r="AY439" s="140" t="str">
        <f t="shared" si="418"/>
        <v>---</v>
      </c>
      <c r="AZ439" s="140">
        <f t="shared" si="439"/>
        <v>999.99</v>
      </c>
      <c r="BA439" s="263">
        <f t="shared" si="419"/>
        <v>0</v>
      </c>
      <c r="BB439" s="140" t="str">
        <f t="shared" si="440"/>
        <v>---</v>
      </c>
      <c r="BC439" s="140" t="str">
        <f>WORKSHEET_CONSTR!S378</f>
        <v>---</v>
      </c>
      <c r="BD439" s="140">
        <f t="shared" si="441"/>
        <v>999.99</v>
      </c>
      <c r="BE439" s="263">
        <f t="shared" si="420"/>
        <v>0</v>
      </c>
      <c r="BF439" s="265"/>
      <c r="BG439" s="140" t="str">
        <f t="shared" si="442"/>
        <v>---</v>
      </c>
      <c r="BH439" s="140" t="str">
        <f t="shared" si="421"/>
        <v>---</v>
      </c>
      <c r="BI439" s="140">
        <f t="shared" si="443"/>
        <v>999.99</v>
      </c>
      <c r="BJ439" s="263">
        <f t="shared" si="422"/>
        <v>0</v>
      </c>
      <c r="BK439" s="140" t="str">
        <f t="shared" si="444"/>
        <v>---</v>
      </c>
      <c r="BL439" s="140" t="str">
        <f>WORKSHEET_CONSTR!Q500</f>
        <v>---</v>
      </c>
      <c r="BM439" s="140">
        <f t="shared" si="445"/>
        <v>999.99</v>
      </c>
      <c r="BN439" s="263">
        <f t="shared" si="423"/>
        <v>0</v>
      </c>
    </row>
    <row r="440" spans="1:66">
      <c r="A440" s="438" t="str">
        <f t="shared" si="392"/>
        <v>---</v>
      </c>
      <c r="B440" s="294" t="str">
        <f t="shared" si="392"/>
        <v>---</v>
      </c>
      <c r="C440" s="294" t="str">
        <f t="shared" si="424"/>
        <v>---</v>
      </c>
      <c r="D440" s="294" t="str">
        <f t="shared" si="425"/>
        <v>---</v>
      </c>
      <c r="E440" s="294" t="str">
        <f t="shared" si="395"/>
        <v>---</v>
      </c>
      <c r="F440" s="294" t="str">
        <f t="shared" si="426"/>
        <v>---</v>
      </c>
      <c r="G440" s="291" t="str">
        <f>IF(A440="---","---",IF(Type_Reinf="g",$I$414,IF(AND(Type_Reinf="s",Type_Steel_Strip="s")=TRUE,$I$416,IF(C440&gt;=20,IF(Type_Reinf="s",$F$415,10*INPUT!$J$111/INPUT!$I$111),IF(Type_Reinf="s",MIN(1.2+LOG(Cu),2)-C440*((MIN(1.2+LOG(Cu),2)-TAN(RADIANS(PHI_reinf)))/20),20*(INPUT!$J$111/INPUT!$I$111)-10*(INPUT!$J$111/INPUT!$I$111)*C440/20)))))</f>
        <v>---</v>
      </c>
      <c r="H440" s="294" t="str">
        <f t="shared" si="427"/>
        <v>---</v>
      </c>
      <c r="I440" s="294" t="str">
        <f t="shared" si="398"/>
        <v>---</v>
      </c>
      <c r="J440" s="294" t="str">
        <f t="shared" si="428"/>
        <v>---</v>
      </c>
      <c r="K440" s="294" t="str">
        <f t="shared" si="399"/>
        <v>---</v>
      </c>
      <c r="L440" s="294" t="str">
        <f t="shared" si="400"/>
        <v>---</v>
      </c>
      <c r="M440" s="294" t="str">
        <f t="shared" si="401"/>
        <v>---</v>
      </c>
      <c r="N440" s="291" t="str">
        <f t="shared" si="402"/>
        <v>---</v>
      </c>
      <c r="O440" s="294" t="str">
        <f t="shared" si="403"/>
        <v>---</v>
      </c>
      <c r="P440" s="294" t="str">
        <f t="shared" si="404"/>
        <v>---</v>
      </c>
      <c r="Q440" s="441" t="str">
        <f t="shared" si="405"/>
        <v>---</v>
      </c>
      <c r="R440" s="291" t="str">
        <f t="shared" si="429"/>
        <v>---</v>
      </c>
      <c r="S440" s="294" t="str">
        <f t="shared" si="430"/>
        <v>---</v>
      </c>
      <c r="T440" s="294" t="str">
        <f t="shared" si="406"/>
        <v>---</v>
      </c>
      <c r="U440" s="438" t="str">
        <f t="shared" si="431"/>
        <v>---</v>
      </c>
      <c r="V440" s="476" t="str">
        <f t="shared" si="407"/>
        <v>---</v>
      </c>
      <c r="W440" s="291" t="str">
        <f t="shared" si="408"/>
        <v>---</v>
      </c>
      <c r="X440" s="484"/>
      <c r="AC440" s="17" t="str">
        <f t="shared" si="409"/>
        <v>---</v>
      </c>
      <c r="AD440" s="17" t="str">
        <f t="shared" si="410"/>
        <v>---</v>
      </c>
      <c r="AE440" s="471">
        <f t="shared" si="411"/>
        <v>0</v>
      </c>
      <c r="AF440" s="471">
        <f t="shared" si="412"/>
        <v>0</v>
      </c>
      <c r="AG440" s="140" t="str">
        <f t="shared" si="413"/>
        <v>---</v>
      </c>
      <c r="AH440" s="140" t="str">
        <f t="shared" si="432"/>
        <v>---</v>
      </c>
      <c r="AI440" s="140">
        <f t="shared" si="433"/>
        <v>999.99</v>
      </c>
      <c r="AJ440" s="263">
        <f t="shared" si="414"/>
        <v>0</v>
      </c>
      <c r="AK440" s="173" t="str">
        <f>WORKSHEET_CONSTR!F379</f>
        <v>---</v>
      </c>
      <c r="AL440" s="141" t="str">
        <f>IF(WORKSHEET_CONSTR!P379="---","---",WORKSHEET_CONSTR!M379)</f>
        <v>---</v>
      </c>
      <c r="AM440" s="140">
        <f t="shared" si="434"/>
        <v>999.99</v>
      </c>
      <c r="AN440" s="263">
        <f t="shared" si="435"/>
        <v>0</v>
      </c>
      <c r="AO440" s="265"/>
      <c r="AP440" s="140" t="str">
        <f t="shared" si="436"/>
        <v>---</v>
      </c>
      <c r="AQ440" s="140" t="str">
        <f t="shared" si="415"/>
        <v>---</v>
      </c>
      <c r="AR440" s="140">
        <f t="shared" si="437"/>
        <v>999.99</v>
      </c>
      <c r="AS440" s="263">
        <f t="shared" si="416"/>
        <v>0</v>
      </c>
      <c r="AT440" s="140" t="str">
        <f>WORKSHEET_CONSTR!F379</f>
        <v>---</v>
      </c>
      <c r="AU440" s="140" t="str">
        <f>WORKSHEET_CONSTR!P443</f>
        <v>---</v>
      </c>
      <c r="AV440" s="140">
        <f t="shared" si="438"/>
        <v>999.99</v>
      </c>
      <c r="AW440" s="263">
        <f t="shared" si="417"/>
        <v>0</v>
      </c>
      <c r="AX440" s="267" t="str">
        <f>IF(INPUT!Q123&lt;&gt;0,INPUT!Q123,"---")</f>
        <v>---</v>
      </c>
      <c r="AY440" s="140" t="str">
        <f t="shared" si="418"/>
        <v>---</v>
      </c>
      <c r="AZ440" s="140">
        <f t="shared" si="439"/>
        <v>999.99</v>
      </c>
      <c r="BA440" s="263">
        <f t="shared" si="419"/>
        <v>0</v>
      </c>
      <c r="BB440" s="140" t="str">
        <f t="shared" si="440"/>
        <v>---</v>
      </c>
      <c r="BC440" s="140" t="str">
        <f>WORKSHEET_CONSTR!S379</f>
        <v>---</v>
      </c>
      <c r="BD440" s="140">
        <f t="shared" si="441"/>
        <v>999.99</v>
      </c>
      <c r="BE440" s="263">
        <f t="shared" si="420"/>
        <v>0</v>
      </c>
      <c r="BF440" s="265"/>
      <c r="BG440" s="140" t="str">
        <f t="shared" si="442"/>
        <v>---</v>
      </c>
      <c r="BH440" s="140" t="str">
        <f t="shared" si="421"/>
        <v>---</v>
      </c>
      <c r="BI440" s="140">
        <f t="shared" si="443"/>
        <v>999.99</v>
      </c>
      <c r="BJ440" s="263">
        <f t="shared" si="422"/>
        <v>0</v>
      </c>
      <c r="BK440" s="140" t="str">
        <f t="shared" si="444"/>
        <v>---</v>
      </c>
      <c r="BL440" s="140" t="str">
        <f>WORKSHEET_CONSTR!Q501</f>
        <v>---</v>
      </c>
      <c r="BM440" s="140">
        <f t="shared" si="445"/>
        <v>999.99</v>
      </c>
      <c r="BN440" s="263">
        <f t="shared" si="423"/>
        <v>0</v>
      </c>
    </row>
    <row r="441" spans="1:66">
      <c r="A441" s="438" t="str">
        <f t="shared" si="392"/>
        <v>---</v>
      </c>
      <c r="B441" s="294" t="str">
        <f t="shared" si="392"/>
        <v>---</v>
      </c>
      <c r="C441" s="294" t="str">
        <f t="shared" si="424"/>
        <v>---</v>
      </c>
      <c r="D441" s="294" t="str">
        <f t="shared" si="425"/>
        <v>---</v>
      </c>
      <c r="E441" s="294" t="str">
        <f t="shared" si="395"/>
        <v>---</v>
      </c>
      <c r="F441" s="294" t="str">
        <f t="shared" si="426"/>
        <v>---</v>
      </c>
      <c r="G441" s="291" t="str">
        <f>IF(A441="---","---",IF(Type_Reinf="g",$I$414,IF(AND(Type_Reinf="s",Type_Steel_Strip="s")=TRUE,$I$416,IF(C441&gt;=20,IF(Type_Reinf="s",$F$415,10*INPUT!$J$111/INPUT!$I$111),IF(Type_Reinf="s",MIN(1.2+LOG(Cu),2)-C441*((MIN(1.2+LOG(Cu),2)-TAN(RADIANS(PHI_reinf)))/20),20*(INPUT!$J$111/INPUT!$I$111)-10*(INPUT!$J$111/INPUT!$I$111)*C441/20)))))</f>
        <v>---</v>
      </c>
      <c r="H441" s="294" t="str">
        <f t="shared" si="427"/>
        <v>---</v>
      </c>
      <c r="I441" s="294" t="str">
        <f t="shared" si="398"/>
        <v>---</v>
      </c>
      <c r="J441" s="294" t="str">
        <f t="shared" si="428"/>
        <v>---</v>
      </c>
      <c r="K441" s="294" t="str">
        <f t="shared" si="399"/>
        <v>---</v>
      </c>
      <c r="L441" s="294" t="str">
        <f t="shared" si="400"/>
        <v>---</v>
      </c>
      <c r="M441" s="294" t="str">
        <f t="shared" si="401"/>
        <v>---</v>
      </c>
      <c r="N441" s="291" t="str">
        <f t="shared" si="402"/>
        <v>---</v>
      </c>
      <c r="O441" s="294" t="str">
        <f t="shared" si="403"/>
        <v>---</v>
      </c>
      <c r="P441" s="294" t="str">
        <f t="shared" si="404"/>
        <v>---</v>
      </c>
      <c r="Q441" s="441" t="str">
        <f t="shared" si="405"/>
        <v>---</v>
      </c>
      <c r="R441" s="291" t="str">
        <f t="shared" si="429"/>
        <v>---</v>
      </c>
      <c r="S441" s="294" t="str">
        <f t="shared" si="430"/>
        <v>---</v>
      </c>
      <c r="T441" s="294" t="str">
        <f t="shared" si="406"/>
        <v>---</v>
      </c>
      <c r="U441" s="438" t="str">
        <f t="shared" si="431"/>
        <v>---</v>
      </c>
      <c r="V441" s="476" t="str">
        <f t="shared" si="407"/>
        <v>---</v>
      </c>
      <c r="W441" s="291" t="str">
        <f t="shared" si="408"/>
        <v>---</v>
      </c>
      <c r="X441" s="484"/>
      <c r="AC441" s="17" t="str">
        <f t="shared" si="409"/>
        <v>---</v>
      </c>
      <c r="AD441" s="17" t="str">
        <f t="shared" si="410"/>
        <v>---</v>
      </c>
      <c r="AE441" s="471">
        <f t="shared" si="411"/>
        <v>0</v>
      </c>
      <c r="AF441" s="471">
        <f t="shared" si="412"/>
        <v>0</v>
      </c>
      <c r="AG441" s="140" t="str">
        <f t="shared" si="413"/>
        <v>---</v>
      </c>
      <c r="AH441" s="140" t="str">
        <f t="shared" si="432"/>
        <v>---</v>
      </c>
      <c r="AI441" s="140">
        <f t="shared" si="433"/>
        <v>999.99</v>
      </c>
      <c r="AJ441" s="263">
        <f t="shared" si="414"/>
        <v>0</v>
      </c>
      <c r="AK441" s="173" t="str">
        <f>WORKSHEET_CONSTR!F380</f>
        <v>---</v>
      </c>
      <c r="AL441" s="141" t="str">
        <f>IF(WORKSHEET_CONSTR!P380="---","---",WORKSHEET_CONSTR!M380)</f>
        <v>---</v>
      </c>
      <c r="AM441" s="140">
        <f t="shared" si="434"/>
        <v>999.99</v>
      </c>
      <c r="AN441" s="263">
        <f t="shared" si="435"/>
        <v>0</v>
      </c>
      <c r="AO441" s="265"/>
      <c r="AP441" s="140" t="str">
        <f t="shared" si="436"/>
        <v>---</v>
      </c>
      <c r="AQ441" s="140" t="str">
        <f t="shared" si="415"/>
        <v>---</v>
      </c>
      <c r="AR441" s="140">
        <f t="shared" si="437"/>
        <v>999.99</v>
      </c>
      <c r="AS441" s="263">
        <f t="shared" si="416"/>
        <v>0</v>
      </c>
      <c r="AT441" s="140" t="str">
        <f>WORKSHEET_CONSTR!F380</f>
        <v>---</v>
      </c>
      <c r="AU441" s="140" t="str">
        <f>WORKSHEET_CONSTR!P444</f>
        <v>---</v>
      </c>
      <c r="AV441" s="140">
        <f t="shared" si="438"/>
        <v>999.99</v>
      </c>
      <c r="AW441" s="263">
        <f t="shared" si="417"/>
        <v>0</v>
      </c>
      <c r="AX441" s="267" t="str">
        <f>IF(INPUT!Q124&lt;&gt;0,INPUT!Q124,"---")</f>
        <v>---</v>
      </c>
      <c r="AY441" s="140" t="str">
        <f t="shared" si="418"/>
        <v>---</v>
      </c>
      <c r="AZ441" s="140">
        <f t="shared" si="439"/>
        <v>999.99</v>
      </c>
      <c r="BA441" s="263">
        <f t="shared" si="419"/>
        <v>0</v>
      </c>
      <c r="BB441" s="140" t="str">
        <f t="shared" si="440"/>
        <v>---</v>
      </c>
      <c r="BC441" s="140" t="str">
        <f>WORKSHEET_CONSTR!S380</f>
        <v>---</v>
      </c>
      <c r="BD441" s="140">
        <f t="shared" si="441"/>
        <v>999.99</v>
      </c>
      <c r="BE441" s="263">
        <f t="shared" si="420"/>
        <v>0</v>
      </c>
      <c r="BF441" s="265"/>
      <c r="BG441" s="140" t="str">
        <f t="shared" si="442"/>
        <v>---</v>
      </c>
      <c r="BH441" s="140" t="str">
        <f t="shared" si="421"/>
        <v>---</v>
      </c>
      <c r="BI441" s="140">
        <f t="shared" si="443"/>
        <v>999.99</v>
      </c>
      <c r="BJ441" s="263">
        <f t="shared" si="422"/>
        <v>0</v>
      </c>
      <c r="BK441" s="140" t="str">
        <f t="shared" si="444"/>
        <v>---</v>
      </c>
      <c r="BL441" s="140" t="str">
        <f>WORKSHEET_CONSTR!Q502</f>
        <v>---</v>
      </c>
      <c r="BM441" s="140">
        <f t="shared" si="445"/>
        <v>999.99</v>
      </c>
      <c r="BN441" s="263">
        <f t="shared" si="423"/>
        <v>0</v>
      </c>
    </row>
    <row r="442" spans="1:66">
      <c r="A442" s="438" t="str">
        <f t="shared" si="392"/>
        <v>---</v>
      </c>
      <c r="B442" s="294" t="str">
        <f t="shared" si="392"/>
        <v>---</v>
      </c>
      <c r="C442" s="294" t="str">
        <f t="shared" si="424"/>
        <v>---</v>
      </c>
      <c r="D442" s="294" t="str">
        <f t="shared" si="425"/>
        <v>---</v>
      </c>
      <c r="E442" s="294" t="str">
        <f t="shared" si="395"/>
        <v>---</v>
      </c>
      <c r="F442" s="294" t="str">
        <f t="shared" si="426"/>
        <v>---</v>
      </c>
      <c r="G442" s="291" t="str">
        <f>IF(A442="---","---",IF(Type_Reinf="g",$I$414,IF(AND(Type_Reinf="s",Type_Steel_Strip="s")=TRUE,$I$416,IF(C442&gt;=20,IF(Type_Reinf="s",$F$415,10*INPUT!$J$111/INPUT!$I$111),IF(Type_Reinf="s",MIN(1.2+LOG(Cu),2)-C442*((MIN(1.2+LOG(Cu),2)-TAN(RADIANS(PHI_reinf)))/20),20*(INPUT!$J$111/INPUT!$I$111)-10*(INPUT!$J$111/INPUT!$I$111)*C442/20)))))</f>
        <v>---</v>
      </c>
      <c r="H442" s="294" t="str">
        <f t="shared" si="427"/>
        <v>---</v>
      </c>
      <c r="I442" s="294" t="str">
        <f t="shared" si="398"/>
        <v>---</v>
      </c>
      <c r="J442" s="294" t="str">
        <f t="shared" si="428"/>
        <v>---</v>
      </c>
      <c r="K442" s="294" t="str">
        <f t="shared" si="399"/>
        <v>---</v>
      </c>
      <c r="L442" s="294" t="str">
        <f t="shared" si="400"/>
        <v>---</v>
      </c>
      <c r="M442" s="294" t="str">
        <f t="shared" si="401"/>
        <v>---</v>
      </c>
      <c r="N442" s="291" t="str">
        <f t="shared" si="402"/>
        <v>---</v>
      </c>
      <c r="O442" s="294" t="str">
        <f t="shared" si="403"/>
        <v>---</v>
      </c>
      <c r="P442" s="294" t="str">
        <f t="shared" si="404"/>
        <v>---</v>
      </c>
      <c r="Q442" s="441" t="str">
        <f t="shared" si="405"/>
        <v>---</v>
      </c>
      <c r="R442" s="291" t="str">
        <f t="shared" si="429"/>
        <v>---</v>
      </c>
      <c r="S442" s="294" t="str">
        <f t="shared" si="430"/>
        <v>---</v>
      </c>
      <c r="T442" s="294" t="str">
        <f t="shared" si="406"/>
        <v>---</v>
      </c>
      <c r="U442" s="438" t="str">
        <f t="shared" si="431"/>
        <v>---</v>
      </c>
      <c r="V442" s="476" t="str">
        <f t="shared" si="407"/>
        <v>---</v>
      </c>
      <c r="W442" s="291" t="str">
        <f t="shared" si="408"/>
        <v>---</v>
      </c>
      <c r="X442" s="484"/>
      <c r="AC442" s="17" t="str">
        <f t="shared" si="409"/>
        <v>---</v>
      </c>
      <c r="AD442" s="17" t="str">
        <f t="shared" si="410"/>
        <v>---</v>
      </c>
      <c r="AE442" s="471">
        <f t="shared" si="411"/>
        <v>0</v>
      </c>
      <c r="AF442" s="471">
        <f t="shared" si="412"/>
        <v>0</v>
      </c>
      <c r="AG442" s="140" t="str">
        <f t="shared" si="413"/>
        <v>---</v>
      </c>
      <c r="AH442" s="140" t="str">
        <f t="shared" si="432"/>
        <v>---</v>
      </c>
      <c r="AI442" s="140">
        <f t="shared" si="433"/>
        <v>999.99</v>
      </c>
      <c r="AJ442" s="263">
        <f t="shared" si="414"/>
        <v>0</v>
      </c>
      <c r="AK442" s="173" t="str">
        <f>WORKSHEET_CONSTR!F381</f>
        <v>---</v>
      </c>
      <c r="AL442" s="141" t="str">
        <f>IF(WORKSHEET_CONSTR!P381="---","---",WORKSHEET_CONSTR!M381)</f>
        <v>---</v>
      </c>
      <c r="AM442" s="140">
        <f t="shared" si="434"/>
        <v>999.99</v>
      </c>
      <c r="AN442" s="263">
        <f t="shared" si="435"/>
        <v>0</v>
      </c>
      <c r="AO442" s="265"/>
      <c r="AP442" s="140" t="str">
        <f t="shared" si="436"/>
        <v>---</v>
      </c>
      <c r="AQ442" s="140" t="str">
        <f t="shared" si="415"/>
        <v>---</v>
      </c>
      <c r="AR442" s="140">
        <f t="shared" si="437"/>
        <v>999.99</v>
      </c>
      <c r="AS442" s="263">
        <f t="shared" si="416"/>
        <v>0</v>
      </c>
      <c r="AT442" s="140" t="str">
        <f>WORKSHEET_CONSTR!F381</f>
        <v>---</v>
      </c>
      <c r="AU442" s="140" t="str">
        <f>WORKSHEET_CONSTR!P445</f>
        <v>---</v>
      </c>
      <c r="AV442" s="140">
        <f t="shared" si="438"/>
        <v>999.99</v>
      </c>
      <c r="AW442" s="263">
        <f t="shared" si="417"/>
        <v>0</v>
      </c>
      <c r="AX442" s="267" t="str">
        <f>IF(INPUT!Q125&lt;&gt;0,INPUT!Q125,"---")</f>
        <v>---</v>
      </c>
      <c r="AY442" s="140" t="str">
        <f t="shared" si="418"/>
        <v>---</v>
      </c>
      <c r="AZ442" s="140">
        <f t="shared" si="439"/>
        <v>999.99</v>
      </c>
      <c r="BA442" s="263">
        <f t="shared" si="419"/>
        <v>0</v>
      </c>
      <c r="BB442" s="140" t="str">
        <f t="shared" si="440"/>
        <v>---</v>
      </c>
      <c r="BC442" s="140" t="str">
        <f>WORKSHEET_CONSTR!S381</f>
        <v>---</v>
      </c>
      <c r="BD442" s="140">
        <f t="shared" si="441"/>
        <v>999.99</v>
      </c>
      <c r="BE442" s="263">
        <f t="shared" si="420"/>
        <v>0</v>
      </c>
      <c r="BF442" s="265"/>
      <c r="BG442" s="140" t="str">
        <f t="shared" si="442"/>
        <v>---</v>
      </c>
      <c r="BH442" s="140" t="str">
        <f t="shared" si="421"/>
        <v>---</v>
      </c>
      <c r="BI442" s="140">
        <f t="shared" si="443"/>
        <v>999.99</v>
      </c>
      <c r="BJ442" s="263">
        <f t="shared" si="422"/>
        <v>0</v>
      </c>
      <c r="BK442" s="140" t="str">
        <f t="shared" si="444"/>
        <v>---</v>
      </c>
      <c r="BL442" s="140" t="str">
        <f>WORKSHEET_CONSTR!Q503</f>
        <v>---</v>
      </c>
      <c r="BM442" s="140">
        <f t="shared" si="445"/>
        <v>999.99</v>
      </c>
      <c r="BN442" s="263">
        <f t="shared" si="423"/>
        <v>0</v>
      </c>
    </row>
    <row r="443" spans="1:66">
      <c r="A443" s="438" t="str">
        <f t="shared" si="392"/>
        <v>---</v>
      </c>
      <c r="B443" s="294" t="str">
        <f t="shared" si="392"/>
        <v>---</v>
      </c>
      <c r="C443" s="294" t="str">
        <f t="shared" si="424"/>
        <v>---</v>
      </c>
      <c r="D443" s="294" t="str">
        <f t="shared" si="425"/>
        <v>---</v>
      </c>
      <c r="E443" s="294" t="str">
        <f t="shared" si="395"/>
        <v>---</v>
      </c>
      <c r="F443" s="294" t="str">
        <f t="shared" si="426"/>
        <v>---</v>
      </c>
      <c r="G443" s="291" t="str">
        <f>IF(A443="---","---",IF(Type_Reinf="g",$I$414,IF(AND(Type_Reinf="s",Type_Steel_Strip="s")=TRUE,$I$416,IF(C443&gt;=20,IF(Type_Reinf="s",$F$415,10*INPUT!$J$111/INPUT!$I$111),IF(Type_Reinf="s",MIN(1.2+LOG(Cu),2)-C443*((MIN(1.2+LOG(Cu),2)-TAN(RADIANS(PHI_reinf)))/20),20*(INPUT!$J$111/INPUT!$I$111)-10*(INPUT!$J$111/INPUT!$I$111)*C443/20)))))</f>
        <v>---</v>
      </c>
      <c r="H443" s="294" t="str">
        <f t="shared" si="427"/>
        <v>---</v>
      </c>
      <c r="I443" s="294" t="str">
        <f t="shared" si="398"/>
        <v>---</v>
      </c>
      <c r="J443" s="294" t="str">
        <f t="shared" si="428"/>
        <v>---</v>
      </c>
      <c r="K443" s="294" t="str">
        <f t="shared" si="399"/>
        <v>---</v>
      </c>
      <c r="L443" s="294" t="str">
        <f t="shared" si="400"/>
        <v>---</v>
      </c>
      <c r="M443" s="294" t="str">
        <f t="shared" si="401"/>
        <v>---</v>
      </c>
      <c r="N443" s="291" t="str">
        <f t="shared" si="402"/>
        <v>---</v>
      </c>
      <c r="O443" s="294" t="str">
        <f t="shared" si="403"/>
        <v>---</v>
      </c>
      <c r="P443" s="294" t="str">
        <f t="shared" si="404"/>
        <v>---</v>
      </c>
      <c r="Q443" s="441" t="str">
        <f t="shared" si="405"/>
        <v>---</v>
      </c>
      <c r="R443" s="291" t="str">
        <f t="shared" si="429"/>
        <v>---</v>
      </c>
      <c r="S443" s="294" t="str">
        <f t="shared" si="430"/>
        <v>---</v>
      </c>
      <c r="T443" s="294" t="str">
        <f t="shared" si="406"/>
        <v>---</v>
      </c>
      <c r="U443" s="438" t="str">
        <f t="shared" si="431"/>
        <v>---</v>
      </c>
      <c r="V443" s="476" t="str">
        <f t="shared" si="407"/>
        <v>---</v>
      </c>
      <c r="W443" s="291" t="str">
        <f t="shared" si="408"/>
        <v>---</v>
      </c>
      <c r="X443" s="484"/>
      <c r="AC443" s="17" t="str">
        <f t="shared" si="409"/>
        <v>---</v>
      </c>
      <c r="AD443" s="17" t="str">
        <f t="shared" si="410"/>
        <v>---</v>
      </c>
      <c r="AE443" s="471">
        <f t="shared" si="411"/>
        <v>0</v>
      </c>
      <c r="AF443" s="471">
        <f t="shared" si="412"/>
        <v>0</v>
      </c>
      <c r="AG443" s="140" t="str">
        <f t="shared" si="413"/>
        <v>---</v>
      </c>
      <c r="AH443" s="140" t="str">
        <f t="shared" si="432"/>
        <v>---</v>
      </c>
      <c r="AI443" s="140">
        <f t="shared" si="433"/>
        <v>999.99</v>
      </c>
      <c r="AJ443" s="263">
        <f t="shared" si="414"/>
        <v>0</v>
      </c>
      <c r="AK443" s="173" t="str">
        <f>WORKSHEET_CONSTR!F382</f>
        <v>---</v>
      </c>
      <c r="AL443" s="141" t="str">
        <f>IF(WORKSHEET_CONSTR!P382="---","---",WORKSHEET_CONSTR!M382)</f>
        <v>---</v>
      </c>
      <c r="AM443" s="140">
        <f t="shared" si="434"/>
        <v>999.99</v>
      </c>
      <c r="AN443" s="263">
        <f t="shared" si="435"/>
        <v>0</v>
      </c>
      <c r="AO443" s="265"/>
      <c r="AP443" s="140" t="str">
        <f t="shared" si="436"/>
        <v>---</v>
      </c>
      <c r="AQ443" s="140" t="str">
        <f t="shared" si="415"/>
        <v>---</v>
      </c>
      <c r="AR443" s="140">
        <f t="shared" si="437"/>
        <v>999.99</v>
      </c>
      <c r="AS443" s="263">
        <f t="shared" si="416"/>
        <v>0</v>
      </c>
      <c r="AT443" s="140" t="str">
        <f>WORKSHEET_CONSTR!F382</f>
        <v>---</v>
      </c>
      <c r="AU443" s="140" t="str">
        <f>WORKSHEET_CONSTR!P446</f>
        <v>---</v>
      </c>
      <c r="AV443" s="140">
        <f t="shared" si="438"/>
        <v>999.99</v>
      </c>
      <c r="AW443" s="263">
        <f t="shared" si="417"/>
        <v>0</v>
      </c>
      <c r="AX443" s="267" t="str">
        <f>IF(INPUT!Q126&lt;&gt;0,INPUT!Q126,"---")</f>
        <v>---</v>
      </c>
      <c r="AY443" s="140" t="str">
        <f t="shared" si="418"/>
        <v>---</v>
      </c>
      <c r="AZ443" s="140">
        <f t="shared" si="439"/>
        <v>999.99</v>
      </c>
      <c r="BA443" s="263">
        <f t="shared" si="419"/>
        <v>0</v>
      </c>
      <c r="BB443" s="140" t="str">
        <f t="shared" si="440"/>
        <v>---</v>
      </c>
      <c r="BC443" s="140" t="str">
        <f>WORKSHEET_CONSTR!S382</f>
        <v>---</v>
      </c>
      <c r="BD443" s="140">
        <f t="shared" si="441"/>
        <v>999.99</v>
      </c>
      <c r="BE443" s="263">
        <f t="shared" si="420"/>
        <v>0</v>
      </c>
      <c r="BF443" s="265"/>
      <c r="BG443" s="140" t="str">
        <f t="shared" si="442"/>
        <v>---</v>
      </c>
      <c r="BH443" s="140" t="str">
        <f t="shared" si="421"/>
        <v>---</v>
      </c>
      <c r="BI443" s="140">
        <f t="shared" si="443"/>
        <v>999.99</v>
      </c>
      <c r="BJ443" s="263">
        <f t="shared" si="422"/>
        <v>0</v>
      </c>
      <c r="BK443" s="140" t="str">
        <f t="shared" si="444"/>
        <v>---</v>
      </c>
      <c r="BL443" s="140" t="str">
        <f>WORKSHEET_CONSTR!Q504</f>
        <v>---</v>
      </c>
      <c r="BM443" s="140">
        <f t="shared" si="445"/>
        <v>999.99</v>
      </c>
      <c r="BN443" s="263">
        <f t="shared" si="423"/>
        <v>0</v>
      </c>
    </row>
    <row r="444" spans="1:66">
      <c r="A444" s="438" t="str">
        <f t="shared" si="392"/>
        <v>---</v>
      </c>
      <c r="B444" s="294" t="str">
        <f t="shared" si="392"/>
        <v>---</v>
      </c>
      <c r="C444" s="294" t="str">
        <f t="shared" si="424"/>
        <v>---</v>
      </c>
      <c r="D444" s="294" t="str">
        <f t="shared" si="425"/>
        <v>---</v>
      </c>
      <c r="E444" s="294" t="str">
        <f t="shared" si="395"/>
        <v>---</v>
      </c>
      <c r="F444" s="294" t="str">
        <f t="shared" si="426"/>
        <v>---</v>
      </c>
      <c r="G444" s="291" t="str">
        <f>IF(A444="---","---",IF(Type_Reinf="g",$I$414,IF(AND(Type_Reinf="s",Type_Steel_Strip="s")=TRUE,$I$416,IF(C444&gt;=20,IF(Type_Reinf="s",$F$415,10*INPUT!$J$111/INPUT!$I$111),IF(Type_Reinf="s",MIN(1.2+LOG(Cu),2)-C444*((MIN(1.2+LOG(Cu),2)-TAN(RADIANS(PHI_reinf)))/20),20*(INPUT!$J$111/INPUT!$I$111)-10*(INPUT!$J$111/INPUT!$I$111)*C444/20)))))</f>
        <v>---</v>
      </c>
      <c r="H444" s="294" t="str">
        <f t="shared" si="427"/>
        <v>---</v>
      </c>
      <c r="I444" s="294" t="str">
        <f t="shared" si="398"/>
        <v>---</v>
      </c>
      <c r="J444" s="294" t="str">
        <f t="shared" si="428"/>
        <v>---</v>
      </c>
      <c r="K444" s="294" t="str">
        <f t="shared" si="399"/>
        <v>---</v>
      </c>
      <c r="L444" s="294" t="str">
        <f t="shared" si="400"/>
        <v>---</v>
      </c>
      <c r="M444" s="294" t="str">
        <f t="shared" si="401"/>
        <v>---</v>
      </c>
      <c r="N444" s="291" t="str">
        <f t="shared" si="402"/>
        <v>---</v>
      </c>
      <c r="O444" s="294" t="str">
        <f t="shared" si="403"/>
        <v>---</v>
      </c>
      <c r="P444" s="294" t="str">
        <f t="shared" si="404"/>
        <v>---</v>
      </c>
      <c r="Q444" s="441" t="str">
        <f t="shared" si="405"/>
        <v>---</v>
      </c>
      <c r="R444" s="291" t="str">
        <f t="shared" si="429"/>
        <v>---</v>
      </c>
      <c r="S444" s="294" t="str">
        <f t="shared" si="430"/>
        <v>---</v>
      </c>
      <c r="T444" s="294" t="str">
        <f t="shared" si="406"/>
        <v>---</v>
      </c>
      <c r="U444" s="438" t="str">
        <f t="shared" si="431"/>
        <v>---</v>
      </c>
      <c r="V444" s="476" t="str">
        <f t="shared" si="407"/>
        <v>---</v>
      </c>
      <c r="W444" s="291" t="str">
        <f t="shared" si="408"/>
        <v>---</v>
      </c>
      <c r="X444" s="484"/>
      <c r="AC444" s="17" t="str">
        <f t="shared" si="409"/>
        <v>---</v>
      </c>
      <c r="AD444" s="17" t="str">
        <f t="shared" si="410"/>
        <v>---</v>
      </c>
      <c r="AE444" s="471">
        <f t="shared" si="411"/>
        <v>0</v>
      </c>
      <c r="AF444" s="471">
        <f t="shared" si="412"/>
        <v>0</v>
      </c>
      <c r="AG444" s="140" t="str">
        <f t="shared" si="413"/>
        <v>---</v>
      </c>
      <c r="AH444" s="140" t="str">
        <f t="shared" si="432"/>
        <v>---</v>
      </c>
      <c r="AI444" s="140">
        <f t="shared" si="433"/>
        <v>999.99</v>
      </c>
      <c r="AJ444" s="263">
        <f t="shared" si="414"/>
        <v>0</v>
      </c>
      <c r="AK444" s="173" t="str">
        <f>WORKSHEET_CONSTR!F383</f>
        <v>---</v>
      </c>
      <c r="AL444" s="141" t="str">
        <f>IF(WORKSHEET_CONSTR!P383="---","---",WORKSHEET_CONSTR!M383)</f>
        <v>---</v>
      </c>
      <c r="AM444" s="140">
        <f t="shared" si="434"/>
        <v>999.99</v>
      </c>
      <c r="AN444" s="263">
        <f t="shared" si="435"/>
        <v>0</v>
      </c>
      <c r="AO444" s="265"/>
      <c r="AP444" s="140" t="str">
        <f t="shared" si="436"/>
        <v>---</v>
      </c>
      <c r="AQ444" s="140" t="str">
        <f t="shared" si="415"/>
        <v>---</v>
      </c>
      <c r="AR444" s="140">
        <f t="shared" si="437"/>
        <v>999.99</v>
      </c>
      <c r="AS444" s="263">
        <f t="shared" si="416"/>
        <v>0</v>
      </c>
      <c r="AT444" s="140" t="str">
        <f>WORKSHEET_CONSTR!F383</f>
        <v>---</v>
      </c>
      <c r="AU444" s="140" t="str">
        <f>WORKSHEET_CONSTR!P447</f>
        <v>---</v>
      </c>
      <c r="AV444" s="140">
        <f t="shared" si="438"/>
        <v>999.99</v>
      </c>
      <c r="AW444" s="263">
        <f t="shared" si="417"/>
        <v>0</v>
      </c>
      <c r="AX444" s="267" t="str">
        <f>IF(INPUT!Q127&lt;&gt;0,INPUT!Q127,"---")</f>
        <v>---</v>
      </c>
      <c r="AY444" s="140" t="str">
        <f t="shared" si="418"/>
        <v>---</v>
      </c>
      <c r="AZ444" s="140">
        <f t="shared" si="439"/>
        <v>999.99</v>
      </c>
      <c r="BA444" s="263">
        <f t="shared" si="419"/>
        <v>0</v>
      </c>
      <c r="BB444" s="140" t="str">
        <f t="shared" si="440"/>
        <v>---</v>
      </c>
      <c r="BC444" s="140" t="str">
        <f>WORKSHEET_CONSTR!S383</f>
        <v>---</v>
      </c>
      <c r="BD444" s="140">
        <f t="shared" si="441"/>
        <v>999.99</v>
      </c>
      <c r="BE444" s="263">
        <f t="shared" si="420"/>
        <v>0</v>
      </c>
      <c r="BF444" s="265"/>
      <c r="BG444" s="140" t="str">
        <f t="shared" si="442"/>
        <v>---</v>
      </c>
      <c r="BH444" s="140" t="str">
        <f t="shared" si="421"/>
        <v>---</v>
      </c>
      <c r="BI444" s="140">
        <f t="shared" si="443"/>
        <v>999.99</v>
      </c>
      <c r="BJ444" s="263">
        <f t="shared" si="422"/>
        <v>0</v>
      </c>
      <c r="BK444" s="140" t="str">
        <f t="shared" si="444"/>
        <v>---</v>
      </c>
      <c r="BL444" s="140" t="str">
        <f>WORKSHEET_CONSTR!Q505</f>
        <v>---</v>
      </c>
      <c r="BM444" s="140">
        <f t="shared" si="445"/>
        <v>999.99</v>
      </c>
      <c r="BN444" s="263">
        <f t="shared" si="423"/>
        <v>0</v>
      </c>
    </row>
    <row r="445" spans="1:66">
      <c r="A445" s="438" t="str">
        <f t="shared" si="392"/>
        <v>---</v>
      </c>
      <c r="B445" s="294" t="str">
        <f t="shared" si="392"/>
        <v>---</v>
      </c>
      <c r="C445" s="294" t="str">
        <f t="shared" si="424"/>
        <v>---</v>
      </c>
      <c r="D445" s="294" t="str">
        <f t="shared" si="425"/>
        <v>---</v>
      </c>
      <c r="E445" s="294" t="str">
        <f t="shared" si="395"/>
        <v>---</v>
      </c>
      <c r="F445" s="294" t="str">
        <f t="shared" si="426"/>
        <v>---</v>
      </c>
      <c r="G445" s="291" t="str">
        <f>IF(A445="---","---",IF(Type_Reinf="g",$I$414,IF(AND(Type_Reinf="s",Type_Steel_Strip="s")=TRUE,$I$416,IF(C445&gt;=20,IF(Type_Reinf="s",$F$415,10*INPUT!$J$111/INPUT!$I$111),IF(Type_Reinf="s",MIN(1.2+LOG(Cu),2)-C445*((MIN(1.2+LOG(Cu),2)-TAN(RADIANS(PHI_reinf)))/20),20*(INPUT!$J$111/INPUT!$I$111)-10*(INPUT!$J$111/INPUT!$I$111)*C445/20)))))</f>
        <v>---</v>
      </c>
      <c r="H445" s="294" t="str">
        <f t="shared" si="427"/>
        <v>---</v>
      </c>
      <c r="I445" s="294" t="str">
        <f t="shared" si="398"/>
        <v>---</v>
      </c>
      <c r="J445" s="294" t="str">
        <f t="shared" si="428"/>
        <v>---</v>
      </c>
      <c r="K445" s="294" t="str">
        <f t="shared" si="399"/>
        <v>---</v>
      </c>
      <c r="L445" s="294" t="str">
        <f t="shared" si="400"/>
        <v>---</v>
      </c>
      <c r="M445" s="294" t="str">
        <f t="shared" si="401"/>
        <v>---</v>
      </c>
      <c r="N445" s="291" t="str">
        <f t="shared" si="402"/>
        <v>---</v>
      </c>
      <c r="O445" s="294" t="str">
        <f t="shared" si="403"/>
        <v>---</v>
      </c>
      <c r="P445" s="294" t="str">
        <f t="shared" si="404"/>
        <v>---</v>
      </c>
      <c r="Q445" s="441" t="str">
        <f t="shared" si="405"/>
        <v>---</v>
      </c>
      <c r="R445" s="291" t="str">
        <f t="shared" si="429"/>
        <v>---</v>
      </c>
      <c r="S445" s="294" t="str">
        <f t="shared" si="430"/>
        <v>---</v>
      </c>
      <c r="T445" s="294" t="str">
        <f t="shared" si="406"/>
        <v>---</v>
      </c>
      <c r="U445" s="438" t="str">
        <f t="shared" si="431"/>
        <v>---</v>
      </c>
      <c r="V445" s="476" t="str">
        <f t="shared" si="407"/>
        <v>---</v>
      </c>
      <c r="W445" s="291" t="str">
        <f t="shared" si="408"/>
        <v>---</v>
      </c>
      <c r="X445" s="484"/>
      <c r="AC445" s="17" t="str">
        <f t="shared" si="409"/>
        <v>---</v>
      </c>
      <c r="AD445" s="17" t="str">
        <f t="shared" si="410"/>
        <v>---</v>
      </c>
      <c r="AE445" s="471">
        <f t="shared" si="411"/>
        <v>0</v>
      </c>
      <c r="AF445" s="471">
        <f t="shared" si="412"/>
        <v>0</v>
      </c>
      <c r="AG445" s="140" t="str">
        <f t="shared" si="413"/>
        <v>---</v>
      </c>
      <c r="AH445" s="140" t="str">
        <f t="shared" si="432"/>
        <v>---</v>
      </c>
      <c r="AI445" s="140">
        <f t="shared" si="433"/>
        <v>999.99</v>
      </c>
      <c r="AJ445" s="263">
        <f t="shared" si="414"/>
        <v>0</v>
      </c>
      <c r="AK445" s="173" t="str">
        <f>WORKSHEET_CONSTR!F384</f>
        <v>---</v>
      </c>
      <c r="AL445" s="141" t="str">
        <f>IF(WORKSHEET_CONSTR!P384="---","---",WORKSHEET_CONSTR!M384)</f>
        <v>---</v>
      </c>
      <c r="AM445" s="140">
        <f t="shared" si="434"/>
        <v>999.99</v>
      </c>
      <c r="AN445" s="263">
        <f t="shared" si="435"/>
        <v>0</v>
      </c>
      <c r="AO445" s="265"/>
      <c r="AP445" s="140" t="str">
        <f t="shared" si="436"/>
        <v>---</v>
      </c>
      <c r="AQ445" s="140" t="str">
        <f t="shared" si="415"/>
        <v>---</v>
      </c>
      <c r="AR445" s="140">
        <f t="shared" si="437"/>
        <v>999.99</v>
      </c>
      <c r="AS445" s="263">
        <f t="shared" si="416"/>
        <v>0</v>
      </c>
      <c r="AT445" s="140" t="str">
        <f>WORKSHEET_CONSTR!F384</f>
        <v>---</v>
      </c>
      <c r="AU445" s="140" t="str">
        <f>WORKSHEET_CONSTR!P448</f>
        <v>---</v>
      </c>
      <c r="AV445" s="140">
        <f t="shared" si="438"/>
        <v>999.99</v>
      </c>
      <c r="AW445" s="263">
        <f t="shared" si="417"/>
        <v>0</v>
      </c>
      <c r="AX445" s="267" t="str">
        <f>IF(INPUT!Q128&lt;&gt;0,INPUT!Q128,"---")</f>
        <v>---</v>
      </c>
      <c r="AY445" s="140" t="str">
        <f t="shared" si="418"/>
        <v>---</v>
      </c>
      <c r="AZ445" s="140">
        <f t="shared" si="439"/>
        <v>999.99</v>
      </c>
      <c r="BA445" s="263">
        <f t="shared" si="419"/>
        <v>0</v>
      </c>
      <c r="BB445" s="140" t="str">
        <f t="shared" si="440"/>
        <v>---</v>
      </c>
      <c r="BC445" s="140" t="str">
        <f>WORKSHEET_CONSTR!S384</f>
        <v>---</v>
      </c>
      <c r="BD445" s="140">
        <f t="shared" si="441"/>
        <v>999.99</v>
      </c>
      <c r="BE445" s="263">
        <f t="shared" si="420"/>
        <v>0</v>
      </c>
      <c r="BF445" s="265"/>
      <c r="BG445" s="140" t="str">
        <f t="shared" si="442"/>
        <v>---</v>
      </c>
      <c r="BH445" s="140" t="str">
        <f t="shared" si="421"/>
        <v>---</v>
      </c>
      <c r="BI445" s="140">
        <f t="shared" si="443"/>
        <v>999.99</v>
      </c>
      <c r="BJ445" s="263">
        <f t="shared" si="422"/>
        <v>0</v>
      </c>
      <c r="BK445" s="140" t="str">
        <f t="shared" si="444"/>
        <v>---</v>
      </c>
      <c r="BL445" s="140" t="str">
        <f>WORKSHEET_CONSTR!Q506</f>
        <v>---</v>
      </c>
      <c r="BM445" s="140">
        <f t="shared" si="445"/>
        <v>999.99</v>
      </c>
      <c r="BN445" s="263">
        <f t="shared" si="423"/>
        <v>0</v>
      </c>
    </row>
    <row r="446" spans="1:66">
      <c r="A446" s="438" t="str">
        <f t="shared" si="392"/>
        <v>---</v>
      </c>
      <c r="B446" s="294" t="str">
        <f t="shared" si="392"/>
        <v>---</v>
      </c>
      <c r="C446" s="294" t="str">
        <f t="shared" si="424"/>
        <v>---</v>
      </c>
      <c r="D446" s="294" t="str">
        <f t="shared" si="425"/>
        <v>---</v>
      </c>
      <c r="E446" s="294" t="str">
        <f t="shared" si="395"/>
        <v>---</v>
      </c>
      <c r="F446" s="294" t="str">
        <f t="shared" si="426"/>
        <v>---</v>
      </c>
      <c r="G446" s="291" t="str">
        <f>IF(A446="---","---",IF(Type_Reinf="g",$I$414,IF(AND(Type_Reinf="s",Type_Steel_Strip="s")=TRUE,$I$416,IF(C446&gt;=20,IF(Type_Reinf="s",$F$415,10*INPUT!$J$111/INPUT!$I$111),IF(Type_Reinf="s",MIN(1.2+LOG(Cu),2)-C446*((MIN(1.2+LOG(Cu),2)-TAN(RADIANS(PHI_reinf)))/20),20*(INPUT!$J$111/INPUT!$I$111)-10*(INPUT!$J$111/INPUT!$I$111)*C446/20)))))</f>
        <v>---</v>
      </c>
      <c r="H446" s="294" t="str">
        <f t="shared" si="427"/>
        <v>---</v>
      </c>
      <c r="I446" s="294" t="str">
        <f t="shared" si="398"/>
        <v>---</v>
      </c>
      <c r="J446" s="294" t="str">
        <f t="shared" si="428"/>
        <v>---</v>
      </c>
      <c r="K446" s="294" t="str">
        <f t="shared" si="399"/>
        <v>---</v>
      </c>
      <c r="L446" s="294" t="str">
        <f t="shared" si="400"/>
        <v>---</v>
      </c>
      <c r="M446" s="294" t="str">
        <f t="shared" si="401"/>
        <v>---</v>
      </c>
      <c r="N446" s="291" t="str">
        <f t="shared" si="402"/>
        <v>---</v>
      </c>
      <c r="O446" s="294" t="str">
        <f t="shared" si="403"/>
        <v>---</v>
      </c>
      <c r="P446" s="294" t="str">
        <f t="shared" si="404"/>
        <v>---</v>
      </c>
      <c r="Q446" s="441" t="str">
        <f t="shared" si="405"/>
        <v>---</v>
      </c>
      <c r="R446" s="291" t="str">
        <f t="shared" si="429"/>
        <v>---</v>
      </c>
      <c r="S446" s="294" t="str">
        <f t="shared" si="430"/>
        <v>---</v>
      </c>
      <c r="T446" s="294" t="str">
        <f t="shared" si="406"/>
        <v>---</v>
      </c>
      <c r="U446" s="438" t="str">
        <f t="shared" si="431"/>
        <v>---</v>
      </c>
      <c r="V446" s="476" t="str">
        <f t="shared" si="407"/>
        <v>---</v>
      </c>
      <c r="W446" s="291" t="str">
        <f t="shared" si="408"/>
        <v>---</v>
      </c>
      <c r="X446" s="484"/>
      <c r="AC446" s="17" t="str">
        <f t="shared" si="409"/>
        <v>---</v>
      </c>
      <c r="AD446" s="17" t="str">
        <f t="shared" si="410"/>
        <v>---</v>
      </c>
      <c r="AE446" s="471">
        <f t="shared" si="411"/>
        <v>0</v>
      </c>
      <c r="AF446" s="471">
        <f t="shared" si="412"/>
        <v>0</v>
      </c>
      <c r="AG446" s="140" t="str">
        <f t="shared" si="413"/>
        <v>---</v>
      </c>
      <c r="AH446" s="140" t="str">
        <f t="shared" si="432"/>
        <v>---</v>
      </c>
      <c r="AI446" s="140">
        <f t="shared" si="433"/>
        <v>999.99</v>
      </c>
      <c r="AJ446" s="263">
        <f t="shared" si="414"/>
        <v>0</v>
      </c>
      <c r="AK446" s="173" t="str">
        <f>WORKSHEET_CONSTR!F385</f>
        <v>---</v>
      </c>
      <c r="AL446" s="141" t="str">
        <f>IF(WORKSHEET_CONSTR!P385="---","---",WORKSHEET_CONSTR!M385)</f>
        <v>---</v>
      </c>
      <c r="AM446" s="140">
        <f t="shared" si="434"/>
        <v>999.99</v>
      </c>
      <c r="AN446" s="263">
        <f t="shared" si="435"/>
        <v>0</v>
      </c>
      <c r="AO446" s="265"/>
      <c r="AP446" s="140" t="str">
        <f t="shared" si="436"/>
        <v>---</v>
      </c>
      <c r="AQ446" s="140" t="str">
        <f t="shared" si="415"/>
        <v>---</v>
      </c>
      <c r="AR446" s="140">
        <f t="shared" si="437"/>
        <v>999.99</v>
      </c>
      <c r="AS446" s="263">
        <f t="shared" si="416"/>
        <v>0</v>
      </c>
      <c r="AT446" s="140" t="str">
        <f>WORKSHEET_CONSTR!F385</f>
        <v>---</v>
      </c>
      <c r="AU446" s="140" t="str">
        <f>WORKSHEET_CONSTR!P449</f>
        <v>---</v>
      </c>
      <c r="AV446" s="140">
        <f t="shared" si="438"/>
        <v>999.99</v>
      </c>
      <c r="AW446" s="263">
        <f t="shared" si="417"/>
        <v>0</v>
      </c>
      <c r="AX446" s="267" t="str">
        <f>IF(INPUT!Q129&lt;&gt;0,INPUT!Q129,"---")</f>
        <v>---</v>
      </c>
      <c r="AY446" s="140" t="str">
        <f t="shared" si="418"/>
        <v>---</v>
      </c>
      <c r="AZ446" s="140">
        <f t="shared" si="439"/>
        <v>999.99</v>
      </c>
      <c r="BA446" s="263">
        <f t="shared" si="419"/>
        <v>0</v>
      </c>
      <c r="BB446" s="140" t="str">
        <f t="shared" si="440"/>
        <v>---</v>
      </c>
      <c r="BC446" s="140" t="str">
        <f>WORKSHEET_CONSTR!S385</f>
        <v>---</v>
      </c>
      <c r="BD446" s="140">
        <f t="shared" si="441"/>
        <v>999.99</v>
      </c>
      <c r="BE446" s="263">
        <f t="shared" si="420"/>
        <v>0</v>
      </c>
      <c r="BF446" s="265"/>
      <c r="BG446" s="140" t="str">
        <f t="shared" si="442"/>
        <v>---</v>
      </c>
      <c r="BH446" s="140" t="str">
        <f t="shared" si="421"/>
        <v>---</v>
      </c>
      <c r="BI446" s="140">
        <f t="shared" si="443"/>
        <v>999.99</v>
      </c>
      <c r="BJ446" s="263">
        <f t="shared" si="422"/>
        <v>0</v>
      </c>
      <c r="BK446" s="140" t="str">
        <f t="shared" si="444"/>
        <v>---</v>
      </c>
      <c r="BL446" s="140" t="str">
        <f>WORKSHEET_CONSTR!Q507</f>
        <v>---</v>
      </c>
      <c r="BM446" s="140">
        <f t="shared" si="445"/>
        <v>999.99</v>
      </c>
      <c r="BN446" s="263">
        <f t="shared" si="423"/>
        <v>0</v>
      </c>
    </row>
    <row r="447" spans="1:66">
      <c r="A447" s="438" t="str">
        <f t="shared" si="392"/>
        <v>---</v>
      </c>
      <c r="B447" s="294" t="str">
        <f t="shared" si="392"/>
        <v>---</v>
      </c>
      <c r="C447" s="294" t="str">
        <f t="shared" si="424"/>
        <v>---</v>
      </c>
      <c r="D447" s="294" t="str">
        <f t="shared" si="425"/>
        <v>---</v>
      </c>
      <c r="E447" s="294" t="str">
        <f t="shared" si="395"/>
        <v>---</v>
      </c>
      <c r="F447" s="294" t="str">
        <f t="shared" si="426"/>
        <v>---</v>
      </c>
      <c r="G447" s="291" t="str">
        <f>IF(A447="---","---",IF(Type_Reinf="g",$I$414,IF(AND(Type_Reinf="s",Type_Steel_Strip="s")=TRUE,$I$416,IF(C447&gt;=20,IF(Type_Reinf="s",$F$415,10*INPUT!$J$111/INPUT!$I$111),IF(Type_Reinf="s",MIN(1.2+LOG(Cu),2)-C447*((MIN(1.2+LOG(Cu),2)-TAN(RADIANS(PHI_reinf)))/20),20*(INPUT!$J$111/INPUT!$I$111)-10*(INPUT!$J$111/INPUT!$I$111)*C447/20)))))</f>
        <v>---</v>
      </c>
      <c r="H447" s="294" t="str">
        <f t="shared" si="427"/>
        <v>---</v>
      </c>
      <c r="I447" s="294" t="str">
        <f t="shared" si="398"/>
        <v>---</v>
      </c>
      <c r="J447" s="294" t="str">
        <f t="shared" si="428"/>
        <v>---</v>
      </c>
      <c r="K447" s="294" t="str">
        <f t="shared" si="399"/>
        <v>---</v>
      </c>
      <c r="L447" s="294" t="str">
        <f t="shared" si="400"/>
        <v>---</v>
      </c>
      <c r="M447" s="294" t="str">
        <f t="shared" si="401"/>
        <v>---</v>
      </c>
      <c r="N447" s="291" t="str">
        <f t="shared" si="402"/>
        <v>---</v>
      </c>
      <c r="O447" s="294" t="str">
        <f t="shared" si="403"/>
        <v>---</v>
      </c>
      <c r="P447" s="294" t="str">
        <f t="shared" si="404"/>
        <v>---</v>
      </c>
      <c r="Q447" s="441" t="str">
        <f t="shared" si="405"/>
        <v>---</v>
      </c>
      <c r="R447" s="291" t="str">
        <f t="shared" si="429"/>
        <v>---</v>
      </c>
      <c r="S447" s="294" t="str">
        <f t="shared" si="430"/>
        <v>---</v>
      </c>
      <c r="T447" s="294" t="str">
        <f t="shared" si="406"/>
        <v>---</v>
      </c>
      <c r="U447" s="438" t="str">
        <f t="shared" si="431"/>
        <v>---</v>
      </c>
      <c r="V447" s="476" t="str">
        <f t="shared" si="407"/>
        <v>---</v>
      </c>
      <c r="W447" s="291" t="str">
        <f t="shared" si="408"/>
        <v>---</v>
      </c>
      <c r="X447" s="484"/>
      <c r="AC447" s="17" t="str">
        <f t="shared" si="409"/>
        <v>---</v>
      </c>
      <c r="AD447" s="17" t="str">
        <f t="shared" si="410"/>
        <v>---</v>
      </c>
      <c r="AE447" s="471">
        <f t="shared" si="411"/>
        <v>0</v>
      </c>
      <c r="AF447" s="471">
        <f t="shared" si="412"/>
        <v>0</v>
      </c>
      <c r="AG447" s="140" t="str">
        <f t="shared" si="413"/>
        <v>---</v>
      </c>
      <c r="AH447" s="140" t="str">
        <f t="shared" si="432"/>
        <v>---</v>
      </c>
      <c r="AI447" s="140">
        <f t="shared" si="433"/>
        <v>999.99</v>
      </c>
      <c r="AJ447" s="263">
        <f t="shared" si="414"/>
        <v>0</v>
      </c>
      <c r="AK447" s="173" t="str">
        <f>WORKSHEET_CONSTR!F386</f>
        <v>---</v>
      </c>
      <c r="AL447" s="141" t="str">
        <f>IF(WORKSHEET_CONSTR!P386="---","---",WORKSHEET_CONSTR!M386)</f>
        <v>---</v>
      </c>
      <c r="AM447" s="140">
        <f t="shared" si="434"/>
        <v>999.99</v>
      </c>
      <c r="AN447" s="263">
        <f t="shared" si="435"/>
        <v>0</v>
      </c>
      <c r="AO447" s="265"/>
      <c r="AP447" s="140" t="str">
        <f t="shared" si="436"/>
        <v>---</v>
      </c>
      <c r="AQ447" s="140" t="str">
        <f t="shared" si="415"/>
        <v>---</v>
      </c>
      <c r="AR447" s="140">
        <f t="shared" si="437"/>
        <v>999.99</v>
      </c>
      <c r="AS447" s="263">
        <f t="shared" si="416"/>
        <v>0</v>
      </c>
      <c r="AT447" s="140" t="str">
        <f>WORKSHEET_CONSTR!F386</f>
        <v>---</v>
      </c>
      <c r="AU447" s="140" t="str">
        <f>WORKSHEET_CONSTR!P450</f>
        <v>---</v>
      </c>
      <c r="AV447" s="140">
        <f t="shared" si="438"/>
        <v>999.99</v>
      </c>
      <c r="AW447" s="263">
        <f t="shared" si="417"/>
        <v>0</v>
      </c>
      <c r="AX447" s="267" t="str">
        <f>IF(INPUT!Q130&lt;&gt;0,INPUT!Q130,"---")</f>
        <v>---</v>
      </c>
      <c r="AY447" s="140" t="str">
        <f t="shared" si="418"/>
        <v>---</v>
      </c>
      <c r="AZ447" s="140">
        <f t="shared" si="439"/>
        <v>999.99</v>
      </c>
      <c r="BA447" s="263">
        <f t="shared" si="419"/>
        <v>0</v>
      </c>
      <c r="BB447" s="140" t="str">
        <f t="shared" si="440"/>
        <v>---</v>
      </c>
      <c r="BC447" s="140" t="str">
        <f>WORKSHEET_CONSTR!S386</f>
        <v>---</v>
      </c>
      <c r="BD447" s="140">
        <f t="shared" si="441"/>
        <v>999.99</v>
      </c>
      <c r="BE447" s="263">
        <f t="shared" si="420"/>
        <v>0</v>
      </c>
      <c r="BF447" s="265"/>
      <c r="BG447" s="140" t="str">
        <f t="shared" si="442"/>
        <v>---</v>
      </c>
      <c r="BH447" s="140" t="str">
        <f t="shared" si="421"/>
        <v>---</v>
      </c>
      <c r="BI447" s="140">
        <f t="shared" si="443"/>
        <v>999.99</v>
      </c>
      <c r="BJ447" s="263">
        <f t="shared" si="422"/>
        <v>0</v>
      </c>
      <c r="BK447" s="140" t="str">
        <f t="shared" si="444"/>
        <v>---</v>
      </c>
      <c r="BL447" s="140" t="str">
        <f>WORKSHEET_CONSTR!Q508</f>
        <v>---</v>
      </c>
      <c r="BM447" s="140">
        <f t="shared" si="445"/>
        <v>999.99</v>
      </c>
      <c r="BN447" s="263">
        <f t="shared" si="423"/>
        <v>0</v>
      </c>
    </row>
    <row r="448" spans="1:66">
      <c r="A448" s="438" t="str">
        <f t="shared" ref="A448:B467" si="446">A318</f>
        <v>---</v>
      </c>
      <c r="B448" s="294" t="str">
        <f t="shared" si="446"/>
        <v>---</v>
      </c>
      <c r="C448" s="294" t="str">
        <f t="shared" si="424"/>
        <v>---</v>
      </c>
      <c r="D448" s="294" t="str">
        <f t="shared" si="425"/>
        <v>---</v>
      </c>
      <c r="E448" s="294" t="str">
        <f t="shared" si="395"/>
        <v>---</v>
      </c>
      <c r="F448" s="294" t="str">
        <f t="shared" si="426"/>
        <v>---</v>
      </c>
      <c r="G448" s="291" t="str">
        <f>IF(A448="---","---",IF(Type_Reinf="g",$I$414,IF(AND(Type_Reinf="s",Type_Steel_Strip="s")=TRUE,$I$416,IF(C448&gt;=20,IF(Type_Reinf="s",$F$415,10*INPUT!$J$111/INPUT!$I$111),IF(Type_Reinf="s",MIN(1.2+LOG(Cu),2)-C448*((MIN(1.2+LOG(Cu),2)-TAN(RADIANS(PHI_reinf)))/20),20*(INPUT!$J$111/INPUT!$I$111)-10*(INPUT!$J$111/INPUT!$I$111)*C448/20)))))</f>
        <v>---</v>
      </c>
      <c r="H448" s="294" t="str">
        <f t="shared" si="427"/>
        <v>---</v>
      </c>
      <c r="I448" s="294" t="str">
        <f t="shared" si="398"/>
        <v>---</v>
      </c>
      <c r="J448" s="294" t="str">
        <f t="shared" si="428"/>
        <v>---</v>
      </c>
      <c r="K448" s="294" t="str">
        <f t="shared" si="399"/>
        <v>---</v>
      </c>
      <c r="L448" s="294" t="str">
        <f t="shared" si="400"/>
        <v>---</v>
      </c>
      <c r="M448" s="294" t="str">
        <f t="shared" si="401"/>
        <v>---</v>
      </c>
      <c r="N448" s="291" t="str">
        <f t="shared" si="402"/>
        <v>---</v>
      </c>
      <c r="O448" s="294" t="str">
        <f t="shared" si="403"/>
        <v>---</v>
      </c>
      <c r="P448" s="294" t="str">
        <f t="shared" si="404"/>
        <v>---</v>
      </c>
      <c r="Q448" s="441" t="str">
        <f t="shared" si="405"/>
        <v>---</v>
      </c>
      <c r="R448" s="291" t="str">
        <f t="shared" si="429"/>
        <v>---</v>
      </c>
      <c r="S448" s="294" t="str">
        <f t="shared" si="430"/>
        <v>---</v>
      </c>
      <c r="T448" s="294" t="str">
        <f t="shared" si="406"/>
        <v>---</v>
      </c>
      <c r="U448" s="438" t="str">
        <f t="shared" si="431"/>
        <v>---</v>
      </c>
      <c r="V448" s="476" t="str">
        <f t="shared" si="407"/>
        <v>---</v>
      </c>
      <c r="W448" s="291" t="str">
        <f t="shared" si="408"/>
        <v>---</v>
      </c>
      <c r="X448" s="484"/>
      <c r="AC448" s="17" t="str">
        <f t="shared" si="409"/>
        <v>---</v>
      </c>
      <c r="AD448" s="17" t="str">
        <f t="shared" si="410"/>
        <v>---</v>
      </c>
      <c r="AE448" s="471">
        <f t="shared" si="411"/>
        <v>0</v>
      </c>
      <c r="AF448" s="471">
        <f t="shared" si="412"/>
        <v>0</v>
      </c>
      <c r="AG448" s="140" t="str">
        <f t="shared" si="413"/>
        <v>---</v>
      </c>
      <c r="AH448" s="140" t="str">
        <f t="shared" si="432"/>
        <v>---</v>
      </c>
      <c r="AI448" s="140">
        <f t="shared" si="433"/>
        <v>999.99</v>
      </c>
      <c r="AJ448" s="263">
        <f t="shared" si="414"/>
        <v>0</v>
      </c>
      <c r="AK448" s="173" t="str">
        <f>WORKSHEET_CONSTR!F387</f>
        <v>---</v>
      </c>
      <c r="AL448" s="141" t="str">
        <f>IF(WORKSHEET_CONSTR!P387="---","---",WORKSHEET_CONSTR!M387)</f>
        <v>---</v>
      </c>
      <c r="AM448" s="140">
        <f t="shared" si="434"/>
        <v>999.99</v>
      </c>
      <c r="AN448" s="263">
        <f t="shared" si="435"/>
        <v>0</v>
      </c>
      <c r="AO448" s="265"/>
      <c r="AP448" s="140" t="str">
        <f t="shared" si="436"/>
        <v>---</v>
      </c>
      <c r="AQ448" s="140" t="str">
        <f t="shared" si="415"/>
        <v>---</v>
      </c>
      <c r="AR448" s="140">
        <f t="shared" si="437"/>
        <v>999.99</v>
      </c>
      <c r="AS448" s="263">
        <f t="shared" si="416"/>
        <v>0</v>
      </c>
      <c r="AT448" s="140" t="str">
        <f>WORKSHEET_CONSTR!F387</f>
        <v>---</v>
      </c>
      <c r="AU448" s="140" t="str">
        <f>WORKSHEET_CONSTR!P451</f>
        <v>---</v>
      </c>
      <c r="AV448" s="140">
        <f t="shared" si="438"/>
        <v>999.99</v>
      </c>
      <c r="AW448" s="263">
        <f t="shared" si="417"/>
        <v>0</v>
      </c>
      <c r="AX448" s="267" t="str">
        <f>IF(INPUT!Q131&lt;&gt;0,INPUT!Q131,"---")</f>
        <v>---</v>
      </c>
      <c r="AY448" s="140" t="str">
        <f t="shared" si="418"/>
        <v>---</v>
      </c>
      <c r="AZ448" s="140">
        <f t="shared" si="439"/>
        <v>999.99</v>
      </c>
      <c r="BA448" s="263">
        <f t="shared" si="419"/>
        <v>0</v>
      </c>
      <c r="BB448" s="140" t="str">
        <f t="shared" si="440"/>
        <v>---</v>
      </c>
      <c r="BC448" s="140" t="str">
        <f>WORKSHEET_CONSTR!S387</f>
        <v>---</v>
      </c>
      <c r="BD448" s="140">
        <f t="shared" si="441"/>
        <v>999.99</v>
      </c>
      <c r="BE448" s="263">
        <f t="shared" si="420"/>
        <v>0</v>
      </c>
      <c r="BF448" s="265"/>
      <c r="BG448" s="140" t="str">
        <f t="shared" si="442"/>
        <v>---</v>
      </c>
      <c r="BH448" s="140" t="str">
        <f t="shared" si="421"/>
        <v>---</v>
      </c>
      <c r="BI448" s="140">
        <f t="shared" si="443"/>
        <v>999.99</v>
      </c>
      <c r="BJ448" s="263">
        <f t="shared" si="422"/>
        <v>0</v>
      </c>
      <c r="BK448" s="140" t="str">
        <f t="shared" si="444"/>
        <v>---</v>
      </c>
      <c r="BL448" s="140" t="str">
        <f>WORKSHEET_CONSTR!Q509</f>
        <v>---</v>
      </c>
      <c r="BM448" s="140">
        <f t="shared" si="445"/>
        <v>999.99</v>
      </c>
      <c r="BN448" s="263">
        <f t="shared" si="423"/>
        <v>0</v>
      </c>
    </row>
    <row r="449" spans="1:66">
      <c r="A449" s="438" t="str">
        <f t="shared" si="446"/>
        <v>---</v>
      </c>
      <c r="B449" s="294" t="str">
        <f t="shared" si="446"/>
        <v>---</v>
      </c>
      <c r="C449" s="294" t="str">
        <f t="shared" si="424"/>
        <v>---</v>
      </c>
      <c r="D449" s="294" t="str">
        <f t="shared" si="425"/>
        <v>---</v>
      </c>
      <c r="E449" s="294" t="str">
        <f t="shared" si="395"/>
        <v>---</v>
      </c>
      <c r="F449" s="294" t="str">
        <f t="shared" si="426"/>
        <v>---</v>
      </c>
      <c r="G449" s="291" t="str">
        <f>IF(A449="---","---",IF(Type_Reinf="g",$I$414,IF(AND(Type_Reinf="s",Type_Steel_Strip="s")=TRUE,$I$416,IF(C449&gt;=20,IF(Type_Reinf="s",$F$415,10*INPUT!$J$111/INPUT!$I$111),IF(Type_Reinf="s",MIN(1.2+LOG(Cu),2)-C449*((MIN(1.2+LOG(Cu),2)-TAN(RADIANS(PHI_reinf)))/20),20*(INPUT!$J$111/INPUT!$I$111)-10*(INPUT!$J$111/INPUT!$I$111)*C449/20)))))</f>
        <v>---</v>
      </c>
      <c r="H449" s="294" t="str">
        <f t="shared" si="427"/>
        <v>---</v>
      </c>
      <c r="I449" s="294" t="str">
        <f t="shared" si="398"/>
        <v>---</v>
      </c>
      <c r="J449" s="294" t="str">
        <f t="shared" si="428"/>
        <v>---</v>
      </c>
      <c r="K449" s="294" t="str">
        <f t="shared" si="399"/>
        <v>---</v>
      </c>
      <c r="L449" s="294" t="str">
        <f t="shared" si="400"/>
        <v>---</v>
      </c>
      <c r="M449" s="294" t="str">
        <f t="shared" si="401"/>
        <v>---</v>
      </c>
      <c r="N449" s="291" t="str">
        <f t="shared" si="402"/>
        <v>---</v>
      </c>
      <c r="O449" s="294" t="str">
        <f t="shared" si="403"/>
        <v>---</v>
      </c>
      <c r="P449" s="294" t="str">
        <f t="shared" si="404"/>
        <v>---</v>
      </c>
      <c r="Q449" s="441" t="str">
        <f t="shared" si="405"/>
        <v>---</v>
      </c>
      <c r="R449" s="291" t="str">
        <f t="shared" si="429"/>
        <v>---</v>
      </c>
      <c r="S449" s="294" t="str">
        <f t="shared" si="430"/>
        <v>---</v>
      </c>
      <c r="T449" s="294" t="str">
        <f t="shared" si="406"/>
        <v>---</v>
      </c>
      <c r="U449" s="438" t="str">
        <f t="shared" si="431"/>
        <v>---</v>
      </c>
      <c r="V449" s="476" t="str">
        <f t="shared" si="407"/>
        <v>---</v>
      </c>
      <c r="W449" s="291" t="str">
        <f t="shared" si="408"/>
        <v>---</v>
      </c>
      <c r="X449" s="484"/>
      <c r="AC449" s="17" t="str">
        <f t="shared" si="409"/>
        <v>---</v>
      </c>
      <c r="AD449" s="17" t="str">
        <f t="shared" si="410"/>
        <v>---</v>
      </c>
      <c r="AE449" s="471">
        <f t="shared" si="411"/>
        <v>0</v>
      </c>
      <c r="AF449" s="471">
        <f t="shared" si="412"/>
        <v>0</v>
      </c>
      <c r="AG449" s="140" t="str">
        <f t="shared" si="413"/>
        <v>---</v>
      </c>
      <c r="AH449" s="140" t="str">
        <f t="shared" si="432"/>
        <v>---</v>
      </c>
      <c r="AI449" s="140">
        <f t="shared" si="433"/>
        <v>999.99</v>
      </c>
      <c r="AJ449" s="263">
        <f t="shared" si="414"/>
        <v>0</v>
      </c>
      <c r="AK449" s="173" t="str">
        <f>WORKSHEET_CONSTR!F388</f>
        <v>---</v>
      </c>
      <c r="AL449" s="141" t="str">
        <f>IF(WORKSHEET_CONSTR!P388="---","---",WORKSHEET_CONSTR!M388)</f>
        <v>---</v>
      </c>
      <c r="AM449" s="140">
        <f t="shared" si="434"/>
        <v>999.99</v>
      </c>
      <c r="AN449" s="263">
        <f t="shared" si="435"/>
        <v>0</v>
      </c>
      <c r="AO449" s="265"/>
      <c r="AP449" s="140" t="str">
        <f t="shared" si="436"/>
        <v>---</v>
      </c>
      <c r="AQ449" s="140" t="str">
        <f t="shared" si="415"/>
        <v>---</v>
      </c>
      <c r="AR449" s="140">
        <f t="shared" si="437"/>
        <v>999.99</v>
      </c>
      <c r="AS449" s="263">
        <f t="shared" si="416"/>
        <v>0</v>
      </c>
      <c r="AT449" s="140" t="str">
        <f>WORKSHEET_CONSTR!F388</f>
        <v>---</v>
      </c>
      <c r="AU449" s="140" t="str">
        <f>WORKSHEET_CONSTR!P452</f>
        <v>---</v>
      </c>
      <c r="AV449" s="140">
        <f t="shared" si="438"/>
        <v>999.99</v>
      </c>
      <c r="AW449" s="263">
        <f t="shared" si="417"/>
        <v>0</v>
      </c>
      <c r="AX449" s="267" t="str">
        <f>IF(INPUT!Q132&lt;&gt;0,INPUT!Q132,"---")</f>
        <v>---</v>
      </c>
      <c r="AY449" s="140" t="str">
        <f t="shared" si="418"/>
        <v>---</v>
      </c>
      <c r="AZ449" s="140">
        <f t="shared" si="439"/>
        <v>999.99</v>
      </c>
      <c r="BA449" s="263">
        <f t="shared" si="419"/>
        <v>0</v>
      </c>
      <c r="BB449" s="140" t="str">
        <f t="shared" si="440"/>
        <v>---</v>
      </c>
      <c r="BC449" s="140" t="str">
        <f>WORKSHEET_CONSTR!S388</f>
        <v>---</v>
      </c>
      <c r="BD449" s="140">
        <f t="shared" si="441"/>
        <v>999.99</v>
      </c>
      <c r="BE449" s="263">
        <f t="shared" si="420"/>
        <v>0</v>
      </c>
      <c r="BF449" s="265"/>
      <c r="BG449" s="140" t="str">
        <f t="shared" si="442"/>
        <v>---</v>
      </c>
      <c r="BH449" s="140" t="str">
        <f t="shared" si="421"/>
        <v>---</v>
      </c>
      <c r="BI449" s="140">
        <f t="shared" si="443"/>
        <v>999.99</v>
      </c>
      <c r="BJ449" s="263">
        <f t="shared" si="422"/>
        <v>0</v>
      </c>
      <c r="BK449" s="140" t="str">
        <f t="shared" si="444"/>
        <v>---</v>
      </c>
      <c r="BL449" s="140" t="str">
        <f>WORKSHEET_CONSTR!Q510</f>
        <v>---</v>
      </c>
      <c r="BM449" s="140">
        <f t="shared" si="445"/>
        <v>999.99</v>
      </c>
      <c r="BN449" s="263">
        <f t="shared" si="423"/>
        <v>0</v>
      </c>
    </row>
    <row r="450" spans="1:66">
      <c r="A450" s="438" t="str">
        <f t="shared" si="446"/>
        <v>---</v>
      </c>
      <c r="B450" s="294" t="str">
        <f t="shared" si="446"/>
        <v>---</v>
      </c>
      <c r="C450" s="294" t="str">
        <f t="shared" si="424"/>
        <v>---</v>
      </c>
      <c r="D450" s="294" t="str">
        <f t="shared" si="425"/>
        <v>---</v>
      </c>
      <c r="E450" s="294" t="str">
        <f t="shared" si="395"/>
        <v>---</v>
      </c>
      <c r="F450" s="294" t="str">
        <f t="shared" si="426"/>
        <v>---</v>
      </c>
      <c r="G450" s="291" t="str">
        <f>IF(A450="---","---",IF(Type_Reinf="g",$I$414,IF(AND(Type_Reinf="s",Type_Steel_Strip="s")=TRUE,$I$416,IF(C450&gt;=20,IF(Type_Reinf="s",$F$415,10*INPUT!$J$111/INPUT!$I$111),IF(Type_Reinf="s",MIN(1.2+LOG(Cu),2)-C450*((MIN(1.2+LOG(Cu),2)-TAN(RADIANS(PHI_reinf)))/20),20*(INPUT!$J$111/INPUT!$I$111)-10*(INPUT!$J$111/INPUT!$I$111)*C450/20)))))</f>
        <v>---</v>
      </c>
      <c r="H450" s="294" t="str">
        <f t="shared" si="427"/>
        <v>---</v>
      </c>
      <c r="I450" s="294" t="str">
        <f t="shared" si="398"/>
        <v>---</v>
      </c>
      <c r="J450" s="294" t="str">
        <f t="shared" si="428"/>
        <v>---</v>
      </c>
      <c r="K450" s="294" t="str">
        <f t="shared" si="399"/>
        <v>---</v>
      </c>
      <c r="L450" s="294" t="str">
        <f t="shared" si="400"/>
        <v>---</v>
      </c>
      <c r="M450" s="294" t="str">
        <f t="shared" si="401"/>
        <v>---</v>
      </c>
      <c r="N450" s="291" t="str">
        <f t="shared" si="402"/>
        <v>---</v>
      </c>
      <c r="O450" s="294" t="str">
        <f t="shared" si="403"/>
        <v>---</v>
      </c>
      <c r="P450" s="294" t="str">
        <f t="shared" si="404"/>
        <v>---</v>
      </c>
      <c r="Q450" s="441" t="str">
        <f t="shared" si="405"/>
        <v>---</v>
      </c>
      <c r="R450" s="291" t="str">
        <f t="shared" si="429"/>
        <v>---</v>
      </c>
      <c r="S450" s="294" t="str">
        <f t="shared" si="430"/>
        <v>---</v>
      </c>
      <c r="T450" s="294" t="str">
        <f t="shared" si="406"/>
        <v>---</v>
      </c>
      <c r="U450" s="438" t="str">
        <f t="shared" si="431"/>
        <v>---</v>
      </c>
      <c r="V450" s="476" t="str">
        <f t="shared" si="407"/>
        <v>---</v>
      </c>
      <c r="W450" s="291" t="str">
        <f t="shared" si="408"/>
        <v>---</v>
      </c>
      <c r="X450" s="484"/>
      <c r="AC450" s="17" t="str">
        <f t="shared" si="409"/>
        <v>---</v>
      </c>
      <c r="AD450" s="17" t="str">
        <f t="shared" si="410"/>
        <v>---</v>
      </c>
      <c r="AE450" s="471">
        <f t="shared" si="411"/>
        <v>0</v>
      </c>
      <c r="AF450" s="471">
        <f t="shared" si="412"/>
        <v>0</v>
      </c>
      <c r="AG450" s="140" t="str">
        <f t="shared" si="413"/>
        <v>---</v>
      </c>
      <c r="AH450" s="140" t="str">
        <f t="shared" si="432"/>
        <v>---</v>
      </c>
      <c r="AI450" s="140">
        <f t="shared" si="433"/>
        <v>999.99</v>
      </c>
      <c r="AJ450" s="263">
        <f t="shared" si="414"/>
        <v>0</v>
      </c>
      <c r="AK450" s="173" t="str">
        <f>WORKSHEET_CONSTR!F389</f>
        <v>---</v>
      </c>
      <c r="AL450" s="141" t="str">
        <f>IF(WORKSHEET_CONSTR!P389="---","---",WORKSHEET_CONSTR!M389)</f>
        <v>---</v>
      </c>
      <c r="AM450" s="140">
        <f t="shared" si="434"/>
        <v>999.99</v>
      </c>
      <c r="AN450" s="263">
        <f t="shared" si="435"/>
        <v>0</v>
      </c>
      <c r="AO450" s="265"/>
      <c r="AP450" s="140" t="str">
        <f t="shared" si="436"/>
        <v>---</v>
      </c>
      <c r="AQ450" s="140" t="str">
        <f t="shared" si="415"/>
        <v>---</v>
      </c>
      <c r="AR450" s="140">
        <f t="shared" si="437"/>
        <v>999.99</v>
      </c>
      <c r="AS450" s="263">
        <f t="shared" si="416"/>
        <v>0</v>
      </c>
      <c r="AT450" s="140" t="str">
        <f>WORKSHEET_CONSTR!F389</f>
        <v>---</v>
      </c>
      <c r="AU450" s="140" t="str">
        <f>WORKSHEET_CONSTR!P453</f>
        <v>---</v>
      </c>
      <c r="AV450" s="140">
        <f t="shared" si="438"/>
        <v>999.99</v>
      </c>
      <c r="AW450" s="263">
        <f t="shared" si="417"/>
        <v>0</v>
      </c>
      <c r="AX450" s="267" t="str">
        <f>IF(INPUT!Q133&lt;&gt;0,INPUT!Q133,"---")</f>
        <v>---</v>
      </c>
      <c r="AY450" s="140" t="str">
        <f t="shared" si="418"/>
        <v>---</v>
      </c>
      <c r="AZ450" s="140">
        <f t="shared" si="439"/>
        <v>999.99</v>
      </c>
      <c r="BA450" s="263">
        <f t="shared" si="419"/>
        <v>0</v>
      </c>
      <c r="BB450" s="140" t="str">
        <f t="shared" si="440"/>
        <v>---</v>
      </c>
      <c r="BC450" s="140" t="str">
        <f>WORKSHEET_CONSTR!S389</f>
        <v>---</v>
      </c>
      <c r="BD450" s="140">
        <f t="shared" si="441"/>
        <v>999.99</v>
      </c>
      <c r="BE450" s="263">
        <f t="shared" si="420"/>
        <v>0</v>
      </c>
      <c r="BF450" s="265"/>
      <c r="BG450" s="140" t="str">
        <f t="shared" si="442"/>
        <v>---</v>
      </c>
      <c r="BH450" s="140" t="str">
        <f t="shared" si="421"/>
        <v>---</v>
      </c>
      <c r="BI450" s="140">
        <f t="shared" si="443"/>
        <v>999.99</v>
      </c>
      <c r="BJ450" s="263">
        <f t="shared" si="422"/>
        <v>0</v>
      </c>
      <c r="BK450" s="140" t="str">
        <f t="shared" si="444"/>
        <v>---</v>
      </c>
      <c r="BL450" s="140" t="str">
        <f>WORKSHEET_CONSTR!Q511</f>
        <v>---</v>
      </c>
      <c r="BM450" s="140">
        <f t="shared" si="445"/>
        <v>999.99</v>
      </c>
      <c r="BN450" s="263">
        <f t="shared" si="423"/>
        <v>0</v>
      </c>
    </row>
    <row r="451" spans="1:66">
      <c r="A451" s="438" t="str">
        <f t="shared" si="446"/>
        <v>---</v>
      </c>
      <c r="B451" s="294" t="str">
        <f t="shared" si="446"/>
        <v>---</v>
      </c>
      <c r="C451" s="294" t="str">
        <f t="shared" si="424"/>
        <v>---</v>
      </c>
      <c r="D451" s="294" t="str">
        <f t="shared" si="425"/>
        <v>---</v>
      </c>
      <c r="E451" s="294" t="str">
        <f t="shared" si="395"/>
        <v>---</v>
      </c>
      <c r="F451" s="294" t="str">
        <f t="shared" si="426"/>
        <v>---</v>
      </c>
      <c r="G451" s="291" t="str">
        <f>IF(A451="---","---",IF(Type_Reinf="g",$I$414,IF(AND(Type_Reinf="s",Type_Steel_Strip="s")=TRUE,$I$416,IF(C451&gt;=20,IF(Type_Reinf="s",$F$415,10*INPUT!$J$111/INPUT!$I$111),IF(Type_Reinf="s",MIN(1.2+LOG(Cu),2)-C451*((MIN(1.2+LOG(Cu),2)-TAN(RADIANS(PHI_reinf)))/20),20*(INPUT!$J$111/INPUT!$I$111)-10*(INPUT!$J$111/INPUT!$I$111)*C451/20)))))</f>
        <v>---</v>
      </c>
      <c r="H451" s="294" t="str">
        <f t="shared" si="427"/>
        <v>---</v>
      </c>
      <c r="I451" s="294" t="str">
        <f t="shared" si="398"/>
        <v>---</v>
      </c>
      <c r="J451" s="294" t="str">
        <f t="shared" si="428"/>
        <v>---</v>
      </c>
      <c r="K451" s="294" t="str">
        <f t="shared" si="399"/>
        <v>---</v>
      </c>
      <c r="L451" s="294" t="str">
        <f t="shared" si="400"/>
        <v>---</v>
      </c>
      <c r="M451" s="294" t="str">
        <f t="shared" si="401"/>
        <v>---</v>
      </c>
      <c r="N451" s="291" t="str">
        <f t="shared" si="402"/>
        <v>---</v>
      </c>
      <c r="O451" s="294" t="str">
        <f t="shared" si="403"/>
        <v>---</v>
      </c>
      <c r="P451" s="294" t="str">
        <f t="shared" si="404"/>
        <v>---</v>
      </c>
      <c r="Q451" s="441" t="str">
        <f t="shared" si="405"/>
        <v>---</v>
      </c>
      <c r="R451" s="291" t="str">
        <f t="shared" si="429"/>
        <v>---</v>
      </c>
      <c r="S451" s="294" t="str">
        <f t="shared" si="430"/>
        <v>---</v>
      </c>
      <c r="T451" s="294" t="str">
        <f t="shared" si="406"/>
        <v>---</v>
      </c>
      <c r="U451" s="438" t="str">
        <f t="shared" si="431"/>
        <v>---</v>
      </c>
      <c r="V451" s="476" t="str">
        <f t="shared" si="407"/>
        <v>---</v>
      </c>
      <c r="W451" s="291" t="str">
        <f t="shared" si="408"/>
        <v>---</v>
      </c>
      <c r="X451" s="484"/>
      <c r="AC451" s="17" t="str">
        <f t="shared" si="409"/>
        <v>---</v>
      </c>
      <c r="AD451" s="17" t="str">
        <f t="shared" si="410"/>
        <v>---</v>
      </c>
      <c r="AE451" s="471">
        <f t="shared" si="411"/>
        <v>0</v>
      </c>
      <c r="AF451" s="471">
        <f t="shared" si="412"/>
        <v>0</v>
      </c>
      <c r="AG451" s="140" t="str">
        <f t="shared" si="413"/>
        <v>---</v>
      </c>
      <c r="AH451" s="140" t="str">
        <f t="shared" si="432"/>
        <v>---</v>
      </c>
      <c r="AI451" s="140">
        <f t="shared" si="433"/>
        <v>999.99</v>
      </c>
      <c r="AJ451" s="263">
        <f t="shared" si="414"/>
        <v>0</v>
      </c>
      <c r="AK451" s="173" t="str">
        <f>WORKSHEET_CONSTR!F390</f>
        <v>---</v>
      </c>
      <c r="AL451" s="141" t="str">
        <f>IF(WORKSHEET_CONSTR!P390="---","---",WORKSHEET_CONSTR!M390)</f>
        <v>---</v>
      </c>
      <c r="AM451" s="140">
        <f t="shared" si="434"/>
        <v>999.99</v>
      </c>
      <c r="AN451" s="263">
        <f t="shared" si="435"/>
        <v>0</v>
      </c>
      <c r="AO451" s="265"/>
      <c r="AP451" s="140" t="str">
        <f t="shared" si="436"/>
        <v>---</v>
      </c>
      <c r="AQ451" s="140" t="str">
        <f t="shared" si="415"/>
        <v>---</v>
      </c>
      <c r="AR451" s="140">
        <f t="shared" si="437"/>
        <v>999.99</v>
      </c>
      <c r="AS451" s="263">
        <f t="shared" si="416"/>
        <v>0</v>
      </c>
      <c r="AT451" s="140" t="str">
        <f>WORKSHEET_CONSTR!F390</f>
        <v>---</v>
      </c>
      <c r="AU451" s="140" t="str">
        <f>WORKSHEET_CONSTR!P454</f>
        <v>---</v>
      </c>
      <c r="AV451" s="140">
        <f t="shared" si="438"/>
        <v>999.99</v>
      </c>
      <c r="AW451" s="263">
        <f t="shared" si="417"/>
        <v>0</v>
      </c>
      <c r="AX451" s="267" t="str">
        <f>IF(INPUT!Q134&lt;&gt;0,INPUT!Q134,"---")</f>
        <v>---</v>
      </c>
      <c r="AY451" s="140" t="str">
        <f t="shared" si="418"/>
        <v>---</v>
      </c>
      <c r="AZ451" s="140">
        <f t="shared" si="439"/>
        <v>999.99</v>
      </c>
      <c r="BA451" s="263">
        <f t="shared" si="419"/>
        <v>0</v>
      </c>
      <c r="BB451" s="140" t="str">
        <f t="shared" si="440"/>
        <v>---</v>
      </c>
      <c r="BC451" s="140" t="str">
        <f>WORKSHEET_CONSTR!S390</f>
        <v>---</v>
      </c>
      <c r="BD451" s="140">
        <f t="shared" si="441"/>
        <v>999.99</v>
      </c>
      <c r="BE451" s="263">
        <f t="shared" si="420"/>
        <v>0</v>
      </c>
      <c r="BF451" s="265"/>
      <c r="BG451" s="140" t="str">
        <f t="shared" si="442"/>
        <v>---</v>
      </c>
      <c r="BH451" s="140" t="str">
        <f t="shared" si="421"/>
        <v>---</v>
      </c>
      <c r="BI451" s="140">
        <f t="shared" si="443"/>
        <v>999.99</v>
      </c>
      <c r="BJ451" s="263">
        <f t="shared" si="422"/>
        <v>0</v>
      </c>
      <c r="BK451" s="140" t="str">
        <f t="shared" si="444"/>
        <v>---</v>
      </c>
      <c r="BL451" s="140" t="str">
        <f>WORKSHEET_CONSTR!Q512</f>
        <v>---</v>
      </c>
      <c r="BM451" s="140">
        <f t="shared" si="445"/>
        <v>999.99</v>
      </c>
      <c r="BN451" s="263">
        <f t="shared" si="423"/>
        <v>0</v>
      </c>
    </row>
    <row r="452" spans="1:66">
      <c r="A452" s="438" t="str">
        <f t="shared" si="446"/>
        <v>---</v>
      </c>
      <c r="B452" s="294" t="str">
        <f t="shared" si="446"/>
        <v>---</v>
      </c>
      <c r="C452" s="294" t="str">
        <f t="shared" si="424"/>
        <v>---</v>
      </c>
      <c r="D452" s="294" t="str">
        <f t="shared" si="425"/>
        <v>---</v>
      </c>
      <c r="E452" s="294" t="str">
        <f t="shared" si="395"/>
        <v>---</v>
      </c>
      <c r="F452" s="294" t="str">
        <f t="shared" si="426"/>
        <v>---</v>
      </c>
      <c r="G452" s="291" t="str">
        <f>IF(A452="---","---",IF(Type_Reinf="g",$I$414,IF(AND(Type_Reinf="s",Type_Steel_Strip="s")=TRUE,$I$416,IF(C452&gt;=20,IF(Type_Reinf="s",$F$415,10*INPUT!$J$111/INPUT!$I$111),IF(Type_Reinf="s",MIN(1.2+LOG(Cu),2)-C452*((MIN(1.2+LOG(Cu),2)-TAN(RADIANS(PHI_reinf)))/20),20*(INPUT!$J$111/INPUT!$I$111)-10*(INPUT!$J$111/INPUT!$I$111)*C452/20)))))</f>
        <v>---</v>
      </c>
      <c r="H452" s="294" t="str">
        <f t="shared" si="427"/>
        <v>---</v>
      </c>
      <c r="I452" s="294" t="str">
        <f t="shared" si="398"/>
        <v>---</v>
      </c>
      <c r="J452" s="294" t="str">
        <f t="shared" si="428"/>
        <v>---</v>
      </c>
      <c r="K452" s="294" t="str">
        <f t="shared" si="399"/>
        <v>---</v>
      </c>
      <c r="L452" s="294" t="str">
        <f t="shared" si="400"/>
        <v>---</v>
      </c>
      <c r="M452" s="294" t="str">
        <f t="shared" si="401"/>
        <v>---</v>
      </c>
      <c r="N452" s="291" t="str">
        <f t="shared" si="402"/>
        <v>---</v>
      </c>
      <c r="O452" s="294" t="str">
        <f t="shared" si="403"/>
        <v>---</v>
      </c>
      <c r="P452" s="294" t="str">
        <f t="shared" si="404"/>
        <v>---</v>
      </c>
      <c r="Q452" s="441" t="str">
        <f t="shared" si="405"/>
        <v>---</v>
      </c>
      <c r="R452" s="291" t="str">
        <f t="shared" si="429"/>
        <v>---</v>
      </c>
      <c r="S452" s="294" t="str">
        <f t="shared" si="430"/>
        <v>---</v>
      </c>
      <c r="T452" s="294" t="str">
        <f t="shared" si="406"/>
        <v>---</v>
      </c>
      <c r="U452" s="438" t="str">
        <f t="shared" si="431"/>
        <v>---</v>
      </c>
      <c r="V452" s="476" t="str">
        <f t="shared" si="407"/>
        <v>---</v>
      </c>
      <c r="W452" s="291" t="str">
        <f t="shared" si="408"/>
        <v>---</v>
      </c>
      <c r="X452" s="484"/>
      <c r="AC452" s="17" t="str">
        <f t="shared" si="409"/>
        <v>---</v>
      </c>
      <c r="AD452" s="17" t="str">
        <f t="shared" si="410"/>
        <v>---</v>
      </c>
      <c r="AE452" s="471">
        <f t="shared" si="411"/>
        <v>0</v>
      </c>
      <c r="AF452" s="471">
        <f t="shared" si="412"/>
        <v>0</v>
      </c>
      <c r="AG452" s="140" t="str">
        <f t="shared" si="413"/>
        <v>---</v>
      </c>
      <c r="AH452" s="140" t="str">
        <f t="shared" si="432"/>
        <v>---</v>
      </c>
      <c r="AI452" s="140">
        <f t="shared" si="433"/>
        <v>999.99</v>
      </c>
      <c r="AJ452" s="263">
        <f t="shared" si="414"/>
        <v>0</v>
      </c>
      <c r="AK452" s="173" t="str">
        <f>WORKSHEET_CONSTR!F391</f>
        <v>---</v>
      </c>
      <c r="AL452" s="141" t="str">
        <f>IF(WORKSHEET_CONSTR!P391="---","---",WORKSHEET_CONSTR!M391)</f>
        <v>---</v>
      </c>
      <c r="AM452" s="140">
        <f t="shared" si="434"/>
        <v>999.99</v>
      </c>
      <c r="AN452" s="263">
        <f t="shared" si="435"/>
        <v>0</v>
      </c>
      <c r="AO452" s="265"/>
      <c r="AP452" s="140" t="str">
        <f t="shared" si="436"/>
        <v>---</v>
      </c>
      <c r="AQ452" s="140" t="str">
        <f t="shared" si="415"/>
        <v>---</v>
      </c>
      <c r="AR452" s="140">
        <f t="shared" si="437"/>
        <v>999.99</v>
      </c>
      <c r="AS452" s="263">
        <f t="shared" si="416"/>
        <v>0</v>
      </c>
      <c r="AT452" s="140" t="str">
        <f>WORKSHEET_CONSTR!F391</f>
        <v>---</v>
      </c>
      <c r="AU452" s="140" t="str">
        <f>WORKSHEET_CONSTR!P455</f>
        <v>---</v>
      </c>
      <c r="AV452" s="140">
        <f t="shared" si="438"/>
        <v>999.99</v>
      </c>
      <c r="AW452" s="263">
        <f t="shared" si="417"/>
        <v>0</v>
      </c>
      <c r="AX452" s="267" t="str">
        <f>IF(INPUT!Q135&lt;&gt;0,INPUT!Q135,"---")</f>
        <v>---</v>
      </c>
      <c r="AY452" s="140" t="str">
        <f t="shared" si="418"/>
        <v>---</v>
      </c>
      <c r="AZ452" s="140">
        <f t="shared" si="439"/>
        <v>999.99</v>
      </c>
      <c r="BA452" s="263">
        <f t="shared" si="419"/>
        <v>0</v>
      </c>
      <c r="BB452" s="140" t="str">
        <f t="shared" si="440"/>
        <v>---</v>
      </c>
      <c r="BC452" s="140" t="str">
        <f>WORKSHEET_CONSTR!S391</f>
        <v>---</v>
      </c>
      <c r="BD452" s="140">
        <f t="shared" si="441"/>
        <v>999.99</v>
      </c>
      <c r="BE452" s="263">
        <f t="shared" si="420"/>
        <v>0</v>
      </c>
      <c r="BF452" s="265"/>
      <c r="BG452" s="140" t="str">
        <f t="shared" si="442"/>
        <v>---</v>
      </c>
      <c r="BH452" s="140" t="str">
        <f t="shared" si="421"/>
        <v>---</v>
      </c>
      <c r="BI452" s="140">
        <f t="shared" si="443"/>
        <v>999.99</v>
      </c>
      <c r="BJ452" s="263">
        <f t="shared" si="422"/>
        <v>0</v>
      </c>
      <c r="BK452" s="140" t="str">
        <f t="shared" si="444"/>
        <v>---</v>
      </c>
      <c r="BL452" s="140" t="str">
        <f>WORKSHEET_CONSTR!Q513</f>
        <v>---</v>
      </c>
      <c r="BM452" s="140">
        <f t="shared" si="445"/>
        <v>999.99</v>
      </c>
      <c r="BN452" s="263">
        <f t="shared" si="423"/>
        <v>0</v>
      </c>
    </row>
    <row r="453" spans="1:66">
      <c r="A453" s="438" t="str">
        <f t="shared" si="446"/>
        <v>---</v>
      </c>
      <c r="B453" s="294" t="str">
        <f t="shared" si="446"/>
        <v>---</v>
      </c>
      <c r="C453" s="294" t="str">
        <f t="shared" si="424"/>
        <v>---</v>
      </c>
      <c r="D453" s="294" t="str">
        <f t="shared" si="425"/>
        <v>---</v>
      </c>
      <c r="E453" s="294" t="str">
        <f t="shared" si="395"/>
        <v>---</v>
      </c>
      <c r="F453" s="294" t="str">
        <f t="shared" si="426"/>
        <v>---</v>
      </c>
      <c r="G453" s="291" t="str">
        <f>IF(A453="---","---",IF(Type_Reinf="g",$I$414,IF(AND(Type_Reinf="s",Type_Steel_Strip="s")=TRUE,$I$416,IF(C453&gt;=20,IF(Type_Reinf="s",$F$415,10*INPUT!$J$111/INPUT!$I$111),IF(Type_Reinf="s",MIN(1.2+LOG(Cu),2)-C453*((MIN(1.2+LOG(Cu),2)-TAN(RADIANS(PHI_reinf)))/20),20*(INPUT!$J$111/INPUT!$I$111)-10*(INPUT!$J$111/INPUT!$I$111)*C453/20)))))</f>
        <v>---</v>
      </c>
      <c r="H453" s="294" t="str">
        <f t="shared" si="427"/>
        <v>---</v>
      </c>
      <c r="I453" s="294" t="str">
        <f t="shared" si="398"/>
        <v>---</v>
      </c>
      <c r="J453" s="294" t="str">
        <f t="shared" si="428"/>
        <v>---</v>
      </c>
      <c r="K453" s="294" t="str">
        <f t="shared" si="399"/>
        <v>---</v>
      </c>
      <c r="L453" s="294" t="str">
        <f t="shared" si="400"/>
        <v>---</v>
      </c>
      <c r="M453" s="294" t="str">
        <f t="shared" si="401"/>
        <v>---</v>
      </c>
      <c r="N453" s="291" t="str">
        <f t="shared" si="402"/>
        <v>---</v>
      </c>
      <c r="O453" s="294" t="str">
        <f t="shared" si="403"/>
        <v>---</v>
      </c>
      <c r="P453" s="294" t="str">
        <f t="shared" si="404"/>
        <v>---</v>
      </c>
      <c r="Q453" s="441" t="str">
        <f t="shared" si="405"/>
        <v>---</v>
      </c>
      <c r="R453" s="291" t="str">
        <f t="shared" si="429"/>
        <v>---</v>
      </c>
      <c r="S453" s="294" t="str">
        <f t="shared" si="430"/>
        <v>---</v>
      </c>
      <c r="T453" s="294" t="str">
        <f t="shared" si="406"/>
        <v>---</v>
      </c>
      <c r="U453" s="438" t="str">
        <f t="shared" si="431"/>
        <v>---</v>
      </c>
      <c r="V453" s="476" t="str">
        <f t="shared" si="407"/>
        <v>---</v>
      </c>
      <c r="W453" s="291" t="str">
        <f t="shared" si="408"/>
        <v>---</v>
      </c>
      <c r="X453" s="484"/>
      <c r="AC453" s="17" t="str">
        <f t="shared" si="409"/>
        <v>---</v>
      </c>
      <c r="AD453" s="17" t="str">
        <f t="shared" si="410"/>
        <v>---</v>
      </c>
      <c r="AE453" s="471">
        <f t="shared" si="411"/>
        <v>0</v>
      </c>
      <c r="AF453" s="471">
        <f t="shared" si="412"/>
        <v>0</v>
      </c>
      <c r="AG453" s="140" t="str">
        <f t="shared" si="413"/>
        <v>---</v>
      </c>
      <c r="AH453" s="140" t="str">
        <f t="shared" si="432"/>
        <v>---</v>
      </c>
      <c r="AI453" s="140">
        <f t="shared" si="433"/>
        <v>999.99</v>
      </c>
      <c r="AJ453" s="263">
        <f t="shared" si="414"/>
        <v>0</v>
      </c>
      <c r="AK453" s="173" t="str">
        <f>WORKSHEET_CONSTR!F392</f>
        <v>---</v>
      </c>
      <c r="AL453" s="141" t="str">
        <f>IF(WORKSHEET_CONSTR!P392="---","---",WORKSHEET_CONSTR!M392)</f>
        <v>---</v>
      </c>
      <c r="AM453" s="140">
        <f t="shared" si="434"/>
        <v>999.99</v>
      </c>
      <c r="AN453" s="263">
        <f t="shared" si="435"/>
        <v>0</v>
      </c>
      <c r="AO453" s="265"/>
      <c r="AP453" s="140" t="str">
        <f t="shared" si="436"/>
        <v>---</v>
      </c>
      <c r="AQ453" s="140" t="str">
        <f t="shared" si="415"/>
        <v>---</v>
      </c>
      <c r="AR453" s="140">
        <f t="shared" si="437"/>
        <v>999.99</v>
      </c>
      <c r="AS453" s="263">
        <f t="shared" si="416"/>
        <v>0</v>
      </c>
      <c r="AT453" s="140" t="str">
        <f>WORKSHEET_CONSTR!F392</f>
        <v>---</v>
      </c>
      <c r="AU453" s="140" t="str">
        <f>WORKSHEET_CONSTR!P456</f>
        <v>---</v>
      </c>
      <c r="AV453" s="140">
        <f t="shared" si="438"/>
        <v>999.99</v>
      </c>
      <c r="AW453" s="263">
        <f t="shared" si="417"/>
        <v>0</v>
      </c>
      <c r="AX453" s="267" t="str">
        <f>IF(INPUT!Q136&lt;&gt;0,INPUT!Q136,"---")</f>
        <v>---</v>
      </c>
      <c r="AY453" s="140" t="str">
        <f t="shared" si="418"/>
        <v>---</v>
      </c>
      <c r="AZ453" s="140">
        <f t="shared" si="439"/>
        <v>999.99</v>
      </c>
      <c r="BA453" s="263">
        <f t="shared" si="419"/>
        <v>0</v>
      </c>
      <c r="BB453" s="140" t="str">
        <f t="shared" si="440"/>
        <v>---</v>
      </c>
      <c r="BC453" s="140" t="str">
        <f>WORKSHEET_CONSTR!S392</f>
        <v>---</v>
      </c>
      <c r="BD453" s="140">
        <f t="shared" si="441"/>
        <v>999.99</v>
      </c>
      <c r="BE453" s="263">
        <f t="shared" si="420"/>
        <v>0</v>
      </c>
      <c r="BF453" s="265"/>
      <c r="BG453" s="140" t="str">
        <f t="shared" si="442"/>
        <v>---</v>
      </c>
      <c r="BH453" s="140" t="str">
        <f t="shared" si="421"/>
        <v>---</v>
      </c>
      <c r="BI453" s="140">
        <f t="shared" si="443"/>
        <v>999.99</v>
      </c>
      <c r="BJ453" s="263">
        <f t="shared" si="422"/>
        <v>0</v>
      </c>
      <c r="BK453" s="140" t="str">
        <f t="shared" si="444"/>
        <v>---</v>
      </c>
      <c r="BL453" s="140" t="str">
        <f>WORKSHEET_CONSTR!Q514</f>
        <v>---</v>
      </c>
      <c r="BM453" s="140">
        <f t="shared" si="445"/>
        <v>999.99</v>
      </c>
      <c r="BN453" s="263">
        <f t="shared" si="423"/>
        <v>0</v>
      </c>
    </row>
    <row r="454" spans="1:66">
      <c r="A454" s="438" t="str">
        <f t="shared" si="446"/>
        <v>---</v>
      </c>
      <c r="B454" s="294" t="str">
        <f t="shared" si="446"/>
        <v>---</v>
      </c>
      <c r="C454" s="294" t="str">
        <f t="shared" si="424"/>
        <v>---</v>
      </c>
      <c r="D454" s="294" t="str">
        <f t="shared" si="425"/>
        <v>---</v>
      </c>
      <c r="E454" s="294" t="str">
        <f t="shared" si="395"/>
        <v>---</v>
      </c>
      <c r="F454" s="294" t="str">
        <f t="shared" si="426"/>
        <v>---</v>
      </c>
      <c r="G454" s="291" t="str">
        <f>IF(A454="---","---",IF(Type_Reinf="g",$I$414,IF(AND(Type_Reinf="s",Type_Steel_Strip="s")=TRUE,$I$416,IF(C454&gt;=20,IF(Type_Reinf="s",$F$415,10*INPUT!$J$111/INPUT!$I$111),IF(Type_Reinf="s",MIN(1.2+LOG(Cu),2)-C454*((MIN(1.2+LOG(Cu),2)-TAN(RADIANS(PHI_reinf)))/20),20*(INPUT!$J$111/INPUT!$I$111)-10*(INPUT!$J$111/INPUT!$I$111)*C454/20)))))</f>
        <v>---</v>
      </c>
      <c r="H454" s="294" t="str">
        <f t="shared" si="427"/>
        <v>---</v>
      </c>
      <c r="I454" s="294" t="str">
        <f t="shared" si="398"/>
        <v>---</v>
      </c>
      <c r="J454" s="294" t="str">
        <f t="shared" si="428"/>
        <v>---</v>
      </c>
      <c r="K454" s="294" t="str">
        <f t="shared" si="399"/>
        <v>---</v>
      </c>
      <c r="L454" s="294" t="str">
        <f t="shared" si="400"/>
        <v>---</v>
      </c>
      <c r="M454" s="294" t="str">
        <f t="shared" si="401"/>
        <v>---</v>
      </c>
      <c r="N454" s="291" t="str">
        <f t="shared" si="402"/>
        <v>---</v>
      </c>
      <c r="O454" s="294" t="str">
        <f t="shared" si="403"/>
        <v>---</v>
      </c>
      <c r="P454" s="294" t="str">
        <f t="shared" si="404"/>
        <v>---</v>
      </c>
      <c r="Q454" s="441" t="str">
        <f t="shared" si="405"/>
        <v>---</v>
      </c>
      <c r="R454" s="291" t="str">
        <f t="shared" si="429"/>
        <v>---</v>
      </c>
      <c r="S454" s="294" t="str">
        <f t="shared" si="430"/>
        <v>---</v>
      </c>
      <c r="T454" s="294" t="str">
        <f t="shared" si="406"/>
        <v>---</v>
      </c>
      <c r="U454" s="438" t="str">
        <f t="shared" si="431"/>
        <v>---</v>
      </c>
      <c r="V454" s="476" t="str">
        <f t="shared" si="407"/>
        <v>---</v>
      </c>
      <c r="W454" s="291" t="str">
        <f t="shared" si="408"/>
        <v>---</v>
      </c>
      <c r="X454" s="484"/>
      <c r="AC454" s="17" t="str">
        <f t="shared" si="409"/>
        <v>---</v>
      </c>
      <c r="AD454" s="17" t="str">
        <f t="shared" si="410"/>
        <v>---</v>
      </c>
      <c r="AE454" s="471">
        <f t="shared" si="411"/>
        <v>0</v>
      </c>
      <c r="AF454" s="471">
        <f t="shared" si="412"/>
        <v>0</v>
      </c>
      <c r="AG454" s="140" t="str">
        <f t="shared" si="413"/>
        <v>---</v>
      </c>
      <c r="AH454" s="140" t="str">
        <f t="shared" si="432"/>
        <v>---</v>
      </c>
      <c r="AI454" s="140">
        <f t="shared" si="433"/>
        <v>999.99</v>
      </c>
      <c r="AJ454" s="263">
        <f t="shared" si="414"/>
        <v>0</v>
      </c>
      <c r="AK454" s="173" t="str">
        <f>WORKSHEET_CONSTR!F393</f>
        <v>---</v>
      </c>
      <c r="AL454" s="141" t="str">
        <f>IF(WORKSHEET_CONSTR!P393="---","---",WORKSHEET_CONSTR!M393)</f>
        <v>---</v>
      </c>
      <c r="AM454" s="140">
        <f t="shared" si="434"/>
        <v>999.99</v>
      </c>
      <c r="AN454" s="263">
        <f t="shared" si="435"/>
        <v>0</v>
      </c>
      <c r="AO454" s="265"/>
      <c r="AP454" s="140" t="str">
        <f t="shared" si="436"/>
        <v>---</v>
      </c>
      <c r="AQ454" s="140" t="str">
        <f t="shared" si="415"/>
        <v>---</v>
      </c>
      <c r="AR454" s="140">
        <f t="shared" si="437"/>
        <v>999.99</v>
      </c>
      <c r="AS454" s="263">
        <f t="shared" si="416"/>
        <v>0</v>
      </c>
      <c r="AT454" s="140" t="str">
        <f>WORKSHEET_CONSTR!F393</f>
        <v>---</v>
      </c>
      <c r="AU454" s="140" t="str">
        <f>WORKSHEET_CONSTR!P457</f>
        <v>---</v>
      </c>
      <c r="AV454" s="140">
        <f t="shared" si="438"/>
        <v>999.99</v>
      </c>
      <c r="AW454" s="263">
        <f t="shared" si="417"/>
        <v>0</v>
      </c>
      <c r="AX454" s="267" t="str">
        <f>IF(INPUT!Q137&lt;&gt;0,INPUT!Q137,"---")</f>
        <v>---</v>
      </c>
      <c r="AY454" s="140" t="str">
        <f t="shared" si="418"/>
        <v>---</v>
      </c>
      <c r="AZ454" s="140">
        <f t="shared" si="439"/>
        <v>999.99</v>
      </c>
      <c r="BA454" s="263">
        <f t="shared" si="419"/>
        <v>0</v>
      </c>
      <c r="BB454" s="140" t="str">
        <f t="shared" si="440"/>
        <v>---</v>
      </c>
      <c r="BC454" s="140" t="str">
        <f>WORKSHEET_CONSTR!S393</f>
        <v>---</v>
      </c>
      <c r="BD454" s="140">
        <f t="shared" si="441"/>
        <v>999.99</v>
      </c>
      <c r="BE454" s="263">
        <f t="shared" si="420"/>
        <v>0</v>
      </c>
      <c r="BF454" s="265"/>
      <c r="BG454" s="140" t="str">
        <f t="shared" si="442"/>
        <v>---</v>
      </c>
      <c r="BH454" s="140" t="str">
        <f t="shared" si="421"/>
        <v>---</v>
      </c>
      <c r="BI454" s="140">
        <f t="shared" si="443"/>
        <v>999.99</v>
      </c>
      <c r="BJ454" s="263">
        <f t="shared" si="422"/>
        <v>0</v>
      </c>
      <c r="BK454" s="140" t="str">
        <f t="shared" si="444"/>
        <v>---</v>
      </c>
      <c r="BL454" s="140" t="str">
        <f>WORKSHEET_CONSTR!Q515</f>
        <v>---</v>
      </c>
      <c r="BM454" s="140">
        <f t="shared" si="445"/>
        <v>999.99</v>
      </c>
      <c r="BN454" s="263">
        <f t="shared" si="423"/>
        <v>0</v>
      </c>
    </row>
    <row r="455" spans="1:66">
      <c r="A455" s="438" t="str">
        <f t="shared" si="446"/>
        <v>---</v>
      </c>
      <c r="B455" s="294" t="str">
        <f t="shared" si="446"/>
        <v>---</v>
      </c>
      <c r="C455" s="294" t="str">
        <f t="shared" si="424"/>
        <v>---</v>
      </c>
      <c r="D455" s="294" t="str">
        <f t="shared" si="425"/>
        <v>---</v>
      </c>
      <c r="E455" s="294" t="str">
        <f t="shared" si="395"/>
        <v>---</v>
      </c>
      <c r="F455" s="294" t="str">
        <f t="shared" si="426"/>
        <v>---</v>
      </c>
      <c r="G455" s="291" t="str">
        <f>IF(A455="---","---",IF(Type_Reinf="g",$I$414,IF(AND(Type_Reinf="s",Type_Steel_Strip="s")=TRUE,$I$416,IF(C455&gt;=20,IF(Type_Reinf="s",$F$415,10*INPUT!$J$111/INPUT!$I$111),IF(Type_Reinf="s",MIN(1.2+LOG(Cu),2)-C455*((MIN(1.2+LOG(Cu),2)-TAN(RADIANS(PHI_reinf)))/20),20*(INPUT!$J$111/INPUT!$I$111)-10*(INPUT!$J$111/INPUT!$I$111)*C455/20)))))</f>
        <v>---</v>
      </c>
      <c r="H455" s="294" t="str">
        <f t="shared" si="427"/>
        <v>---</v>
      </c>
      <c r="I455" s="294" t="str">
        <f t="shared" si="398"/>
        <v>---</v>
      </c>
      <c r="J455" s="294" t="str">
        <f t="shared" si="428"/>
        <v>---</v>
      </c>
      <c r="K455" s="294" t="str">
        <f t="shared" si="399"/>
        <v>---</v>
      </c>
      <c r="L455" s="294" t="str">
        <f t="shared" si="400"/>
        <v>---</v>
      </c>
      <c r="M455" s="294" t="str">
        <f t="shared" si="401"/>
        <v>---</v>
      </c>
      <c r="N455" s="291" t="str">
        <f t="shared" si="402"/>
        <v>---</v>
      </c>
      <c r="O455" s="294" t="str">
        <f t="shared" si="403"/>
        <v>---</v>
      </c>
      <c r="P455" s="294" t="str">
        <f t="shared" si="404"/>
        <v>---</v>
      </c>
      <c r="Q455" s="441" t="str">
        <f t="shared" si="405"/>
        <v>---</v>
      </c>
      <c r="R455" s="291" t="str">
        <f t="shared" si="429"/>
        <v>---</v>
      </c>
      <c r="S455" s="294" t="str">
        <f t="shared" si="430"/>
        <v>---</v>
      </c>
      <c r="T455" s="294" t="str">
        <f t="shared" si="406"/>
        <v>---</v>
      </c>
      <c r="U455" s="438" t="str">
        <f t="shared" si="431"/>
        <v>---</v>
      </c>
      <c r="V455" s="476" t="str">
        <f t="shared" si="407"/>
        <v>---</v>
      </c>
      <c r="W455" s="291" t="str">
        <f t="shared" si="408"/>
        <v>---</v>
      </c>
      <c r="X455" s="484"/>
      <c r="AC455" s="17" t="str">
        <f t="shared" si="409"/>
        <v>---</v>
      </c>
      <c r="AD455" s="17" t="str">
        <f t="shared" si="410"/>
        <v>---</v>
      </c>
      <c r="AE455" s="471">
        <f t="shared" si="411"/>
        <v>0</v>
      </c>
      <c r="AF455" s="471">
        <f t="shared" si="412"/>
        <v>0</v>
      </c>
      <c r="AG455" s="140" t="str">
        <f t="shared" si="413"/>
        <v>---</v>
      </c>
      <c r="AH455" s="140" t="str">
        <f t="shared" si="432"/>
        <v>---</v>
      </c>
      <c r="AI455" s="140">
        <f t="shared" si="433"/>
        <v>999.99</v>
      </c>
      <c r="AJ455" s="263">
        <f t="shared" si="414"/>
        <v>0</v>
      </c>
      <c r="AK455" s="173" t="str">
        <f>WORKSHEET_CONSTR!F394</f>
        <v>---</v>
      </c>
      <c r="AL455" s="141" t="str">
        <f>IF(WORKSHEET_CONSTR!P394="---","---",WORKSHEET_CONSTR!M394)</f>
        <v>---</v>
      </c>
      <c r="AM455" s="140">
        <f t="shared" si="434"/>
        <v>999.99</v>
      </c>
      <c r="AN455" s="263">
        <f t="shared" si="435"/>
        <v>0</v>
      </c>
      <c r="AO455" s="265"/>
      <c r="AP455" s="140" t="str">
        <f t="shared" si="436"/>
        <v>---</v>
      </c>
      <c r="AQ455" s="140" t="str">
        <f t="shared" si="415"/>
        <v>---</v>
      </c>
      <c r="AR455" s="140">
        <f t="shared" si="437"/>
        <v>999.99</v>
      </c>
      <c r="AS455" s="263">
        <f t="shared" si="416"/>
        <v>0</v>
      </c>
      <c r="AT455" s="140" t="str">
        <f>WORKSHEET_CONSTR!F394</f>
        <v>---</v>
      </c>
      <c r="AU455" s="140" t="str">
        <f>WORKSHEET_CONSTR!P458</f>
        <v>---</v>
      </c>
      <c r="AV455" s="140">
        <f t="shared" si="438"/>
        <v>999.99</v>
      </c>
      <c r="AW455" s="263">
        <f t="shared" si="417"/>
        <v>0</v>
      </c>
      <c r="AX455" s="267" t="str">
        <f>IF(INPUT!Q138&lt;&gt;0,INPUT!Q138,"---")</f>
        <v>---</v>
      </c>
      <c r="AY455" s="140" t="str">
        <f t="shared" si="418"/>
        <v>---</v>
      </c>
      <c r="AZ455" s="140">
        <f t="shared" si="439"/>
        <v>999.99</v>
      </c>
      <c r="BA455" s="263">
        <f t="shared" si="419"/>
        <v>0</v>
      </c>
      <c r="BB455" s="140" t="str">
        <f t="shared" si="440"/>
        <v>---</v>
      </c>
      <c r="BC455" s="140" t="str">
        <f>WORKSHEET_CONSTR!S394</f>
        <v>---</v>
      </c>
      <c r="BD455" s="140">
        <f t="shared" si="441"/>
        <v>999.99</v>
      </c>
      <c r="BE455" s="263">
        <f t="shared" si="420"/>
        <v>0</v>
      </c>
      <c r="BF455" s="265"/>
      <c r="BG455" s="140" t="str">
        <f t="shared" si="442"/>
        <v>---</v>
      </c>
      <c r="BH455" s="140" t="str">
        <f t="shared" si="421"/>
        <v>---</v>
      </c>
      <c r="BI455" s="140">
        <f t="shared" si="443"/>
        <v>999.99</v>
      </c>
      <c r="BJ455" s="263">
        <f t="shared" si="422"/>
        <v>0</v>
      </c>
      <c r="BK455" s="140" t="str">
        <f t="shared" si="444"/>
        <v>---</v>
      </c>
      <c r="BL455" s="140" t="str">
        <f>WORKSHEET_CONSTR!Q516</f>
        <v>---</v>
      </c>
      <c r="BM455" s="140">
        <f t="shared" si="445"/>
        <v>999.99</v>
      </c>
      <c r="BN455" s="263">
        <f t="shared" si="423"/>
        <v>0</v>
      </c>
    </row>
    <row r="456" spans="1:66">
      <c r="A456" s="438" t="str">
        <f t="shared" si="446"/>
        <v>---</v>
      </c>
      <c r="B456" s="294" t="str">
        <f t="shared" si="446"/>
        <v>---</v>
      </c>
      <c r="C456" s="294" t="str">
        <f t="shared" si="424"/>
        <v>---</v>
      </c>
      <c r="D456" s="294" t="str">
        <f t="shared" si="425"/>
        <v>---</v>
      </c>
      <c r="E456" s="294" t="str">
        <f t="shared" si="395"/>
        <v>---</v>
      </c>
      <c r="F456" s="294" t="str">
        <f t="shared" si="426"/>
        <v>---</v>
      </c>
      <c r="G456" s="291" t="str">
        <f>IF(A456="---","---",IF(Type_Reinf="g",$I$414,IF(AND(Type_Reinf="s",Type_Steel_Strip="s")=TRUE,$I$416,IF(C456&gt;=20,IF(Type_Reinf="s",$F$415,10*INPUT!$J$111/INPUT!$I$111),IF(Type_Reinf="s",MIN(1.2+LOG(Cu),2)-C456*((MIN(1.2+LOG(Cu),2)-TAN(RADIANS(PHI_reinf)))/20),20*(INPUT!$J$111/INPUT!$I$111)-10*(INPUT!$J$111/INPUT!$I$111)*C456/20)))))</f>
        <v>---</v>
      </c>
      <c r="H456" s="294" t="str">
        <f t="shared" si="427"/>
        <v>---</v>
      </c>
      <c r="I456" s="294" t="str">
        <f t="shared" si="398"/>
        <v>---</v>
      </c>
      <c r="J456" s="294" t="str">
        <f t="shared" si="428"/>
        <v>---</v>
      </c>
      <c r="K456" s="294" t="str">
        <f t="shared" si="399"/>
        <v>---</v>
      </c>
      <c r="L456" s="294" t="str">
        <f t="shared" si="400"/>
        <v>---</v>
      </c>
      <c r="M456" s="294" t="str">
        <f t="shared" si="401"/>
        <v>---</v>
      </c>
      <c r="N456" s="291" t="str">
        <f t="shared" si="402"/>
        <v>---</v>
      </c>
      <c r="O456" s="294" t="str">
        <f t="shared" si="403"/>
        <v>---</v>
      </c>
      <c r="P456" s="294" t="str">
        <f t="shared" si="404"/>
        <v>---</v>
      </c>
      <c r="Q456" s="441" t="str">
        <f t="shared" si="405"/>
        <v>---</v>
      </c>
      <c r="R456" s="291" t="str">
        <f t="shared" si="429"/>
        <v>---</v>
      </c>
      <c r="S456" s="294" t="str">
        <f t="shared" si="430"/>
        <v>---</v>
      </c>
      <c r="T456" s="294" t="str">
        <f t="shared" si="406"/>
        <v>---</v>
      </c>
      <c r="U456" s="438" t="str">
        <f t="shared" si="431"/>
        <v>---</v>
      </c>
      <c r="V456" s="476" t="str">
        <f t="shared" si="407"/>
        <v>---</v>
      </c>
      <c r="W456" s="291" t="str">
        <f t="shared" si="408"/>
        <v>---</v>
      </c>
      <c r="X456" s="484"/>
      <c r="AC456" s="17" t="str">
        <f t="shared" si="409"/>
        <v>---</v>
      </c>
      <c r="AD456" s="17" t="str">
        <f t="shared" si="410"/>
        <v>---</v>
      </c>
      <c r="AE456" s="471">
        <f t="shared" si="411"/>
        <v>0</v>
      </c>
      <c r="AF456" s="471">
        <f t="shared" si="412"/>
        <v>0</v>
      </c>
      <c r="AG456" s="140" t="str">
        <f t="shared" si="413"/>
        <v>---</v>
      </c>
      <c r="AH456" s="140" t="str">
        <f t="shared" si="432"/>
        <v>---</v>
      </c>
      <c r="AI456" s="140">
        <f t="shared" si="433"/>
        <v>999.99</v>
      </c>
      <c r="AJ456" s="263">
        <f t="shared" si="414"/>
        <v>0</v>
      </c>
      <c r="AK456" s="173" t="str">
        <f>WORKSHEET_CONSTR!F395</f>
        <v>---</v>
      </c>
      <c r="AL456" s="141" t="str">
        <f>IF(WORKSHEET_CONSTR!P395="---","---",WORKSHEET_CONSTR!M395)</f>
        <v>---</v>
      </c>
      <c r="AM456" s="140">
        <f t="shared" si="434"/>
        <v>999.99</v>
      </c>
      <c r="AN456" s="263">
        <f t="shared" si="435"/>
        <v>0</v>
      </c>
      <c r="AO456" s="265"/>
      <c r="AP456" s="140" t="str">
        <f t="shared" si="436"/>
        <v>---</v>
      </c>
      <c r="AQ456" s="140" t="str">
        <f t="shared" si="415"/>
        <v>---</v>
      </c>
      <c r="AR456" s="140">
        <f t="shared" si="437"/>
        <v>999.99</v>
      </c>
      <c r="AS456" s="263">
        <f t="shared" si="416"/>
        <v>0</v>
      </c>
      <c r="AT456" s="140" t="str">
        <f>WORKSHEET_CONSTR!F395</f>
        <v>---</v>
      </c>
      <c r="AU456" s="140" t="str">
        <f>WORKSHEET_CONSTR!P459</f>
        <v>---</v>
      </c>
      <c r="AV456" s="140">
        <f t="shared" si="438"/>
        <v>999.99</v>
      </c>
      <c r="AW456" s="263">
        <f t="shared" si="417"/>
        <v>0</v>
      </c>
      <c r="AX456" s="267" t="str">
        <f>IF(INPUT!Q139&lt;&gt;0,INPUT!Q139,"---")</f>
        <v>---</v>
      </c>
      <c r="AY456" s="140" t="str">
        <f t="shared" si="418"/>
        <v>---</v>
      </c>
      <c r="AZ456" s="140">
        <f t="shared" si="439"/>
        <v>999.99</v>
      </c>
      <c r="BA456" s="263">
        <f t="shared" si="419"/>
        <v>0</v>
      </c>
      <c r="BB456" s="140" t="str">
        <f t="shared" si="440"/>
        <v>---</v>
      </c>
      <c r="BC456" s="140" t="str">
        <f>WORKSHEET_CONSTR!S395</f>
        <v>---</v>
      </c>
      <c r="BD456" s="140">
        <f t="shared" si="441"/>
        <v>999.99</v>
      </c>
      <c r="BE456" s="263">
        <f t="shared" si="420"/>
        <v>0</v>
      </c>
      <c r="BF456" s="265"/>
      <c r="BG456" s="140" t="str">
        <f t="shared" si="442"/>
        <v>---</v>
      </c>
      <c r="BH456" s="140" t="str">
        <f t="shared" si="421"/>
        <v>---</v>
      </c>
      <c r="BI456" s="140">
        <f t="shared" si="443"/>
        <v>999.99</v>
      </c>
      <c r="BJ456" s="263">
        <f t="shared" si="422"/>
        <v>0</v>
      </c>
      <c r="BK456" s="140" t="str">
        <f t="shared" si="444"/>
        <v>---</v>
      </c>
      <c r="BL456" s="140" t="str">
        <f>WORKSHEET_CONSTR!Q517</f>
        <v>---</v>
      </c>
      <c r="BM456" s="140">
        <f t="shared" si="445"/>
        <v>999.99</v>
      </c>
      <c r="BN456" s="263">
        <f t="shared" si="423"/>
        <v>0</v>
      </c>
    </row>
    <row r="457" spans="1:66">
      <c r="A457" s="438" t="str">
        <f t="shared" si="446"/>
        <v>---</v>
      </c>
      <c r="B457" s="294" t="str">
        <f t="shared" si="446"/>
        <v>---</v>
      </c>
      <c r="C457" s="294" t="str">
        <f t="shared" si="424"/>
        <v>---</v>
      </c>
      <c r="D457" s="294" t="str">
        <f t="shared" si="425"/>
        <v>---</v>
      </c>
      <c r="E457" s="294" t="str">
        <f t="shared" si="395"/>
        <v>---</v>
      </c>
      <c r="F457" s="294" t="str">
        <f t="shared" si="426"/>
        <v>---</v>
      </c>
      <c r="G457" s="291" t="str">
        <f>IF(A457="---","---",IF(Type_Reinf="g",$I$414,IF(AND(Type_Reinf="s",Type_Steel_Strip="s")=TRUE,$I$416,IF(C457&gt;=20,IF(Type_Reinf="s",$F$415,10*INPUT!$J$111/INPUT!$I$111),IF(Type_Reinf="s",MIN(1.2+LOG(Cu),2)-C457*((MIN(1.2+LOG(Cu),2)-TAN(RADIANS(PHI_reinf)))/20),20*(INPUT!$J$111/INPUT!$I$111)-10*(INPUT!$J$111/INPUT!$I$111)*C457/20)))))</f>
        <v>---</v>
      </c>
      <c r="H457" s="294" t="str">
        <f t="shared" si="427"/>
        <v>---</v>
      </c>
      <c r="I457" s="294" t="str">
        <f t="shared" si="398"/>
        <v>---</v>
      </c>
      <c r="J457" s="294" t="str">
        <f t="shared" si="428"/>
        <v>---</v>
      </c>
      <c r="K457" s="294" t="str">
        <f t="shared" si="399"/>
        <v>---</v>
      </c>
      <c r="L457" s="294" t="str">
        <f t="shared" si="400"/>
        <v>---</v>
      </c>
      <c r="M457" s="294" t="str">
        <f t="shared" si="401"/>
        <v>---</v>
      </c>
      <c r="N457" s="291" t="str">
        <f t="shared" si="402"/>
        <v>---</v>
      </c>
      <c r="O457" s="294" t="str">
        <f t="shared" si="403"/>
        <v>---</v>
      </c>
      <c r="P457" s="294" t="str">
        <f t="shared" si="404"/>
        <v>---</v>
      </c>
      <c r="Q457" s="441" t="str">
        <f t="shared" si="405"/>
        <v>---</v>
      </c>
      <c r="R457" s="291" t="str">
        <f t="shared" si="429"/>
        <v>---</v>
      </c>
      <c r="S457" s="294" t="str">
        <f t="shared" si="430"/>
        <v>---</v>
      </c>
      <c r="T457" s="294" t="str">
        <f t="shared" si="406"/>
        <v>---</v>
      </c>
      <c r="U457" s="438" t="str">
        <f t="shared" si="431"/>
        <v>---</v>
      </c>
      <c r="V457" s="476" t="str">
        <f t="shared" si="407"/>
        <v>---</v>
      </c>
      <c r="W457" s="291" t="str">
        <f t="shared" si="408"/>
        <v>---</v>
      </c>
      <c r="X457" s="484"/>
      <c r="AC457" s="17" t="str">
        <f t="shared" si="409"/>
        <v>---</v>
      </c>
      <c r="AD457" s="17" t="str">
        <f t="shared" si="410"/>
        <v>---</v>
      </c>
      <c r="AE457" s="471">
        <f t="shared" si="411"/>
        <v>0</v>
      </c>
      <c r="AF457" s="471">
        <f t="shared" si="412"/>
        <v>0</v>
      </c>
      <c r="AG457" s="140" t="str">
        <f t="shared" si="413"/>
        <v>---</v>
      </c>
      <c r="AH457" s="140" t="str">
        <f t="shared" si="432"/>
        <v>---</v>
      </c>
      <c r="AI457" s="140">
        <f t="shared" si="433"/>
        <v>999.99</v>
      </c>
      <c r="AJ457" s="263">
        <f t="shared" si="414"/>
        <v>0</v>
      </c>
      <c r="AK457" s="173" t="str">
        <f>WORKSHEET_CONSTR!F396</f>
        <v>---</v>
      </c>
      <c r="AL457" s="141" t="str">
        <f>IF(WORKSHEET_CONSTR!P396="---","---",WORKSHEET_CONSTR!M396)</f>
        <v>---</v>
      </c>
      <c r="AM457" s="140">
        <f t="shared" si="434"/>
        <v>999.99</v>
      </c>
      <c r="AN457" s="263">
        <f t="shared" si="435"/>
        <v>0</v>
      </c>
      <c r="AO457" s="265"/>
      <c r="AP457" s="140" t="str">
        <f t="shared" si="436"/>
        <v>---</v>
      </c>
      <c r="AQ457" s="140" t="str">
        <f t="shared" si="415"/>
        <v>---</v>
      </c>
      <c r="AR457" s="140">
        <f t="shared" si="437"/>
        <v>999.99</v>
      </c>
      <c r="AS457" s="263">
        <f t="shared" si="416"/>
        <v>0</v>
      </c>
      <c r="AT457" s="140" t="str">
        <f>WORKSHEET_CONSTR!F396</f>
        <v>---</v>
      </c>
      <c r="AU457" s="140" t="str">
        <f>WORKSHEET_CONSTR!P460</f>
        <v>---</v>
      </c>
      <c r="AV457" s="140">
        <f t="shared" si="438"/>
        <v>999.99</v>
      </c>
      <c r="AW457" s="263">
        <f t="shared" si="417"/>
        <v>0</v>
      </c>
      <c r="AX457" s="267" t="str">
        <f>IF(INPUT!Q140&lt;&gt;0,INPUT!Q140,"---")</f>
        <v>---</v>
      </c>
      <c r="AY457" s="140" t="str">
        <f t="shared" si="418"/>
        <v>---</v>
      </c>
      <c r="AZ457" s="140">
        <f t="shared" si="439"/>
        <v>999.99</v>
      </c>
      <c r="BA457" s="263">
        <f t="shared" si="419"/>
        <v>0</v>
      </c>
      <c r="BB457" s="140" t="str">
        <f t="shared" si="440"/>
        <v>---</v>
      </c>
      <c r="BC457" s="140" t="str">
        <f>WORKSHEET_CONSTR!S396</f>
        <v>---</v>
      </c>
      <c r="BD457" s="140">
        <f t="shared" si="441"/>
        <v>999.99</v>
      </c>
      <c r="BE457" s="263">
        <f t="shared" si="420"/>
        <v>0</v>
      </c>
      <c r="BF457" s="265"/>
      <c r="BG457" s="140" t="str">
        <f t="shared" si="442"/>
        <v>---</v>
      </c>
      <c r="BH457" s="140" t="str">
        <f t="shared" si="421"/>
        <v>---</v>
      </c>
      <c r="BI457" s="140">
        <f t="shared" si="443"/>
        <v>999.99</v>
      </c>
      <c r="BJ457" s="263">
        <f t="shared" si="422"/>
        <v>0</v>
      </c>
      <c r="BK457" s="140" t="str">
        <f t="shared" si="444"/>
        <v>---</v>
      </c>
      <c r="BL457" s="140" t="str">
        <f>WORKSHEET_CONSTR!Q518</f>
        <v>---</v>
      </c>
      <c r="BM457" s="140">
        <f t="shared" si="445"/>
        <v>999.99</v>
      </c>
      <c r="BN457" s="263">
        <f t="shared" si="423"/>
        <v>0</v>
      </c>
    </row>
    <row r="458" spans="1:66">
      <c r="A458" s="438" t="str">
        <f t="shared" si="446"/>
        <v>---</v>
      </c>
      <c r="B458" s="294" t="str">
        <f t="shared" si="446"/>
        <v>---</v>
      </c>
      <c r="C458" s="294" t="str">
        <f t="shared" si="424"/>
        <v>---</v>
      </c>
      <c r="D458" s="294" t="str">
        <f t="shared" si="425"/>
        <v>---</v>
      </c>
      <c r="E458" s="294" t="str">
        <f t="shared" si="395"/>
        <v>---</v>
      </c>
      <c r="F458" s="294" t="str">
        <f t="shared" si="426"/>
        <v>---</v>
      </c>
      <c r="G458" s="291" t="str">
        <f>IF(A458="---","---",IF(Type_Reinf="g",$I$414,IF(AND(Type_Reinf="s",Type_Steel_Strip="s")=TRUE,$I$416,IF(C458&gt;=20,IF(Type_Reinf="s",$F$415,10*INPUT!$J$111/INPUT!$I$111),IF(Type_Reinf="s",MIN(1.2+LOG(Cu),2)-C458*((MIN(1.2+LOG(Cu),2)-TAN(RADIANS(PHI_reinf)))/20),20*(INPUT!$J$111/INPUT!$I$111)-10*(INPUT!$J$111/INPUT!$I$111)*C458/20)))))</f>
        <v>---</v>
      </c>
      <c r="H458" s="294" t="str">
        <f t="shared" si="427"/>
        <v>---</v>
      </c>
      <c r="I458" s="294" t="str">
        <f t="shared" si="398"/>
        <v>---</v>
      </c>
      <c r="J458" s="294" t="str">
        <f t="shared" si="428"/>
        <v>---</v>
      </c>
      <c r="K458" s="294" t="str">
        <f t="shared" si="399"/>
        <v>---</v>
      </c>
      <c r="L458" s="294" t="str">
        <f t="shared" si="400"/>
        <v>---</v>
      </c>
      <c r="M458" s="294" t="str">
        <f t="shared" si="401"/>
        <v>---</v>
      </c>
      <c r="N458" s="291" t="str">
        <f t="shared" si="402"/>
        <v>---</v>
      </c>
      <c r="O458" s="294" t="str">
        <f t="shared" si="403"/>
        <v>---</v>
      </c>
      <c r="P458" s="294" t="str">
        <f t="shared" si="404"/>
        <v>---</v>
      </c>
      <c r="Q458" s="441" t="str">
        <f t="shared" si="405"/>
        <v>---</v>
      </c>
      <c r="R458" s="291" t="str">
        <f t="shared" si="429"/>
        <v>---</v>
      </c>
      <c r="S458" s="294" t="str">
        <f t="shared" si="430"/>
        <v>---</v>
      </c>
      <c r="T458" s="294" t="str">
        <f t="shared" si="406"/>
        <v>---</v>
      </c>
      <c r="U458" s="438" t="str">
        <f t="shared" si="431"/>
        <v>---</v>
      </c>
      <c r="V458" s="476" t="str">
        <f t="shared" si="407"/>
        <v>---</v>
      </c>
      <c r="W458" s="291" t="str">
        <f t="shared" si="408"/>
        <v>---</v>
      </c>
      <c r="X458" s="484"/>
      <c r="AC458" s="17" t="str">
        <f t="shared" si="409"/>
        <v>---</v>
      </c>
      <c r="AD458" s="17" t="str">
        <f t="shared" si="410"/>
        <v>---</v>
      </c>
      <c r="AE458" s="471">
        <f t="shared" si="411"/>
        <v>0</v>
      </c>
      <c r="AF458" s="471">
        <f t="shared" si="412"/>
        <v>0</v>
      </c>
      <c r="AG458" s="140" t="str">
        <f t="shared" si="413"/>
        <v>---</v>
      </c>
      <c r="AH458" s="140" t="str">
        <f t="shared" si="432"/>
        <v>---</v>
      </c>
      <c r="AI458" s="140">
        <f t="shared" si="433"/>
        <v>999.99</v>
      </c>
      <c r="AJ458" s="263">
        <f t="shared" si="414"/>
        <v>0</v>
      </c>
      <c r="AK458" s="173" t="str">
        <f>WORKSHEET_CONSTR!F397</f>
        <v>---</v>
      </c>
      <c r="AL458" s="141" t="str">
        <f>IF(WORKSHEET_CONSTR!P397="---","---",WORKSHEET_CONSTR!M397)</f>
        <v>---</v>
      </c>
      <c r="AM458" s="140">
        <f t="shared" si="434"/>
        <v>999.99</v>
      </c>
      <c r="AN458" s="263">
        <f t="shared" si="435"/>
        <v>0</v>
      </c>
      <c r="AO458" s="265"/>
      <c r="AP458" s="140" t="str">
        <f t="shared" si="436"/>
        <v>---</v>
      </c>
      <c r="AQ458" s="140" t="str">
        <f t="shared" si="415"/>
        <v>---</v>
      </c>
      <c r="AR458" s="140">
        <f t="shared" si="437"/>
        <v>999.99</v>
      </c>
      <c r="AS458" s="263">
        <f t="shared" si="416"/>
        <v>0</v>
      </c>
      <c r="AT458" s="140" t="str">
        <f>WORKSHEET_CONSTR!F397</f>
        <v>---</v>
      </c>
      <c r="AU458" s="140" t="str">
        <f>WORKSHEET_CONSTR!P461</f>
        <v>---</v>
      </c>
      <c r="AV458" s="140">
        <f t="shared" si="438"/>
        <v>999.99</v>
      </c>
      <c r="AW458" s="263">
        <f t="shared" si="417"/>
        <v>0</v>
      </c>
      <c r="AX458" s="267" t="str">
        <f>IF(INPUT!Q141&lt;&gt;0,INPUT!Q141,"---")</f>
        <v>---</v>
      </c>
      <c r="AY458" s="140" t="str">
        <f t="shared" si="418"/>
        <v>---</v>
      </c>
      <c r="AZ458" s="140">
        <f t="shared" si="439"/>
        <v>999.99</v>
      </c>
      <c r="BA458" s="263">
        <f t="shared" si="419"/>
        <v>0</v>
      </c>
      <c r="BB458" s="140" t="str">
        <f t="shared" si="440"/>
        <v>---</v>
      </c>
      <c r="BC458" s="140" t="str">
        <f>WORKSHEET_CONSTR!S397</f>
        <v>---</v>
      </c>
      <c r="BD458" s="140">
        <f t="shared" si="441"/>
        <v>999.99</v>
      </c>
      <c r="BE458" s="263">
        <f t="shared" si="420"/>
        <v>0</v>
      </c>
      <c r="BF458" s="265"/>
      <c r="BG458" s="140" t="str">
        <f t="shared" si="442"/>
        <v>---</v>
      </c>
      <c r="BH458" s="140" t="str">
        <f t="shared" si="421"/>
        <v>---</v>
      </c>
      <c r="BI458" s="140">
        <f t="shared" si="443"/>
        <v>999.99</v>
      </c>
      <c r="BJ458" s="263">
        <f t="shared" si="422"/>
        <v>0</v>
      </c>
      <c r="BK458" s="140" t="str">
        <f t="shared" si="444"/>
        <v>---</v>
      </c>
      <c r="BL458" s="140" t="str">
        <f>WORKSHEET_CONSTR!Q519</f>
        <v>---</v>
      </c>
      <c r="BM458" s="140">
        <f t="shared" si="445"/>
        <v>999.99</v>
      </c>
      <c r="BN458" s="263">
        <f t="shared" si="423"/>
        <v>0</v>
      </c>
    </row>
    <row r="459" spans="1:66">
      <c r="A459" s="438" t="str">
        <f t="shared" si="446"/>
        <v>---</v>
      </c>
      <c r="B459" s="294" t="str">
        <f t="shared" si="446"/>
        <v>---</v>
      </c>
      <c r="C459" s="294" t="str">
        <f t="shared" si="424"/>
        <v>---</v>
      </c>
      <c r="D459" s="294" t="str">
        <f t="shared" si="425"/>
        <v>---</v>
      </c>
      <c r="E459" s="294" t="str">
        <f t="shared" si="395"/>
        <v>---</v>
      </c>
      <c r="F459" s="294" t="str">
        <f t="shared" si="426"/>
        <v>---</v>
      </c>
      <c r="G459" s="291" t="str">
        <f>IF(A459="---","---",IF(Type_Reinf="g",$I$414,IF(AND(Type_Reinf="s",Type_Steel_Strip="s")=TRUE,$I$416,IF(C459&gt;=20,IF(Type_Reinf="s",$F$415,10*INPUT!$J$111/INPUT!$I$111),IF(Type_Reinf="s",MIN(1.2+LOG(Cu),2)-C459*((MIN(1.2+LOG(Cu),2)-TAN(RADIANS(PHI_reinf)))/20),20*(INPUT!$J$111/INPUT!$I$111)-10*(INPUT!$J$111/INPUT!$I$111)*C459/20)))))</f>
        <v>---</v>
      </c>
      <c r="H459" s="294" t="str">
        <f t="shared" si="427"/>
        <v>---</v>
      </c>
      <c r="I459" s="294" t="str">
        <f t="shared" si="398"/>
        <v>---</v>
      </c>
      <c r="J459" s="294" t="str">
        <f t="shared" si="428"/>
        <v>---</v>
      </c>
      <c r="K459" s="294" t="str">
        <f t="shared" si="399"/>
        <v>---</v>
      </c>
      <c r="L459" s="294" t="str">
        <f t="shared" si="400"/>
        <v>---</v>
      </c>
      <c r="M459" s="294" t="str">
        <f t="shared" si="401"/>
        <v>---</v>
      </c>
      <c r="N459" s="291" t="str">
        <f t="shared" si="402"/>
        <v>---</v>
      </c>
      <c r="O459" s="294" t="str">
        <f t="shared" si="403"/>
        <v>---</v>
      </c>
      <c r="P459" s="294" t="str">
        <f t="shared" si="404"/>
        <v>---</v>
      </c>
      <c r="Q459" s="441" t="str">
        <f t="shared" si="405"/>
        <v>---</v>
      </c>
      <c r="R459" s="291" t="str">
        <f t="shared" si="429"/>
        <v>---</v>
      </c>
      <c r="S459" s="294" t="str">
        <f t="shared" si="430"/>
        <v>---</v>
      </c>
      <c r="T459" s="294" t="str">
        <f t="shared" si="406"/>
        <v>---</v>
      </c>
      <c r="U459" s="438" t="str">
        <f t="shared" si="431"/>
        <v>---</v>
      </c>
      <c r="V459" s="476" t="str">
        <f t="shared" si="407"/>
        <v>---</v>
      </c>
      <c r="W459" s="291" t="str">
        <f t="shared" si="408"/>
        <v>---</v>
      </c>
      <c r="X459" s="484"/>
      <c r="AC459" s="17" t="str">
        <f t="shared" si="409"/>
        <v>---</v>
      </c>
      <c r="AD459" s="17" t="str">
        <f t="shared" si="410"/>
        <v>---</v>
      </c>
      <c r="AE459" s="471">
        <f t="shared" si="411"/>
        <v>0</v>
      </c>
      <c r="AF459" s="471">
        <f t="shared" si="412"/>
        <v>0</v>
      </c>
      <c r="AG459" s="140" t="str">
        <f t="shared" si="413"/>
        <v>---</v>
      </c>
      <c r="AH459" s="140" t="str">
        <f t="shared" si="432"/>
        <v>---</v>
      </c>
      <c r="AI459" s="140">
        <f t="shared" si="433"/>
        <v>999.99</v>
      </c>
      <c r="AJ459" s="263">
        <f t="shared" si="414"/>
        <v>0</v>
      </c>
      <c r="AK459" s="173" t="str">
        <f>WORKSHEET_CONSTR!F398</f>
        <v>---</v>
      </c>
      <c r="AL459" s="141" t="str">
        <f>IF(WORKSHEET_CONSTR!P398="---","---",WORKSHEET_CONSTR!M398)</f>
        <v>---</v>
      </c>
      <c r="AM459" s="140">
        <f t="shared" si="434"/>
        <v>999.99</v>
      </c>
      <c r="AN459" s="263">
        <f t="shared" si="435"/>
        <v>0</v>
      </c>
      <c r="AO459" s="265"/>
      <c r="AP459" s="140" t="str">
        <f t="shared" si="436"/>
        <v>---</v>
      </c>
      <c r="AQ459" s="140" t="str">
        <f t="shared" si="415"/>
        <v>---</v>
      </c>
      <c r="AR459" s="140">
        <f t="shared" si="437"/>
        <v>999.99</v>
      </c>
      <c r="AS459" s="263">
        <f t="shared" si="416"/>
        <v>0</v>
      </c>
      <c r="AT459" s="140" t="str">
        <f>WORKSHEET_CONSTR!F398</f>
        <v>---</v>
      </c>
      <c r="AU459" s="140" t="str">
        <f>WORKSHEET_CONSTR!P462</f>
        <v>---</v>
      </c>
      <c r="AV459" s="140">
        <f t="shared" si="438"/>
        <v>999.99</v>
      </c>
      <c r="AW459" s="263">
        <f t="shared" si="417"/>
        <v>0</v>
      </c>
      <c r="AX459" s="267" t="str">
        <f>IF(INPUT!Q142&lt;&gt;0,INPUT!Q142,"---")</f>
        <v>---</v>
      </c>
      <c r="AY459" s="140" t="str">
        <f t="shared" si="418"/>
        <v>---</v>
      </c>
      <c r="AZ459" s="140">
        <f t="shared" si="439"/>
        <v>999.99</v>
      </c>
      <c r="BA459" s="263">
        <f t="shared" si="419"/>
        <v>0</v>
      </c>
      <c r="BB459" s="140" t="str">
        <f t="shared" si="440"/>
        <v>---</v>
      </c>
      <c r="BC459" s="140" t="str">
        <f>WORKSHEET_CONSTR!S398</f>
        <v>---</v>
      </c>
      <c r="BD459" s="140">
        <f t="shared" si="441"/>
        <v>999.99</v>
      </c>
      <c r="BE459" s="263">
        <f t="shared" si="420"/>
        <v>0</v>
      </c>
      <c r="BF459" s="265"/>
      <c r="BG459" s="140" t="str">
        <f t="shared" si="442"/>
        <v>---</v>
      </c>
      <c r="BH459" s="140" t="str">
        <f t="shared" si="421"/>
        <v>---</v>
      </c>
      <c r="BI459" s="140">
        <f t="shared" si="443"/>
        <v>999.99</v>
      </c>
      <c r="BJ459" s="263">
        <f t="shared" si="422"/>
        <v>0</v>
      </c>
      <c r="BK459" s="140" t="str">
        <f t="shared" si="444"/>
        <v>---</v>
      </c>
      <c r="BL459" s="140" t="str">
        <f>WORKSHEET_CONSTR!Q520</f>
        <v>---</v>
      </c>
      <c r="BM459" s="140">
        <f t="shared" si="445"/>
        <v>999.99</v>
      </c>
      <c r="BN459" s="263">
        <f t="shared" si="423"/>
        <v>0</v>
      </c>
    </row>
    <row r="460" spans="1:66">
      <c r="A460" s="438" t="str">
        <f t="shared" si="446"/>
        <v>---</v>
      </c>
      <c r="B460" s="294" t="str">
        <f t="shared" si="446"/>
        <v>---</v>
      </c>
      <c r="C460" s="294" t="str">
        <f t="shared" si="424"/>
        <v>---</v>
      </c>
      <c r="D460" s="294" t="str">
        <f t="shared" si="425"/>
        <v>---</v>
      </c>
      <c r="E460" s="294" t="str">
        <f t="shared" ref="E460:E477" si="447">IF(A460="---","---",IF(Type_Reinf="g",(H-B460)/TAN(RADIANS(psi_r)),IF(B460&lt;(H-H_1/2),0.3*H_1,(0.3/0.5)*(H-B460))))</f>
        <v>---</v>
      </c>
      <c r="F460" s="294" t="str">
        <f t="shared" si="426"/>
        <v>---</v>
      </c>
      <c r="G460" s="291" t="str">
        <f>IF(A460="---","---",IF(Type_Reinf="g",$I$414,IF(AND(Type_Reinf="s",Type_Steel_Strip="s")=TRUE,$I$416,IF(C460&gt;=20,IF(Type_Reinf="s",$F$415,10*INPUT!$J$111/INPUT!$I$111),IF(Type_Reinf="s",MIN(1.2+LOG(Cu),2)-C460*((MIN(1.2+LOG(Cu),2)-TAN(RADIANS(PHI_reinf)))/20),20*(INPUT!$J$111/INPUT!$I$111)-10*(INPUT!$J$111/INPUT!$I$111)*C460/20)))))</f>
        <v>---</v>
      </c>
      <c r="H460" s="294" t="str">
        <f t="shared" si="427"/>
        <v>---</v>
      </c>
      <c r="I460" s="294" t="str">
        <f t="shared" ref="I460:I477" si="448">IF(A460="---","---",gamma_P*(J330*$H460+L330))</f>
        <v>---</v>
      </c>
      <c r="J460" s="294" t="str">
        <f t="shared" si="428"/>
        <v>---</v>
      </c>
      <c r="K460" s="294" t="str">
        <f t="shared" si="399"/>
        <v>---</v>
      </c>
      <c r="L460" s="294" t="str">
        <f t="shared" ref="L460:L477" si="449">IF(A330="---","---",gamma_P*(K330*$H460+K460))</f>
        <v>---</v>
      </c>
      <c r="M460" s="294" t="str">
        <f t="shared" ref="M460:M477" si="450">IF($A460="---","---",L460*$C330)</f>
        <v>---</v>
      </c>
      <c r="N460" s="291" t="str">
        <f t="shared" ref="N460:N477" si="451">IF(A460="---","---",IF(Abut_on_Piles="y",gamma_reinf*C460+IF(E330&gt;F460,(q_DW+q_ES)*(L_reinf-cf-bf)/E330,(q_DW+q_ES)*(L_reinf-cf-bf)/F460)+IF(cf+bf+0.5*(B460-Ad)&lt;E460,0,IF(cf-0.5*(B460-Ad)&gt;E460,H330*IF(D330&gt;F460,F460,D330)/F460,H330*MAX(0,(cf+bf+0.5*(B460-Ad)-E460))/F460)),IF(C460&gt;D460,gamma_reinf*C460+IF(E460&gt;cf+pw-0.5*B460,q_DW_int*(L_reinf/E330),IF(AND(E460&lt;=cf+pw-0.5*B460,cf+pw&lt;=L_reinf)=TRUE,q_DW_int*(L_reinf/F460),0)),gamma_reinf*B460+gamma_fill*S+IF(E460&gt;cf+pw-0.5*B460,q_DW_int*(L_reinf/E330),IF(AND(E460&lt;=cf+pw-0.5*B460,cf+pw&lt;=L_reinf)=TRUE,q_DW_int*(L_reinf/F460),0)))))</f>
        <v>---</v>
      </c>
      <c r="O460" s="294" t="str">
        <f t="shared" ref="O460:O477" si="452">IF(A460="---","---",MAX(3,J460/(phi_Pullout_Static*G460*alpha*N460*C_surf_geo*I268)))</f>
        <v>---</v>
      </c>
      <c r="P460" s="294" t="str">
        <f t="shared" ref="P460:P477" si="453">IF(A460="---","---",MAX(3,M460/(phi_Pullout_Combined*G460*alpha*N460*C_surf_geo*I268)))</f>
        <v>---</v>
      </c>
      <c r="Q460" s="441" t="str">
        <f t="shared" ref="Q460:Q477" si="454">IF(A460="---","---",IF(OR(O460&gt;F460,P460&gt;L_reinf)=TRUE,"NG!","OK"))</f>
        <v>---</v>
      </c>
      <c r="R460" s="291" t="str">
        <f t="shared" si="429"/>
        <v>---</v>
      </c>
      <c r="S460" s="294" t="str">
        <f t="shared" si="430"/>
        <v>---</v>
      </c>
      <c r="T460" s="294" t="str">
        <f t="shared" ref="T460:T477" si="455">IF(A460="---","---",IF(V268="N/A","---",MAX(3,S460/(phi_Pullout_Static*G460*alpha*N460*C_surf_geo*V268))))</f>
        <v>---</v>
      </c>
      <c r="U460" s="438" t="str">
        <f t="shared" si="431"/>
        <v>---</v>
      </c>
      <c r="V460" s="476" t="str">
        <f t="shared" ref="V460:V477" si="456">IF($A460="---","---",IF(V268="N/A",IF(Q460="OK","---",MAX(O460-F460,P460-L_reinf)),IF(AND(Q460="OK",U460="OK")=TRUE,"---",MAX(O460-F460,T460-F460,P460-L_reinf))))</f>
        <v>---</v>
      </c>
      <c r="W460" s="291" t="str">
        <f t="shared" ref="W460:W477" si="457">IF($A460="---","---",IF(V268="N/A",IF(Q460="OK",L_reinf,MAX(E460+O460,P460)),IF(AND(Q460="OK",U460="OK")=TRUE,L_reinf,MAX(E460+MAX(O460,T460),P460))))</f>
        <v>---</v>
      </c>
      <c r="X460" s="484"/>
      <c r="AC460" s="17" t="str">
        <f t="shared" ref="AC460:AC477" si="458">IF(A460="---","---",F460/MAX(O460,T460))</f>
        <v>---</v>
      </c>
      <c r="AD460" s="17" t="str">
        <f t="shared" ref="AD460:AD477" si="459">IF(A460="---","---",L_reinf/P460)</f>
        <v>---</v>
      </c>
      <c r="AE460" s="471">
        <f t="shared" ref="AE460:AE477" si="460">IF(AC460=MIN($AC460,$AD460),1,0)</f>
        <v>0</v>
      </c>
      <c r="AF460" s="471">
        <f t="shared" ref="AF460:AF477" si="461">IF(AD460=MIN($AC460,$AD460),1,0)</f>
        <v>0</v>
      </c>
      <c r="AG460" s="140" t="str">
        <f t="shared" ref="AG460:AG477" si="462">IF(AC460&lt;=AD460,F460,L_reinf)</f>
        <v>---</v>
      </c>
      <c r="AH460" s="140" t="str">
        <f t="shared" si="432"/>
        <v>---</v>
      </c>
      <c r="AI460" s="140">
        <f t="shared" si="433"/>
        <v>999.99</v>
      </c>
      <c r="AJ460" s="263">
        <f t="shared" ref="AJ460:AJ477" si="463">IF(AI460=MIN($AI$428:$AI$477,$AM$428:$AM$477),1,0)</f>
        <v>0</v>
      </c>
      <c r="AK460" s="173" t="str">
        <f>WORKSHEET_CONSTR!F399</f>
        <v>---</v>
      </c>
      <c r="AL460" s="141" t="str">
        <f>IF(WORKSHEET_CONSTR!P399="---","---",WORKSHEET_CONSTR!M399)</f>
        <v>---</v>
      </c>
      <c r="AM460" s="140">
        <f t="shared" si="434"/>
        <v>999.99</v>
      </c>
      <c r="AN460" s="263">
        <f t="shared" ref="AN460:AN477" si="464">IF(AM460&gt;=AI460,0,IF(AM460=MIN($AI$428:$AI$477,$AM$428:$AM$477),1,0))</f>
        <v>0</v>
      </c>
      <c r="AO460" s="265"/>
      <c r="AP460" s="140" t="str">
        <f t="shared" si="436"/>
        <v>---</v>
      </c>
      <c r="AQ460" s="140" t="str">
        <f t="shared" ref="AQ460:AQ477" si="465">N524</f>
        <v>---</v>
      </c>
      <c r="AR460" s="140">
        <f t="shared" si="437"/>
        <v>999.99</v>
      </c>
      <c r="AS460" s="263">
        <f t="shared" ref="AS460:AS477" si="466">IF(AR460=MIN($AR$428:$AR$477,$AV$428:$AV$477),1,0)</f>
        <v>0</v>
      </c>
      <c r="AT460" s="140" t="str">
        <f>WORKSHEET_CONSTR!F399</f>
        <v>---</v>
      </c>
      <c r="AU460" s="140" t="str">
        <f>WORKSHEET_CONSTR!P463</f>
        <v>---</v>
      </c>
      <c r="AV460" s="140">
        <f t="shared" si="438"/>
        <v>999.99</v>
      </c>
      <c r="AW460" s="263">
        <f t="shared" ref="AW460:AW477" si="467">IF(AV460&gt;=AR460,0,IF(AV460=MIN($AR$428:$AR$477,$AV$428:$AV$477),1,0))</f>
        <v>0</v>
      </c>
      <c r="AX460" s="267" t="str">
        <f>IF(INPUT!Q143&lt;&gt;0,INPUT!Q143,"---")</f>
        <v>---</v>
      </c>
      <c r="AY460" s="140" t="str">
        <f t="shared" ref="AY460:AY477" si="468">U387</f>
        <v>---</v>
      </c>
      <c r="AZ460" s="140">
        <f t="shared" si="439"/>
        <v>999.99</v>
      </c>
      <c r="BA460" s="263">
        <f t="shared" ref="BA460:BA477" si="469">IF(AY460="---",0,IF(AZ460=MIN($AZ$428:$AZ$477,$BD$428:$BD$477),1,0))</f>
        <v>0</v>
      </c>
      <c r="BB460" s="140" t="str">
        <f t="shared" si="440"/>
        <v>---</v>
      </c>
      <c r="BC460" s="140" t="str">
        <f>WORKSHEET_CONSTR!S399</f>
        <v>---</v>
      </c>
      <c r="BD460" s="140">
        <f t="shared" si="441"/>
        <v>999.99</v>
      </c>
      <c r="BE460" s="263">
        <f t="shared" ref="BE460:BE477" si="470">IF(BC460="---",0,IF(BD460=MIN($AZ$428:$AZ$477,$BD$428:$BD$477),1,0))</f>
        <v>0</v>
      </c>
      <c r="BF460" s="265"/>
      <c r="BG460" s="140" t="str">
        <f t="shared" si="442"/>
        <v>---</v>
      </c>
      <c r="BH460" s="140" t="str">
        <f t="shared" ref="BH460:BH477" si="471">Q582</f>
        <v>---</v>
      </c>
      <c r="BI460" s="140">
        <f t="shared" si="443"/>
        <v>999.99</v>
      </c>
      <c r="BJ460" s="263">
        <f t="shared" ref="BJ460:BJ477" si="472">IF(BH460="---",0,IF(BI460=MIN($BI$428:$BI$477,$BM$428:$BM$477),1,0))</f>
        <v>0</v>
      </c>
      <c r="BK460" s="140" t="str">
        <f t="shared" si="444"/>
        <v>---</v>
      </c>
      <c r="BL460" s="140" t="str">
        <f>WORKSHEET_CONSTR!Q521</f>
        <v>---</v>
      </c>
      <c r="BM460" s="140">
        <f t="shared" si="445"/>
        <v>999.99</v>
      </c>
      <c r="BN460" s="263">
        <f t="shared" ref="BN460:BN477" si="473">IF(BL460="---",0,IF(BM460=MIN($BI$428:$BI$477,$BM$428:$BM$477),1,0))</f>
        <v>0</v>
      </c>
    </row>
    <row r="461" spans="1:66">
      <c r="A461" s="438" t="str">
        <f t="shared" si="446"/>
        <v>---</v>
      </c>
      <c r="B461" s="294" t="str">
        <f t="shared" si="446"/>
        <v>---</v>
      </c>
      <c r="C461" s="294" t="str">
        <f t="shared" si="424"/>
        <v>---</v>
      </c>
      <c r="D461" s="294" t="str">
        <f t="shared" si="425"/>
        <v>---</v>
      </c>
      <c r="E461" s="294" t="str">
        <f t="shared" si="447"/>
        <v>---</v>
      </c>
      <c r="F461" s="294" t="str">
        <f t="shared" si="426"/>
        <v>---</v>
      </c>
      <c r="G461" s="291" t="str">
        <f>IF(A461="---","---",IF(Type_Reinf="g",$I$414,IF(AND(Type_Reinf="s",Type_Steel_Strip="s")=TRUE,$I$416,IF(C461&gt;=20,IF(Type_Reinf="s",$F$415,10*INPUT!$J$111/INPUT!$I$111),IF(Type_Reinf="s",MIN(1.2+LOG(Cu),2)-C461*((MIN(1.2+LOG(Cu),2)-TAN(RADIANS(PHI_reinf)))/20),20*(INPUT!$J$111/INPUT!$I$111)-10*(INPUT!$J$111/INPUT!$I$111)*C461/20)))))</f>
        <v>---</v>
      </c>
      <c r="H461" s="294" t="str">
        <f t="shared" si="427"/>
        <v>---</v>
      </c>
      <c r="I461" s="294" t="str">
        <f t="shared" si="448"/>
        <v>---</v>
      </c>
      <c r="J461" s="294" t="str">
        <f t="shared" si="428"/>
        <v>---</v>
      </c>
      <c r="K461" s="294" t="str">
        <f t="shared" si="399"/>
        <v>---</v>
      </c>
      <c r="L461" s="294" t="str">
        <f t="shared" si="449"/>
        <v>---</v>
      </c>
      <c r="M461" s="294" t="str">
        <f t="shared" si="450"/>
        <v>---</v>
      </c>
      <c r="N461" s="291" t="str">
        <f t="shared" si="451"/>
        <v>---</v>
      </c>
      <c r="O461" s="294" t="str">
        <f t="shared" si="452"/>
        <v>---</v>
      </c>
      <c r="P461" s="294" t="str">
        <f t="shared" si="453"/>
        <v>---</v>
      </c>
      <c r="Q461" s="441" t="str">
        <f t="shared" si="454"/>
        <v>---</v>
      </c>
      <c r="R461" s="291" t="str">
        <f t="shared" si="429"/>
        <v>---</v>
      </c>
      <c r="S461" s="294" t="str">
        <f t="shared" si="430"/>
        <v>---</v>
      </c>
      <c r="T461" s="294" t="str">
        <f t="shared" si="455"/>
        <v>---</v>
      </c>
      <c r="U461" s="438" t="str">
        <f t="shared" si="431"/>
        <v>---</v>
      </c>
      <c r="V461" s="476" t="str">
        <f t="shared" si="456"/>
        <v>---</v>
      </c>
      <c r="W461" s="291" t="str">
        <f t="shared" si="457"/>
        <v>---</v>
      </c>
      <c r="X461" s="484"/>
      <c r="AC461" s="17" t="str">
        <f t="shared" si="458"/>
        <v>---</v>
      </c>
      <c r="AD461" s="17" t="str">
        <f t="shared" si="459"/>
        <v>---</v>
      </c>
      <c r="AE461" s="471">
        <f t="shared" si="460"/>
        <v>0</v>
      </c>
      <c r="AF461" s="471">
        <f t="shared" si="461"/>
        <v>0</v>
      </c>
      <c r="AG461" s="140" t="str">
        <f t="shared" si="462"/>
        <v>---</v>
      </c>
      <c r="AH461" s="140" t="str">
        <f t="shared" si="432"/>
        <v>---</v>
      </c>
      <c r="AI461" s="140">
        <f t="shared" si="433"/>
        <v>999.99</v>
      </c>
      <c r="AJ461" s="263">
        <f t="shared" si="463"/>
        <v>0</v>
      </c>
      <c r="AK461" s="173" t="str">
        <f>WORKSHEET_CONSTR!F400</f>
        <v>---</v>
      </c>
      <c r="AL461" s="141" t="str">
        <f>IF(WORKSHEET_CONSTR!P400="---","---",WORKSHEET_CONSTR!M400)</f>
        <v>---</v>
      </c>
      <c r="AM461" s="140">
        <f t="shared" si="434"/>
        <v>999.99</v>
      </c>
      <c r="AN461" s="263">
        <f t="shared" si="464"/>
        <v>0</v>
      </c>
      <c r="AO461" s="265"/>
      <c r="AP461" s="140" t="str">
        <f t="shared" si="436"/>
        <v>---</v>
      </c>
      <c r="AQ461" s="140" t="str">
        <f t="shared" si="465"/>
        <v>---</v>
      </c>
      <c r="AR461" s="140">
        <f t="shared" si="437"/>
        <v>999.99</v>
      </c>
      <c r="AS461" s="263">
        <f t="shared" si="466"/>
        <v>0</v>
      </c>
      <c r="AT461" s="140" t="str">
        <f>WORKSHEET_CONSTR!F400</f>
        <v>---</v>
      </c>
      <c r="AU461" s="140" t="str">
        <f>WORKSHEET_CONSTR!P464</f>
        <v>---</v>
      </c>
      <c r="AV461" s="140">
        <f t="shared" si="438"/>
        <v>999.99</v>
      </c>
      <c r="AW461" s="263">
        <f t="shared" si="467"/>
        <v>0</v>
      </c>
      <c r="AX461" s="267" t="str">
        <f>IF(INPUT!Q144&lt;&gt;0,INPUT!Q144,"---")</f>
        <v>---</v>
      </c>
      <c r="AY461" s="140" t="str">
        <f t="shared" si="468"/>
        <v>---</v>
      </c>
      <c r="AZ461" s="140">
        <f t="shared" si="439"/>
        <v>999.99</v>
      </c>
      <c r="BA461" s="263">
        <f t="shared" si="469"/>
        <v>0</v>
      </c>
      <c r="BB461" s="140" t="str">
        <f t="shared" si="440"/>
        <v>---</v>
      </c>
      <c r="BC461" s="140" t="str">
        <f>WORKSHEET_CONSTR!S400</f>
        <v>---</v>
      </c>
      <c r="BD461" s="140">
        <f t="shared" si="441"/>
        <v>999.99</v>
      </c>
      <c r="BE461" s="263">
        <f t="shared" si="470"/>
        <v>0</v>
      </c>
      <c r="BF461" s="265"/>
      <c r="BG461" s="140" t="str">
        <f t="shared" si="442"/>
        <v>---</v>
      </c>
      <c r="BH461" s="140" t="str">
        <f t="shared" si="471"/>
        <v>---</v>
      </c>
      <c r="BI461" s="140">
        <f t="shared" si="443"/>
        <v>999.99</v>
      </c>
      <c r="BJ461" s="263">
        <f t="shared" si="472"/>
        <v>0</v>
      </c>
      <c r="BK461" s="140" t="str">
        <f t="shared" si="444"/>
        <v>---</v>
      </c>
      <c r="BL461" s="140" t="str">
        <f>WORKSHEET_CONSTR!Q522</f>
        <v>---</v>
      </c>
      <c r="BM461" s="140">
        <f t="shared" si="445"/>
        <v>999.99</v>
      </c>
      <c r="BN461" s="263">
        <f t="shared" si="473"/>
        <v>0</v>
      </c>
    </row>
    <row r="462" spans="1:66">
      <c r="A462" s="438" t="str">
        <f t="shared" si="446"/>
        <v>---</v>
      </c>
      <c r="B462" s="294" t="str">
        <f t="shared" si="446"/>
        <v>---</v>
      </c>
      <c r="C462" s="294" t="str">
        <f t="shared" si="424"/>
        <v>---</v>
      </c>
      <c r="D462" s="294" t="str">
        <f t="shared" si="425"/>
        <v>---</v>
      </c>
      <c r="E462" s="294" t="str">
        <f t="shared" si="447"/>
        <v>---</v>
      </c>
      <c r="F462" s="294" t="str">
        <f t="shared" si="426"/>
        <v>---</v>
      </c>
      <c r="G462" s="291" t="str">
        <f>IF(A462="---","---",IF(Type_Reinf="g",$I$414,IF(AND(Type_Reinf="s",Type_Steel_Strip="s")=TRUE,$I$416,IF(C462&gt;=20,IF(Type_Reinf="s",$F$415,10*INPUT!$J$111/INPUT!$I$111),IF(Type_Reinf="s",MIN(1.2+LOG(Cu),2)-C462*((MIN(1.2+LOG(Cu),2)-TAN(RADIANS(PHI_reinf)))/20),20*(INPUT!$J$111/INPUT!$I$111)-10*(INPUT!$J$111/INPUT!$I$111)*C462/20)))))</f>
        <v>---</v>
      </c>
      <c r="H462" s="294" t="str">
        <f t="shared" si="427"/>
        <v>---</v>
      </c>
      <c r="I462" s="294" t="str">
        <f t="shared" si="448"/>
        <v>---</v>
      </c>
      <c r="J462" s="294" t="str">
        <f t="shared" si="428"/>
        <v>---</v>
      </c>
      <c r="K462" s="294" t="str">
        <f t="shared" si="399"/>
        <v>---</v>
      </c>
      <c r="L462" s="294" t="str">
        <f t="shared" si="449"/>
        <v>---</v>
      </c>
      <c r="M462" s="294" t="str">
        <f t="shared" si="450"/>
        <v>---</v>
      </c>
      <c r="N462" s="291" t="str">
        <f t="shared" si="451"/>
        <v>---</v>
      </c>
      <c r="O462" s="294" t="str">
        <f t="shared" si="452"/>
        <v>---</v>
      </c>
      <c r="P462" s="294" t="str">
        <f t="shared" si="453"/>
        <v>---</v>
      </c>
      <c r="Q462" s="441" t="str">
        <f t="shared" si="454"/>
        <v>---</v>
      </c>
      <c r="R462" s="291" t="str">
        <f t="shared" si="429"/>
        <v>---</v>
      </c>
      <c r="S462" s="294" t="str">
        <f t="shared" si="430"/>
        <v>---</v>
      </c>
      <c r="T462" s="294" t="str">
        <f t="shared" si="455"/>
        <v>---</v>
      </c>
      <c r="U462" s="438" t="str">
        <f t="shared" si="431"/>
        <v>---</v>
      </c>
      <c r="V462" s="476" t="str">
        <f t="shared" si="456"/>
        <v>---</v>
      </c>
      <c r="W462" s="291" t="str">
        <f t="shared" si="457"/>
        <v>---</v>
      </c>
      <c r="X462" s="484"/>
      <c r="AC462" s="17" t="str">
        <f t="shared" si="458"/>
        <v>---</v>
      </c>
      <c r="AD462" s="17" t="str">
        <f t="shared" si="459"/>
        <v>---</v>
      </c>
      <c r="AE462" s="471">
        <f t="shared" si="460"/>
        <v>0</v>
      </c>
      <c r="AF462" s="471">
        <f t="shared" si="461"/>
        <v>0</v>
      </c>
      <c r="AG462" s="140" t="str">
        <f t="shared" si="462"/>
        <v>---</v>
      </c>
      <c r="AH462" s="140" t="str">
        <f t="shared" si="432"/>
        <v>---</v>
      </c>
      <c r="AI462" s="140">
        <f t="shared" si="433"/>
        <v>999.99</v>
      </c>
      <c r="AJ462" s="263">
        <f t="shared" si="463"/>
        <v>0</v>
      </c>
      <c r="AK462" s="173" t="str">
        <f>WORKSHEET_CONSTR!F401</f>
        <v>---</v>
      </c>
      <c r="AL462" s="141" t="str">
        <f>IF(WORKSHEET_CONSTR!P401="---","---",WORKSHEET_CONSTR!M401)</f>
        <v>---</v>
      </c>
      <c r="AM462" s="140">
        <f t="shared" si="434"/>
        <v>999.99</v>
      </c>
      <c r="AN462" s="263">
        <f t="shared" si="464"/>
        <v>0</v>
      </c>
      <c r="AO462" s="265"/>
      <c r="AP462" s="140" t="str">
        <f t="shared" si="436"/>
        <v>---</v>
      </c>
      <c r="AQ462" s="140" t="str">
        <f t="shared" si="465"/>
        <v>---</v>
      </c>
      <c r="AR462" s="140">
        <f t="shared" si="437"/>
        <v>999.99</v>
      </c>
      <c r="AS462" s="263">
        <f t="shared" si="466"/>
        <v>0</v>
      </c>
      <c r="AT462" s="140" t="str">
        <f>WORKSHEET_CONSTR!F401</f>
        <v>---</v>
      </c>
      <c r="AU462" s="140" t="str">
        <f>WORKSHEET_CONSTR!P465</f>
        <v>---</v>
      </c>
      <c r="AV462" s="140">
        <f t="shared" si="438"/>
        <v>999.99</v>
      </c>
      <c r="AW462" s="263">
        <f t="shared" si="467"/>
        <v>0</v>
      </c>
      <c r="AX462" s="267" t="str">
        <f>IF(INPUT!Q145&lt;&gt;0,INPUT!Q145,"---")</f>
        <v>---</v>
      </c>
      <c r="AY462" s="140" t="str">
        <f t="shared" si="468"/>
        <v>---</v>
      </c>
      <c r="AZ462" s="140">
        <f t="shared" si="439"/>
        <v>999.99</v>
      </c>
      <c r="BA462" s="263">
        <f t="shared" si="469"/>
        <v>0</v>
      </c>
      <c r="BB462" s="140" t="str">
        <f t="shared" si="440"/>
        <v>---</v>
      </c>
      <c r="BC462" s="140" t="str">
        <f>WORKSHEET_CONSTR!S401</f>
        <v>---</v>
      </c>
      <c r="BD462" s="140">
        <f t="shared" si="441"/>
        <v>999.99</v>
      </c>
      <c r="BE462" s="263">
        <f t="shared" si="470"/>
        <v>0</v>
      </c>
      <c r="BF462" s="265"/>
      <c r="BG462" s="140" t="str">
        <f t="shared" si="442"/>
        <v>---</v>
      </c>
      <c r="BH462" s="140" t="str">
        <f t="shared" si="471"/>
        <v>---</v>
      </c>
      <c r="BI462" s="140">
        <f t="shared" si="443"/>
        <v>999.99</v>
      </c>
      <c r="BJ462" s="263">
        <f t="shared" si="472"/>
        <v>0</v>
      </c>
      <c r="BK462" s="140" t="str">
        <f t="shared" si="444"/>
        <v>---</v>
      </c>
      <c r="BL462" s="140" t="str">
        <f>WORKSHEET_CONSTR!Q523</f>
        <v>---</v>
      </c>
      <c r="BM462" s="140">
        <f t="shared" si="445"/>
        <v>999.99</v>
      </c>
      <c r="BN462" s="263">
        <f t="shared" si="473"/>
        <v>0</v>
      </c>
    </row>
    <row r="463" spans="1:66">
      <c r="A463" s="438" t="str">
        <f t="shared" si="446"/>
        <v>---</v>
      </c>
      <c r="B463" s="294" t="str">
        <f t="shared" si="446"/>
        <v>---</v>
      </c>
      <c r="C463" s="294" t="str">
        <f t="shared" si="424"/>
        <v>---</v>
      </c>
      <c r="D463" s="294" t="str">
        <f t="shared" si="425"/>
        <v>---</v>
      </c>
      <c r="E463" s="294" t="str">
        <f t="shared" si="447"/>
        <v>---</v>
      </c>
      <c r="F463" s="294" t="str">
        <f t="shared" si="426"/>
        <v>---</v>
      </c>
      <c r="G463" s="291" t="str">
        <f>IF(A463="---","---",IF(Type_Reinf="g",$I$414,IF(AND(Type_Reinf="s",Type_Steel_Strip="s")=TRUE,$I$416,IF(C463&gt;=20,IF(Type_Reinf="s",$F$415,10*INPUT!$J$111/INPUT!$I$111),IF(Type_Reinf="s",MIN(1.2+LOG(Cu),2)-C463*((MIN(1.2+LOG(Cu),2)-TAN(RADIANS(PHI_reinf)))/20),20*(INPUT!$J$111/INPUT!$I$111)-10*(INPUT!$J$111/INPUT!$I$111)*C463/20)))))</f>
        <v>---</v>
      </c>
      <c r="H463" s="294" t="str">
        <f t="shared" si="427"/>
        <v>---</v>
      </c>
      <c r="I463" s="294" t="str">
        <f t="shared" si="448"/>
        <v>---</v>
      </c>
      <c r="J463" s="294" t="str">
        <f t="shared" si="428"/>
        <v>---</v>
      </c>
      <c r="K463" s="294" t="str">
        <f t="shared" si="399"/>
        <v>---</v>
      </c>
      <c r="L463" s="294" t="str">
        <f t="shared" si="449"/>
        <v>---</v>
      </c>
      <c r="M463" s="294" t="str">
        <f t="shared" si="450"/>
        <v>---</v>
      </c>
      <c r="N463" s="291" t="str">
        <f t="shared" si="451"/>
        <v>---</v>
      </c>
      <c r="O463" s="294" t="str">
        <f t="shared" si="452"/>
        <v>---</v>
      </c>
      <c r="P463" s="294" t="str">
        <f t="shared" si="453"/>
        <v>---</v>
      </c>
      <c r="Q463" s="441" t="str">
        <f t="shared" si="454"/>
        <v>---</v>
      </c>
      <c r="R463" s="291" t="str">
        <f t="shared" si="429"/>
        <v>---</v>
      </c>
      <c r="S463" s="294" t="str">
        <f t="shared" si="430"/>
        <v>---</v>
      </c>
      <c r="T463" s="294" t="str">
        <f t="shared" si="455"/>
        <v>---</v>
      </c>
      <c r="U463" s="438" t="str">
        <f t="shared" si="431"/>
        <v>---</v>
      </c>
      <c r="V463" s="476" t="str">
        <f t="shared" si="456"/>
        <v>---</v>
      </c>
      <c r="W463" s="291" t="str">
        <f t="shared" si="457"/>
        <v>---</v>
      </c>
      <c r="X463" s="484"/>
      <c r="AC463" s="17" t="str">
        <f t="shared" si="458"/>
        <v>---</v>
      </c>
      <c r="AD463" s="17" t="str">
        <f t="shared" si="459"/>
        <v>---</v>
      </c>
      <c r="AE463" s="471">
        <f t="shared" si="460"/>
        <v>0</v>
      </c>
      <c r="AF463" s="471">
        <f t="shared" si="461"/>
        <v>0</v>
      </c>
      <c r="AG463" s="140" t="str">
        <f t="shared" si="462"/>
        <v>---</v>
      </c>
      <c r="AH463" s="140" t="str">
        <f t="shared" si="432"/>
        <v>---</v>
      </c>
      <c r="AI463" s="140">
        <f t="shared" si="433"/>
        <v>999.99</v>
      </c>
      <c r="AJ463" s="263">
        <f t="shared" si="463"/>
        <v>0</v>
      </c>
      <c r="AK463" s="173" t="str">
        <f>WORKSHEET_CONSTR!F402</f>
        <v>---</v>
      </c>
      <c r="AL463" s="141" t="str">
        <f>IF(WORKSHEET_CONSTR!P402="---","---",WORKSHEET_CONSTR!M402)</f>
        <v>---</v>
      </c>
      <c r="AM463" s="140">
        <f t="shared" si="434"/>
        <v>999.99</v>
      </c>
      <c r="AN463" s="263">
        <f t="shared" si="464"/>
        <v>0</v>
      </c>
      <c r="AO463" s="265"/>
      <c r="AP463" s="140" t="str">
        <f t="shared" si="436"/>
        <v>---</v>
      </c>
      <c r="AQ463" s="140" t="str">
        <f t="shared" si="465"/>
        <v>---</v>
      </c>
      <c r="AR463" s="140">
        <f t="shared" si="437"/>
        <v>999.99</v>
      </c>
      <c r="AS463" s="263">
        <f t="shared" si="466"/>
        <v>0</v>
      </c>
      <c r="AT463" s="140" t="str">
        <f>WORKSHEET_CONSTR!F402</f>
        <v>---</v>
      </c>
      <c r="AU463" s="140" t="str">
        <f>WORKSHEET_CONSTR!P466</f>
        <v>---</v>
      </c>
      <c r="AV463" s="140">
        <f t="shared" si="438"/>
        <v>999.99</v>
      </c>
      <c r="AW463" s="263">
        <f t="shared" si="467"/>
        <v>0</v>
      </c>
      <c r="AX463" s="267" t="str">
        <f>IF(INPUT!Q146&lt;&gt;0,INPUT!Q146,"---")</f>
        <v>---</v>
      </c>
      <c r="AY463" s="140" t="str">
        <f t="shared" si="468"/>
        <v>---</v>
      </c>
      <c r="AZ463" s="140">
        <f t="shared" si="439"/>
        <v>999.99</v>
      </c>
      <c r="BA463" s="263">
        <f t="shared" si="469"/>
        <v>0</v>
      </c>
      <c r="BB463" s="140" t="str">
        <f t="shared" si="440"/>
        <v>---</v>
      </c>
      <c r="BC463" s="140" t="str">
        <f>WORKSHEET_CONSTR!S402</f>
        <v>---</v>
      </c>
      <c r="BD463" s="140">
        <f t="shared" si="441"/>
        <v>999.99</v>
      </c>
      <c r="BE463" s="263">
        <f t="shared" si="470"/>
        <v>0</v>
      </c>
      <c r="BF463" s="265"/>
      <c r="BG463" s="140" t="str">
        <f t="shared" si="442"/>
        <v>---</v>
      </c>
      <c r="BH463" s="140" t="str">
        <f t="shared" si="471"/>
        <v>---</v>
      </c>
      <c r="BI463" s="140">
        <f t="shared" si="443"/>
        <v>999.99</v>
      </c>
      <c r="BJ463" s="263">
        <f t="shared" si="472"/>
        <v>0</v>
      </c>
      <c r="BK463" s="140" t="str">
        <f t="shared" si="444"/>
        <v>---</v>
      </c>
      <c r="BL463" s="140" t="str">
        <f>WORKSHEET_CONSTR!Q524</f>
        <v>---</v>
      </c>
      <c r="BM463" s="140">
        <f t="shared" si="445"/>
        <v>999.99</v>
      </c>
      <c r="BN463" s="263">
        <f t="shared" si="473"/>
        <v>0</v>
      </c>
    </row>
    <row r="464" spans="1:66">
      <c r="A464" s="438" t="str">
        <f t="shared" si="446"/>
        <v>---</v>
      </c>
      <c r="B464" s="294" t="str">
        <f t="shared" si="446"/>
        <v>---</v>
      </c>
      <c r="C464" s="294" t="str">
        <f t="shared" si="424"/>
        <v>---</v>
      </c>
      <c r="D464" s="294" t="str">
        <f t="shared" si="425"/>
        <v>---</v>
      </c>
      <c r="E464" s="294" t="str">
        <f t="shared" si="447"/>
        <v>---</v>
      </c>
      <c r="F464" s="294" t="str">
        <f t="shared" si="426"/>
        <v>---</v>
      </c>
      <c r="G464" s="291" t="str">
        <f>IF(A464="---","---",IF(Type_Reinf="g",$I$414,IF(AND(Type_Reinf="s",Type_Steel_Strip="s")=TRUE,$I$416,IF(C464&gt;=20,IF(Type_Reinf="s",$F$415,10*INPUT!$J$111/INPUT!$I$111),IF(Type_Reinf="s",MIN(1.2+LOG(Cu),2)-C464*((MIN(1.2+LOG(Cu),2)-TAN(RADIANS(PHI_reinf)))/20),20*(INPUT!$J$111/INPUT!$I$111)-10*(INPUT!$J$111/INPUT!$I$111)*C464/20)))))</f>
        <v>---</v>
      </c>
      <c r="H464" s="294" t="str">
        <f t="shared" si="427"/>
        <v>---</v>
      </c>
      <c r="I464" s="294" t="str">
        <f t="shared" si="448"/>
        <v>---</v>
      </c>
      <c r="J464" s="294" t="str">
        <f t="shared" si="428"/>
        <v>---</v>
      </c>
      <c r="K464" s="294" t="str">
        <f t="shared" si="399"/>
        <v>---</v>
      </c>
      <c r="L464" s="294" t="str">
        <f t="shared" si="449"/>
        <v>---</v>
      </c>
      <c r="M464" s="294" t="str">
        <f t="shared" si="450"/>
        <v>---</v>
      </c>
      <c r="N464" s="291" t="str">
        <f t="shared" si="451"/>
        <v>---</v>
      </c>
      <c r="O464" s="294" t="str">
        <f t="shared" si="452"/>
        <v>---</v>
      </c>
      <c r="P464" s="294" t="str">
        <f t="shared" si="453"/>
        <v>---</v>
      </c>
      <c r="Q464" s="441" t="str">
        <f t="shared" si="454"/>
        <v>---</v>
      </c>
      <c r="R464" s="291" t="str">
        <f t="shared" si="429"/>
        <v>---</v>
      </c>
      <c r="S464" s="294" t="str">
        <f t="shared" si="430"/>
        <v>---</v>
      </c>
      <c r="T464" s="294" t="str">
        <f t="shared" si="455"/>
        <v>---</v>
      </c>
      <c r="U464" s="438" t="str">
        <f t="shared" si="431"/>
        <v>---</v>
      </c>
      <c r="V464" s="476" t="str">
        <f t="shared" si="456"/>
        <v>---</v>
      </c>
      <c r="W464" s="291" t="str">
        <f t="shared" si="457"/>
        <v>---</v>
      </c>
      <c r="X464" s="484"/>
      <c r="AC464" s="17" t="str">
        <f t="shared" si="458"/>
        <v>---</v>
      </c>
      <c r="AD464" s="17" t="str">
        <f t="shared" si="459"/>
        <v>---</v>
      </c>
      <c r="AE464" s="471">
        <f t="shared" si="460"/>
        <v>0</v>
      </c>
      <c r="AF464" s="471">
        <f t="shared" si="461"/>
        <v>0</v>
      </c>
      <c r="AG464" s="140" t="str">
        <f t="shared" si="462"/>
        <v>---</v>
      </c>
      <c r="AH464" s="140" t="str">
        <f t="shared" si="432"/>
        <v>---</v>
      </c>
      <c r="AI464" s="140">
        <f t="shared" si="433"/>
        <v>999.99</v>
      </c>
      <c r="AJ464" s="263">
        <f t="shared" si="463"/>
        <v>0</v>
      </c>
      <c r="AK464" s="173" t="str">
        <f>WORKSHEET_CONSTR!F403</f>
        <v>---</v>
      </c>
      <c r="AL464" s="141" t="str">
        <f>IF(WORKSHEET_CONSTR!P403="---","---",WORKSHEET_CONSTR!M403)</f>
        <v>---</v>
      </c>
      <c r="AM464" s="140">
        <f t="shared" si="434"/>
        <v>999.99</v>
      </c>
      <c r="AN464" s="263">
        <f t="shared" si="464"/>
        <v>0</v>
      </c>
      <c r="AO464" s="265"/>
      <c r="AP464" s="140" t="str">
        <f t="shared" si="436"/>
        <v>---</v>
      </c>
      <c r="AQ464" s="140" t="str">
        <f t="shared" si="465"/>
        <v>---</v>
      </c>
      <c r="AR464" s="140">
        <f t="shared" si="437"/>
        <v>999.99</v>
      </c>
      <c r="AS464" s="263">
        <f t="shared" si="466"/>
        <v>0</v>
      </c>
      <c r="AT464" s="140" t="str">
        <f>WORKSHEET_CONSTR!F403</f>
        <v>---</v>
      </c>
      <c r="AU464" s="140" t="str">
        <f>WORKSHEET_CONSTR!P467</f>
        <v>---</v>
      </c>
      <c r="AV464" s="140">
        <f t="shared" si="438"/>
        <v>999.99</v>
      </c>
      <c r="AW464" s="263">
        <f t="shared" si="467"/>
        <v>0</v>
      </c>
      <c r="AX464" s="267" t="str">
        <f>IF(INPUT!Q147&lt;&gt;0,INPUT!Q147,"---")</f>
        <v>---</v>
      </c>
      <c r="AY464" s="140" t="str">
        <f t="shared" si="468"/>
        <v>---</v>
      </c>
      <c r="AZ464" s="140">
        <f t="shared" si="439"/>
        <v>999.99</v>
      </c>
      <c r="BA464" s="263">
        <f t="shared" si="469"/>
        <v>0</v>
      </c>
      <c r="BB464" s="140" t="str">
        <f t="shared" si="440"/>
        <v>---</v>
      </c>
      <c r="BC464" s="140" t="str">
        <f>WORKSHEET_CONSTR!S403</f>
        <v>---</v>
      </c>
      <c r="BD464" s="140">
        <f t="shared" si="441"/>
        <v>999.99</v>
      </c>
      <c r="BE464" s="263">
        <f t="shared" si="470"/>
        <v>0</v>
      </c>
      <c r="BF464" s="265"/>
      <c r="BG464" s="140" t="str">
        <f t="shared" si="442"/>
        <v>---</v>
      </c>
      <c r="BH464" s="140" t="str">
        <f t="shared" si="471"/>
        <v>---</v>
      </c>
      <c r="BI464" s="140">
        <f t="shared" si="443"/>
        <v>999.99</v>
      </c>
      <c r="BJ464" s="263">
        <f t="shared" si="472"/>
        <v>0</v>
      </c>
      <c r="BK464" s="140" t="str">
        <f t="shared" si="444"/>
        <v>---</v>
      </c>
      <c r="BL464" s="140" t="str">
        <f>WORKSHEET_CONSTR!Q525</f>
        <v>---</v>
      </c>
      <c r="BM464" s="140">
        <f t="shared" si="445"/>
        <v>999.99</v>
      </c>
      <c r="BN464" s="263">
        <f t="shared" si="473"/>
        <v>0</v>
      </c>
    </row>
    <row r="465" spans="1:66">
      <c r="A465" s="438" t="str">
        <f t="shared" si="446"/>
        <v>---</v>
      </c>
      <c r="B465" s="294" t="str">
        <f t="shared" si="446"/>
        <v>---</v>
      </c>
      <c r="C465" s="294" t="str">
        <f t="shared" si="424"/>
        <v>---</v>
      </c>
      <c r="D465" s="294" t="str">
        <f t="shared" si="425"/>
        <v>---</v>
      </c>
      <c r="E465" s="294" t="str">
        <f t="shared" si="447"/>
        <v>---</v>
      </c>
      <c r="F465" s="294" t="str">
        <f t="shared" si="426"/>
        <v>---</v>
      </c>
      <c r="G465" s="291" t="str">
        <f>IF(A465="---","---",IF(Type_Reinf="g",$I$414,IF(AND(Type_Reinf="s",Type_Steel_Strip="s")=TRUE,$I$416,IF(C465&gt;=20,IF(Type_Reinf="s",$F$415,10*INPUT!$J$111/INPUT!$I$111),IF(Type_Reinf="s",MIN(1.2+LOG(Cu),2)-C465*((MIN(1.2+LOG(Cu),2)-TAN(RADIANS(PHI_reinf)))/20),20*(INPUT!$J$111/INPUT!$I$111)-10*(INPUT!$J$111/INPUT!$I$111)*C465/20)))))</f>
        <v>---</v>
      </c>
      <c r="H465" s="294" t="str">
        <f t="shared" si="427"/>
        <v>---</v>
      </c>
      <c r="I465" s="294" t="str">
        <f t="shared" si="448"/>
        <v>---</v>
      </c>
      <c r="J465" s="294" t="str">
        <f t="shared" si="428"/>
        <v>---</v>
      </c>
      <c r="K465" s="294" t="str">
        <f t="shared" si="399"/>
        <v>---</v>
      </c>
      <c r="L465" s="294" t="str">
        <f t="shared" si="449"/>
        <v>---</v>
      </c>
      <c r="M465" s="294" t="str">
        <f t="shared" si="450"/>
        <v>---</v>
      </c>
      <c r="N465" s="291" t="str">
        <f t="shared" si="451"/>
        <v>---</v>
      </c>
      <c r="O465" s="294" t="str">
        <f t="shared" si="452"/>
        <v>---</v>
      </c>
      <c r="P465" s="294" t="str">
        <f t="shared" si="453"/>
        <v>---</v>
      </c>
      <c r="Q465" s="441" t="str">
        <f t="shared" si="454"/>
        <v>---</v>
      </c>
      <c r="R465" s="291" t="str">
        <f t="shared" si="429"/>
        <v>---</v>
      </c>
      <c r="S465" s="294" t="str">
        <f t="shared" si="430"/>
        <v>---</v>
      </c>
      <c r="T465" s="294" t="str">
        <f t="shared" si="455"/>
        <v>---</v>
      </c>
      <c r="U465" s="438" t="str">
        <f t="shared" si="431"/>
        <v>---</v>
      </c>
      <c r="V465" s="476" t="str">
        <f t="shared" si="456"/>
        <v>---</v>
      </c>
      <c r="W465" s="291" t="str">
        <f t="shared" si="457"/>
        <v>---</v>
      </c>
      <c r="X465" s="484"/>
      <c r="AC465" s="17" t="str">
        <f t="shared" si="458"/>
        <v>---</v>
      </c>
      <c r="AD465" s="17" t="str">
        <f t="shared" si="459"/>
        <v>---</v>
      </c>
      <c r="AE465" s="471">
        <f t="shared" si="460"/>
        <v>0</v>
      </c>
      <c r="AF465" s="471">
        <f t="shared" si="461"/>
        <v>0</v>
      </c>
      <c r="AG465" s="140" t="str">
        <f t="shared" si="462"/>
        <v>---</v>
      </c>
      <c r="AH465" s="140" t="str">
        <f t="shared" si="432"/>
        <v>---</v>
      </c>
      <c r="AI465" s="140">
        <f t="shared" si="433"/>
        <v>999.99</v>
      </c>
      <c r="AJ465" s="263">
        <f t="shared" si="463"/>
        <v>0</v>
      </c>
      <c r="AK465" s="173" t="str">
        <f>WORKSHEET_CONSTR!F404</f>
        <v>---</v>
      </c>
      <c r="AL465" s="141" t="str">
        <f>IF(WORKSHEET_CONSTR!P404="---","---",WORKSHEET_CONSTR!M404)</f>
        <v>---</v>
      </c>
      <c r="AM465" s="140">
        <f t="shared" si="434"/>
        <v>999.99</v>
      </c>
      <c r="AN465" s="263">
        <f t="shared" si="464"/>
        <v>0</v>
      </c>
      <c r="AO465" s="265"/>
      <c r="AP465" s="140" t="str">
        <f t="shared" si="436"/>
        <v>---</v>
      </c>
      <c r="AQ465" s="140" t="str">
        <f t="shared" si="465"/>
        <v>---</v>
      </c>
      <c r="AR465" s="140">
        <f t="shared" si="437"/>
        <v>999.99</v>
      </c>
      <c r="AS465" s="263">
        <f t="shared" si="466"/>
        <v>0</v>
      </c>
      <c r="AT465" s="140" t="str">
        <f>WORKSHEET_CONSTR!F404</f>
        <v>---</v>
      </c>
      <c r="AU465" s="140" t="str">
        <f>WORKSHEET_CONSTR!P468</f>
        <v>---</v>
      </c>
      <c r="AV465" s="140">
        <f t="shared" si="438"/>
        <v>999.99</v>
      </c>
      <c r="AW465" s="263">
        <f t="shared" si="467"/>
        <v>0</v>
      </c>
      <c r="AX465" s="267" t="str">
        <f>IF(INPUT!Q148&lt;&gt;0,INPUT!Q148,"---")</f>
        <v>---</v>
      </c>
      <c r="AY465" s="140" t="str">
        <f t="shared" si="468"/>
        <v>---</v>
      </c>
      <c r="AZ465" s="140">
        <f t="shared" si="439"/>
        <v>999.99</v>
      </c>
      <c r="BA465" s="263">
        <f t="shared" si="469"/>
        <v>0</v>
      </c>
      <c r="BB465" s="140" t="str">
        <f t="shared" si="440"/>
        <v>---</v>
      </c>
      <c r="BC465" s="140" t="str">
        <f>WORKSHEET_CONSTR!S404</f>
        <v>---</v>
      </c>
      <c r="BD465" s="140">
        <f t="shared" si="441"/>
        <v>999.99</v>
      </c>
      <c r="BE465" s="263">
        <f t="shared" si="470"/>
        <v>0</v>
      </c>
      <c r="BF465" s="265"/>
      <c r="BG465" s="140" t="str">
        <f t="shared" si="442"/>
        <v>---</v>
      </c>
      <c r="BH465" s="140" t="str">
        <f t="shared" si="471"/>
        <v>---</v>
      </c>
      <c r="BI465" s="140">
        <f t="shared" si="443"/>
        <v>999.99</v>
      </c>
      <c r="BJ465" s="263">
        <f t="shared" si="472"/>
        <v>0</v>
      </c>
      <c r="BK465" s="140" t="str">
        <f t="shared" si="444"/>
        <v>---</v>
      </c>
      <c r="BL465" s="140" t="str">
        <f>WORKSHEET_CONSTR!Q526</f>
        <v>---</v>
      </c>
      <c r="BM465" s="140">
        <f t="shared" si="445"/>
        <v>999.99</v>
      </c>
      <c r="BN465" s="263">
        <f t="shared" si="473"/>
        <v>0</v>
      </c>
    </row>
    <row r="466" spans="1:66">
      <c r="A466" s="438" t="str">
        <f t="shared" si="446"/>
        <v>---</v>
      </c>
      <c r="B466" s="294" t="str">
        <f t="shared" si="446"/>
        <v>---</v>
      </c>
      <c r="C466" s="294" t="str">
        <f t="shared" si="424"/>
        <v>---</v>
      </c>
      <c r="D466" s="294" t="str">
        <f t="shared" si="425"/>
        <v>---</v>
      </c>
      <c r="E466" s="294" t="str">
        <f t="shared" si="447"/>
        <v>---</v>
      </c>
      <c r="F466" s="294" t="str">
        <f t="shared" si="426"/>
        <v>---</v>
      </c>
      <c r="G466" s="291" t="str">
        <f>IF(A466="---","---",IF(Type_Reinf="g",$I$414,IF(AND(Type_Reinf="s",Type_Steel_Strip="s")=TRUE,$I$416,IF(C466&gt;=20,IF(Type_Reinf="s",$F$415,10*INPUT!$J$111/INPUT!$I$111),IF(Type_Reinf="s",MIN(1.2+LOG(Cu),2)-C466*((MIN(1.2+LOG(Cu),2)-TAN(RADIANS(PHI_reinf)))/20),20*(INPUT!$J$111/INPUT!$I$111)-10*(INPUT!$J$111/INPUT!$I$111)*C466/20)))))</f>
        <v>---</v>
      </c>
      <c r="H466" s="294" t="str">
        <f t="shared" si="427"/>
        <v>---</v>
      </c>
      <c r="I466" s="294" t="str">
        <f t="shared" si="448"/>
        <v>---</v>
      </c>
      <c r="J466" s="294" t="str">
        <f t="shared" si="428"/>
        <v>---</v>
      </c>
      <c r="K466" s="294" t="str">
        <f t="shared" si="399"/>
        <v>---</v>
      </c>
      <c r="L466" s="294" t="str">
        <f t="shared" si="449"/>
        <v>---</v>
      </c>
      <c r="M466" s="294" t="str">
        <f t="shared" si="450"/>
        <v>---</v>
      </c>
      <c r="N466" s="291" t="str">
        <f t="shared" si="451"/>
        <v>---</v>
      </c>
      <c r="O466" s="294" t="str">
        <f t="shared" si="452"/>
        <v>---</v>
      </c>
      <c r="P466" s="294" t="str">
        <f t="shared" si="453"/>
        <v>---</v>
      </c>
      <c r="Q466" s="441" t="str">
        <f t="shared" si="454"/>
        <v>---</v>
      </c>
      <c r="R466" s="291" t="str">
        <f t="shared" si="429"/>
        <v>---</v>
      </c>
      <c r="S466" s="294" t="str">
        <f t="shared" si="430"/>
        <v>---</v>
      </c>
      <c r="T466" s="294" t="str">
        <f t="shared" si="455"/>
        <v>---</v>
      </c>
      <c r="U466" s="438" t="str">
        <f t="shared" si="431"/>
        <v>---</v>
      </c>
      <c r="V466" s="476" t="str">
        <f t="shared" si="456"/>
        <v>---</v>
      </c>
      <c r="W466" s="291" t="str">
        <f t="shared" si="457"/>
        <v>---</v>
      </c>
      <c r="X466" s="484"/>
      <c r="AC466" s="17" t="str">
        <f t="shared" si="458"/>
        <v>---</v>
      </c>
      <c r="AD466" s="17" t="str">
        <f t="shared" si="459"/>
        <v>---</v>
      </c>
      <c r="AE466" s="471">
        <f t="shared" si="460"/>
        <v>0</v>
      </c>
      <c r="AF466" s="471">
        <f t="shared" si="461"/>
        <v>0</v>
      </c>
      <c r="AG466" s="140" t="str">
        <f t="shared" si="462"/>
        <v>---</v>
      </c>
      <c r="AH466" s="140" t="str">
        <f t="shared" si="432"/>
        <v>---</v>
      </c>
      <c r="AI466" s="140">
        <f t="shared" si="433"/>
        <v>999.99</v>
      </c>
      <c r="AJ466" s="263">
        <f t="shared" si="463"/>
        <v>0</v>
      </c>
      <c r="AK466" s="173" t="str">
        <f>WORKSHEET_CONSTR!F405</f>
        <v>---</v>
      </c>
      <c r="AL466" s="141" t="str">
        <f>IF(WORKSHEET_CONSTR!P405="---","---",WORKSHEET_CONSTR!M405)</f>
        <v>---</v>
      </c>
      <c r="AM466" s="140">
        <f t="shared" si="434"/>
        <v>999.99</v>
      </c>
      <c r="AN466" s="263">
        <f t="shared" si="464"/>
        <v>0</v>
      </c>
      <c r="AO466" s="265"/>
      <c r="AP466" s="140" t="str">
        <f t="shared" si="436"/>
        <v>---</v>
      </c>
      <c r="AQ466" s="140" t="str">
        <f t="shared" si="465"/>
        <v>---</v>
      </c>
      <c r="AR466" s="140">
        <f t="shared" si="437"/>
        <v>999.99</v>
      </c>
      <c r="AS466" s="263">
        <f t="shared" si="466"/>
        <v>0</v>
      </c>
      <c r="AT466" s="140" t="str">
        <f>WORKSHEET_CONSTR!F405</f>
        <v>---</v>
      </c>
      <c r="AU466" s="140" t="str">
        <f>WORKSHEET_CONSTR!P469</f>
        <v>---</v>
      </c>
      <c r="AV466" s="140">
        <f t="shared" si="438"/>
        <v>999.99</v>
      </c>
      <c r="AW466" s="263">
        <f t="shared" si="467"/>
        <v>0</v>
      </c>
      <c r="AX466" s="267" t="str">
        <f>IF(INPUT!Q149&lt;&gt;0,INPUT!Q149,"---")</f>
        <v>---</v>
      </c>
      <c r="AY466" s="140" t="str">
        <f t="shared" si="468"/>
        <v>---</v>
      </c>
      <c r="AZ466" s="140">
        <f t="shared" si="439"/>
        <v>999.99</v>
      </c>
      <c r="BA466" s="263">
        <f t="shared" si="469"/>
        <v>0</v>
      </c>
      <c r="BB466" s="140" t="str">
        <f t="shared" si="440"/>
        <v>---</v>
      </c>
      <c r="BC466" s="140" t="str">
        <f>WORKSHEET_CONSTR!S405</f>
        <v>---</v>
      </c>
      <c r="BD466" s="140">
        <f t="shared" si="441"/>
        <v>999.99</v>
      </c>
      <c r="BE466" s="263">
        <f t="shared" si="470"/>
        <v>0</v>
      </c>
      <c r="BF466" s="265"/>
      <c r="BG466" s="140" t="str">
        <f t="shared" si="442"/>
        <v>---</v>
      </c>
      <c r="BH466" s="140" t="str">
        <f t="shared" si="471"/>
        <v>---</v>
      </c>
      <c r="BI466" s="140">
        <f t="shared" si="443"/>
        <v>999.99</v>
      </c>
      <c r="BJ466" s="263">
        <f t="shared" si="472"/>
        <v>0</v>
      </c>
      <c r="BK466" s="140" t="str">
        <f t="shared" si="444"/>
        <v>---</v>
      </c>
      <c r="BL466" s="140" t="str">
        <f>WORKSHEET_CONSTR!Q527</f>
        <v>---</v>
      </c>
      <c r="BM466" s="140">
        <f t="shared" si="445"/>
        <v>999.99</v>
      </c>
      <c r="BN466" s="263">
        <f t="shared" si="473"/>
        <v>0</v>
      </c>
    </row>
    <row r="467" spans="1:66">
      <c r="A467" s="438" t="str">
        <f t="shared" si="446"/>
        <v>---</v>
      </c>
      <c r="B467" s="294" t="str">
        <f t="shared" si="446"/>
        <v>---</v>
      </c>
      <c r="C467" s="294" t="str">
        <f t="shared" si="424"/>
        <v>---</v>
      </c>
      <c r="D467" s="294" t="str">
        <f t="shared" si="425"/>
        <v>---</v>
      </c>
      <c r="E467" s="294" t="str">
        <f t="shared" si="447"/>
        <v>---</v>
      </c>
      <c r="F467" s="294" t="str">
        <f t="shared" si="426"/>
        <v>---</v>
      </c>
      <c r="G467" s="291" t="str">
        <f>IF(A467="---","---",IF(Type_Reinf="g",$I$414,IF(AND(Type_Reinf="s",Type_Steel_Strip="s")=TRUE,$I$416,IF(C467&gt;=20,IF(Type_Reinf="s",$F$415,10*INPUT!$J$111/INPUT!$I$111),IF(Type_Reinf="s",MIN(1.2+LOG(Cu),2)-C467*((MIN(1.2+LOG(Cu),2)-TAN(RADIANS(PHI_reinf)))/20),20*(INPUT!$J$111/INPUT!$I$111)-10*(INPUT!$J$111/INPUT!$I$111)*C467/20)))))</f>
        <v>---</v>
      </c>
      <c r="H467" s="294" t="str">
        <f t="shared" si="427"/>
        <v>---</v>
      </c>
      <c r="I467" s="294" t="str">
        <f t="shared" si="448"/>
        <v>---</v>
      </c>
      <c r="J467" s="294" t="str">
        <f t="shared" si="428"/>
        <v>---</v>
      </c>
      <c r="K467" s="294" t="str">
        <f t="shared" si="399"/>
        <v>---</v>
      </c>
      <c r="L467" s="294" t="str">
        <f t="shared" si="449"/>
        <v>---</v>
      </c>
      <c r="M467" s="294" t="str">
        <f t="shared" si="450"/>
        <v>---</v>
      </c>
      <c r="N467" s="291" t="str">
        <f t="shared" si="451"/>
        <v>---</v>
      </c>
      <c r="O467" s="294" t="str">
        <f t="shared" si="452"/>
        <v>---</v>
      </c>
      <c r="P467" s="294" t="str">
        <f t="shared" si="453"/>
        <v>---</v>
      </c>
      <c r="Q467" s="441" t="str">
        <f t="shared" si="454"/>
        <v>---</v>
      </c>
      <c r="R467" s="291" t="str">
        <f t="shared" si="429"/>
        <v>---</v>
      </c>
      <c r="S467" s="294" t="str">
        <f t="shared" si="430"/>
        <v>---</v>
      </c>
      <c r="T467" s="294" t="str">
        <f t="shared" si="455"/>
        <v>---</v>
      </c>
      <c r="U467" s="438" t="str">
        <f t="shared" si="431"/>
        <v>---</v>
      </c>
      <c r="V467" s="476" t="str">
        <f t="shared" si="456"/>
        <v>---</v>
      </c>
      <c r="W467" s="291" t="str">
        <f t="shared" si="457"/>
        <v>---</v>
      </c>
      <c r="X467" s="484"/>
      <c r="AC467" s="17" t="str">
        <f t="shared" si="458"/>
        <v>---</v>
      </c>
      <c r="AD467" s="17" t="str">
        <f t="shared" si="459"/>
        <v>---</v>
      </c>
      <c r="AE467" s="471">
        <f t="shared" si="460"/>
        <v>0</v>
      </c>
      <c r="AF467" s="471">
        <f t="shared" si="461"/>
        <v>0</v>
      </c>
      <c r="AG467" s="140" t="str">
        <f t="shared" si="462"/>
        <v>---</v>
      </c>
      <c r="AH467" s="140" t="str">
        <f t="shared" si="432"/>
        <v>---</v>
      </c>
      <c r="AI467" s="140">
        <f t="shared" si="433"/>
        <v>999.99</v>
      </c>
      <c r="AJ467" s="263">
        <f t="shared" si="463"/>
        <v>0</v>
      </c>
      <c r="AK467" s="173" t="str">
        <f>WORKSHEET_CONSTR!F406</f>
        <v>---</v>
      </c>
      <c r="AL467" s="141" t="str">
        <f>IF(WORKSHEET_CONSTR!P406="---","---",WORKSHEET_CONSTR!M406)</f>
        <v>---</v>
      </c>
      <c r="AM467" s="140">
        <f t="shared" si="434"/>
        <v>999.99</v>
      </c>
      <c r="AN467" s="263">
        <f t="shared" si="464"/>
        <v>0</v>
      </c>
      <c r="AO467" s="265"/>
      <c r="AP467" s="140" t="str">
        <f t="shared" si="436"/>
        <v>---</v>
      </c>
      <c r="AQ467" s="140" t="str">
        <f t="shared" si="465"/>
        <v>---</v>
      </c>
      <c r="AR467" s="140">
        <f t="shared" si="437"/>
        <v>999.99</v>
      </c>
      <c r="AS467" s="263">
        <f t="shared" si="466"/>
        <v>0</v>
      </c>
      <c r="AT467" s="140" t="str">
        <f>WORKSHEET_CONSTR!F406</f>
        <v>---</v>
      </c>
      <c r="AU467" s="140" t="str">
        <f>WORKSHEET_CONSTR!P470</f>
        <v>---</v>
      </c>
      <c r="AV467" s="140">
        <f t="shared" si="438"/>
        <v>999.99</v>
      </c>
      <c r="AW467" s="263">
        <f t="shared" si="467"/>
        <v>0</v>
      </c>
      <c r="AX467" s="267" t="str">
        <f>IF(INPUT!Q150&lt;&gt;0,INPUT!Q150,"---")</f>
        <v>---</v>
      </c>
      <c r="AY467" s="140" t="str">
        <f t="shared" si="468"/>
        <v>---</v>
      </c>
      <c r="AZ467" s="140">
        <f t="shared" si="439"/>
        <v>999.99</v>
      </c>
      <c r="BA467" s="263">
        <f t="shared" si="469"/>
        <v>0</v>
      </c>
      <c r="BB467" s="140" t="str">
        <f t="shared" si="440"/>
        <v>---</v>
      </c>
      <c r="BC467" s="140" t="str">
        <f>WORKSHEET_CONSTR!S406</f>
        <v>---</v>
      </c>
      <c r="BD467" s="140">
        <f t="shared" si="441"/>
        <v>999.99</v>
      </c>
      <c r="BE467" s="263">
        <f t="shared" si="470"/>
        <v>0</v>
      </c>
      <c r="BF467" s="265"/>
      <c r="BG467" s="140" t="str">
        <f t="shared" si="442"/>
        <v>---</v>
      </c>
      <c r="BH467" s="140" t="str">
        <f t="shared" si="471"/>
        <v>---</v>
      </c>
      <c r="BI467" s="140">
        <f t="shared" si="443"/>
        <v>999.99</v>
      </c>
      <c r="BJ467" s="263">
        <f t="shared" si="472"/>
        <v>0</v>
      </c>
      <c r="BK467" s="140" t="str">
        <f t="shared" si="444"/>
        <v>---</v>
      </c>
      <c r="BL467" s="140" t="str">
        <f>WORKSHEET_CONSTR!Q528</f>
        <v>---</v>
      </c>
      <c r="BM467" s="140">
        <f t="shared" si="445"/>
        <v>999.99</v>
      </c>
      <c r="BN467" s="263">
        <f t="shared" si="473"/>
        <v>0</v>
      </c>
    </row>
    <row r="468" spans="1:66">
      <c r="A468" s="438" t="str">
        <f t="shared" ref="A468:B477" si="474">A338</f>
        <v>---</v>
      </c>
      <c r="B468" s="294" t="str">
        <f t="shared" si="474"/>
        <v>---</v>
      </c>
      <c r="C468" s="294" t="str">
        <f t="shared" si="424"/>
        <v>---</v>
      </c>
      <c r="D468" s="294" t="str">
        <f t="shared" si="425"/>
        <v>---</v>
      </c>
      <c r="E468" s="294" t="str">
        <f t="shared" si="447"/>
        <v>---</v>
      </c>
      <c r="F468" s="294" t="str">
        <f t="shared" si="426"/>
        <v>---</v>
      </c>
      <c r="G468" s="291" t="str">
        <f>IF(A468="---","---",IF(Type_Reinf="g",$I$414,IF(AND(Type_Reinf="s",Type_Steel_Strip="s")=TRUE,$I$416,IF(C468&gt;=20,IF(Type_Reinf="s",$F$415,10*INPUT!$J$111/INPUT!$I$111),IF(Type_Reinf="s",MIN(1.2+LOG(Cu),2)-C468*((MIN(1.2+LOG(Cu),2)-TAN(RADIANS(PHI_reinf)))/20),20*(INPUT!$J$111/INPUT!$I$111)-10*(INPUT!$J$111/INPUT!$I$111)*C468/20)))))</f>
        <v>---</v>
      </c>
      <c r="H468" s="294" t="str">
        <f t="shared" si="427"/>
        <v>---</v>
      </c>
      <c r="I468" s="294" t="str">
        <f t="shared" si="448"/>
        <v>---</v>
      </c>
      <c r="J468" s="294" t="str">
        <f t="shared" si="428"/>
        <v>---</v>
      </c>
      <c r="K468" s="294" t="str">
        <f t="shared" si="399"/>
        <v>---</v>
      </c>
      <c r="L468" s="294" t="str">
        <f t="shared" si="449"/>
        <v>---</v>
      </c>
      <c r="M468" s="294" t="str">
        <f t="shared" si="450"/>
        <v>---</v>
      </c>
      <c r="N468" s="291" t="str">
        <f t="shared" si="451"/>
        <v>---</v>
      </c>
      <c r="O468" s="294" t="str">
        <f t="shared" si="452"/>
        <v>---</v>
      </c>
      <c r="P468" s="294" t="str">
        <f t="shared" si="453"/>
        <v>---</v>
      </c>
      <c r="Q468" s="441" t="str">
        <f t="shared" si="454"/>
        <v>---</v>
      </c>
      <c r="R468" s="291" t="str">
        <f t="shared" si="429"/>
        <v>---</v>
      </c>
      <c r="S468" s="294" t="str">
        <f t="shared" si="430"/>
        <v>---</v>
      </c>
      <c r="T468" s="294" t="str">
        <f t="shared" si="455"/>
        <v>---</v>
      </c>
      <c r="U468" s="438" t="str">
        <f t="shared" si="431"/>
        <v>---</v>
      </c>
      <c r="V468" s="476" t="str">
        <f t="shared" si="456"/>
        <v>---</v>
      </c>
      <c r="W468" s="291" t="str">
        <f t="shared" si="457"/>
        <v>---</v>
      </c>
      <c r="X468" s="484"/>
      <c r="AC468" s="17" t="str">
        <f t="shared" si="458"/>
        <v>---</v>
      </c>
      <c r="AD468" s="17" t="str">
        <f t="shared" si="459"/>
        <v>---</v>
      </c>
      <c r="AE468" s="471">
        <f t="shared" si="460"/>
        <v>0</v>
      </c>
      <c r="AF468" s="471">
        <f t="shared" si="461"/>
        <v>0</v>
      </c>
      <c r="AG468" s="140" t="str">
        <f t="shared" si="462"/>
        <v>---</v>
      </c>
      <c r="AH468" s="140" t="str">
        <f t="shared" si="432"/>
        <v>---</v>
      </c>
      <c r="AI468" s="140">
        <f t="shared" si="433"/>
        <v>999.99</v>
      </c>
      <c r="AJ468" s="263">
        <f t="shared" si="463"/>
        <v>0</v>
      </c>
      <c r="AK468" s="173" t="str">
        <f>WORKSHEET_CONSTR!F407</f>
        <v>---</v>
      </c>
      <c r="AL468" s="141" t="str">
        <f>IF(WORKSHEET_CONSTR!P407="---","---",WORKSHEET_CONSTR!M407)</f>
        <v>---</v>
      </c>
      <c r="AM468" s="140">
        <f t="shared" si="434"/>
        <v>999.99</v>
      </c>
      <c r="AN468" s="263">
        <f t="shared" si="464"/>
        <v>0</v>
      </c>
      <c r="AO468" s="265"/>
      <c r="AP468" s="140" t="str">
        <f t="shared" si="436"/>
        <v>---</v>
      </c>
      <c r="AQ468" s="140" t="str">
        <f t="shared" si="465"/>
        <v>---</v>
      </c>
      <c r="AR468" s="140">
        <f t="shared" si="437"/>
        <v>999.99</v>
      </c>
      <c r="AS468" s="263">
        <f t="shared" si="466"/>
        <v>0</v>
      </c>
      <c r="AT468" s="140" t="str">
        <f>WORKSHEET_CONSTR!F407</f>
        <v>---</v>
      </c>
      <c r="AU468" s="140" t="str">
        <f>WORKSHEET_CONSTR!P471</f>
        <v>---</v>
      </c>
      <c r="AV468" s="140">
        <f t="shared" si="438"/>
        <v>999.99</v>
      </c>
      <c r="AW468" s="263">
        <f t="shared" si="467"/>
        <v>0</v>
      </c>
      <c r="AX468" s="267" t="str">
        <f>IF(INPUT!Q151&lt;&gt;0,INPUT!Q151,"---")</f>
        <v>---</v>
      </c>
      <c r="AY468" s="140" t="str">
        <f t="shared" si="468"/>
        <v>---</v>
      </c>
      <c r="AZ468" s="140">
        <f t="shared" si="439"/>
        <v>999.99</v>
      </c>
      <c r="BA468" s="263">
        <f t="shared" si="469"/>
        <v>0</v>
      </c>
      <c r="BB468" s="140" t="str">
        <f t="shared" si="440"/>
        <v>---</v>
      </c>
      <c r="BC468" s="140" t="str">
        <f>WORKSHEET_CONSTR!S407</f>
        <v>---</v>
      </c>
      <c r="BD468" s="140">
        <f t="shared" si="441"/>
        <v>999.99</v>
      </c>
      <c r="BE468" s="263">
        <f t="shared" si="470"/>
        <v>0</v>
      </c>
      <c r="BF468" s="265"/>
      <c r="BG468" s="140" t="str">
        <f t="shared" si="442"/>
        <v>---</v>
      </c>
      <c r="BH468" s="140" t="str">
        <f t="shared" si="471"/>
        <v>---</v>
      </c>
      <c r="BI468" s="140">
        <f t="shared" si="443"/>
        <v>999.99</v>
      </c>
      <c r="BJ468" s="263">
        <f t="shared" si="472"/>
        <v>0</v>
      </c>
      <c r="BK468" s="140" t="str">
        <f t="shared" si="444"/>
        <v>---</v>
      </c>
      <c r="BL468" s="140" t="str">
        <f>WORKSHEET_CONSTR!Q529</f>
        <v>---</v>
      </c>
      <c r="BM468" s="140">
        <f t="shared" si="445"/>
        <v>999.99</v>
      </c>
      <c r="BN468" s="263">
        <f t="shared" si="473"/>
        <v>0</v>
      </c>
    </row>
    <row r="469" spans="1:66">
      <c r="A469" s="438" t="str">
        <f t="shared" si="474"/>
        <v>---</v>
      </c>
      <c r="B469" s="294" t="str">
        <f t="shared" si="474"/>
        <v>---</v>
      </c>
      <c r="C469" s="294" t="str">
        <f t="shared" si="424"/>
        <v>---</v>
      </c>
      <c r="D469" s="294" t="str">
        <f t="shared" si="425"/>
        <v>---</v>
      </c>
      <c r="E469" s="294" t="str">
        <f t="shared" si="447"/>
        <v>---</v>
      </c>
      <c r="F469" s="294" t="str">
        <f t="shared" si="426"/>
        <v>---</v>
      </c>
      <c r="G469" s="291" t="str">
        <f>IF(A469="---","---",IF(Type_Reinf="g",$I$414,IF(AND(Type_Reinf="s",Type_Steel_Strip="s")=TRUE,$I$416,IF(C469&gt;=20,IF(Type_Reinf="s",$F$415,10*INPUT!$J$111/INPUT!$I$111),IF(Type_Reinf="s",MIN(1.2+LOG(Cu),2)-C469*((MIN(1.2+LOG(Cu),2)-TAN(RADIANS(PHI_reinf)))/20),20*(INPUT!$J$111/INPUT!$I$111)-10*(INPUT!$J$111/INPUT!$I$111)*C469/20)))))</f>
        <v>---</v>
      </c>
      <c r="H469" s="294" t="str">
        <f t="shared" si="427"/>
        <v>---</v>
      </c>
      <c r="I469" s="294" t="str">
        <f t="shared" si="448"/>
        <v>---</v>
      </c>
      <c r="J469" s="294" t="str">
        <f t="shared" si="428"/>
        <v>---</v>
      </c>
      <c r="K469" s="294" t="str">
        <f t="shared" si="399"/>
        <v>---</v>
      </c>
      <c r="L469" s="294" t="str">
        <f t="shared" si="449"/>
        <v>---</v>
      </c>
      <c r="M469" s="294" t="str">
        <f t="shared" si="450"/>
        <v>---</v>
      </c>
      <c r="N469" s="291" t="str">
        <f t="shared" si="451"/>
        <v>---</v>
      </c>
      <c r="O469" s="294" t="str">
        <f t="shared" si="452"/>
        <v>---</v>
      </c>
      <c r="P469" s="294" t="str">
        <f t="shared" si="453"/>
        <v>---</v>
      </c>
      <c r="Q469" s="441" t="str">
        <f t="shared" si="454"/>
        <v>---</v>
      </c>
      <c r="R469" s="291" t="str">
        <f t="shared" si="429"/>
        <v>---</v>
      </c>
      <c r="S469" s="294" t="str">
        <f t="shared" si="430"/>
        <v>---</v>
      </c>
      <c r="T469" s="294" t="str">
        <f t="shared" si="455"/>
        <v>---</v>
      </c>
      <c r="U469" s="438" t="str">
        <f t="shared" si="431"/>
        <v>---</v>
      </c>
      <c r="V469" s="476" t="str">
        <f t="shared" si="456"/>
        <v>---</v>
      </c>
      <c r="W469" s="291" t="str">
        <f t="shared" si="457"/>
        <v>---</v>
      </c>
      <c r="X469" s="484"/>
      <c r="AC469" s="17" t="str">
        <f t="shared" si="458"/>
        <v>---</v>
      </c>
      <c r="AD469" s="17" t="str">
        <f t="shared" si="459"/>
        <v>---</v>
      </c>
      <c r="AE469" s="471">
        <f t="shared" si="460"/>
        <v>0</v>
      </c>
      <c r="AF469" s="471">
        <f t="shared" si="461"/>
        <v>0</v>
      </c>
      <c r="AG469" s="140" t="str">
        <f t="shared" si="462"/>
        <v>---</v>
      </c>
      <c r="AH469" s="140" t="str">
        <f t="shared" si="432"/>
        <v>---</v>
      </c>
      <c r="AI469" s="140">
        <f t="shared" si="433"/>
        <v>999.99</v>
      </c>
      <c r="AJ469" s="263">
        <f t="shared" si="463"/>
        <v>0</v>
      </c>
      <c r="AK469" s="173" t="str">
        <f>WORKSHEET_CONSTR!F408</f>
        <v>---</v>
      </c>
      <c r="AL469" s="141" t="str">
        <f>IF(WORKSHEET_CONSTR!P408="---","---",WORKSHEET_CONSTR!M408)</f>
        <v>---</v>
      </c>
      <c r="AM469" s="140">
        <f t="shared" si="434"/>
        <v>999.99</v>
      </c>
      <c r="AN469" s="263">
        <f t="shared" si="464"/>
        <v>0</v>
      </c>
      <c r="AO469" s="265"/>
      <c r="AP469" s="140" t="str">
        <f t="shared" si="436"/>
        <v>---</v>
      </c>
      <c r="AQ469" s="140" t="str">
        <f t="shared" si="465"/>
        <v>---</v>
      </c>
      <c r="AR469" s="140">
        <f t="shared" si="437"/>
        <v>999.99</v>
      </c>
      <c r="AS469" s="263">
        <f t="shared" si="466"/>
        <v>0</v>
      </c>
      <c r="AT469" s="140" t="str">
        <f>WORKSHEET_CONSTR!F408</f>
        <v>---</v>
      </c>
      <c r="AU469" s="140" t="str">
        <f>WORKSHEET_CONSTR!P472</f>
        <v>---</v>
      </c>
      <c r="AV469" s="140">
        <f t="shared" si="438"/>
        <v>999.99</v>
      </c>
      <c r="AW469" s="263">
        <f t="shared" si="467"/>
        <v>0</v>
      </c>
      <c r="AX469" s="267" t="str">
        <f>IF(INPUT!Q152&lt;&gt;0,INPUT!Q152,"---")</f>
        <v>---</v>
      </c>
      <c r="AY469" s="140" t="str">
        <f t="shared" si="468"/>
        <v>---</v>
      </c>
      <c r="AZ469" s="140">
        <f t="shared" si="439"/>
        <v>999.99</v>
      </c>
      <c r="BA469" s="263">
        <f t="shared" si="469"/>
        <v>0</v>
      </c>
      <c r="BB469" s="140" t="str">
        <f t="shared" si="440"/>
        <v>---</v>
      </c>
      <c r="BC469" s="140" t="str">
        <f>WORKSHEET_CONSTR!S408</f>
        <v>---</v>
      </c>
      <c r="BD469" s="140">
        <f t="shared" si="441"/>
        <v>999.99</v>
      </c>
      <c r="BE469" s="263">
        <f t="shared" si="470"/>
        <v>0</v>
      </c>
      <c r="BF469" s="265"/>
      <c r="BG469" s="140" t="str">
        <f t="shared" si="442"/>
        <v>---</v>
      </c>
      <c r="BH469" s="140" t="str">
        <f t="shared" si="471"/>
        <v>---</v>
      </c>
      <c r="BI469" s="140">
        <f t="shared" si="443"/>
        <v>999.99</v>
      </c>
      <c r="BJ469" s="263">
        <f t="shared" si="472"/>
        <v>0</v>
      </c>
      <c r="BK469" s="140" t="str">
        <f t="shared" si="444"/>
        <v>---</v>
      </c>
      <c r="BL469" s="140" t="str">
        <f>WORKSHEET_CONSTR!Q530</f>
        <v>---</v>
      </c>
      <c r="BM469" s="140">
        <f t="shared" si="445"/>
        <v>999.99</v>
      </c>
      <c r="BN469" s="263">
        <f t="shared" si="473"/>
        <v>0</v>
      </c>
    </row>
    <row r="470" spans="1:66">
      <c r="A470" s="438" t="str">
        <f t="shared" si="474"/>
        <v>---</v>
      </c>
      <c r="B470" s="294" t="str">
        <f t="shared" si="474"/>
        <v>---</v>
      </c>
      <c r="C470" s="294" t="str">
        <f t="shared" si="424"/>
        <v>---</v>
      </c>
      <c r="D470" s="294" t="str">
        <f t="shared" si="425"/>
        <v>---</v>
      </c>
      <c r="E470" s="294" t="str">
        <f t="shared" si="447"/>
        <v>---</v>
      </c>
      <c r="F470" s="294" t="str">
        <f t="shared" si="426"/>
        <v>---</v>
      </c>
      <c r="G470" s="291" t="str">
        <f>IF(A470="---","---",IF(Type_Reinf="g",$I$414,IF(AND(Type_Reinf="s",Type_Steel_Strip="s")=TRUE,$I$416,IF(C470&gt;=20,IF(Type_Reinf="s",$F$415,10*INPUT!$J$111/INPUT!$I$111),IF(Type_Reinf="s",MIN(1.2+LOG(Cu),2)-C470*((MIN(1.2+LOG(Cu),2)-TAN(RADIANS(PHI_reinf)))/20),20*(INPUT!$J$111/INPUT!$I$111)-10*(INPUT!$J$111/INPUT!$I$111)*C470/20)))))</f>
        <v>---</v>
      </c>
      <c r="H470" s="294" t="str">
        <f t="shared" si="427"/>
        <v>---</v>
      </c>
      <c r="I470" s="294" t="str">
        <f t="shared" si="448"/>
        <v>---</v>
      </c>
      <c r="J470" s="294" t="str">
        <f t="shared" si="428"/>
        <v>---</v>
      </c>
      <c r="K470" s="294" t="str">
        <f t="shared" si="399"/>
        <v>---</v>
      </c>
      <c r="L470" s="294" t="str">
        <f t="shared" si="449"/>
        <v>---</v>
      </c>
      <c r="M470" s="294" t="str">
        <f t="shared" si="450"/>
        <v>---</v>
      </c>
      <c r="N470" s="291" t="str">
        <f t="shared" si="451"/>
        <v>---</v>
      </c>
      <c r="O470" s="294" t="str">
        <f t="shared" si="452"/>
        <v>---</v>
      </c>
      <c r="P470" s="294" t="str">
        <f t="shared" si="453"/>
        <v>---</v>
      </c>
      <c r="Q470" s="441" t="str">
        <f t="shared" si="454"/>
        <v>---</v>
      </c>
      <c r="R470" s="291" t="str">
        <f t="shared" si="429"/>
        <v>---</v>
      </c>
      <c r="S470" s="294" t="str">
        <f t="shared" si="430"/>
        <v>---</v>
      </c>
      <c r="T470" s="294" t="str">
        <f t="shared" si="455"/>
        <v>---</v>
      </c>
      <c r="U470" s="438" t="str">
        <f t="shared" si="431"/>
        <v>---</v>
      </c>
      <c r="V470" s="476" t="str">
        <f t="shared" si="456"/>
        <v>---</v>
      </c>
      <c r="W470" s="291" t="str">
        <f t="shared" si="457"/>
        <v>---</v>
      </c>
      <c r="X470" s="484"/>
      <c r="AC470" s="17" t="str">
        <f t="shared" si="458"/>
        <v>---</v>
      </c>
      <c r="AD470" s="17" t="str">
        <f t="shared" si="459"/>
        <v>---</v>
      </c>
      <c r="AE470" s="471">
        <f t="shared" si="460"/>
        <v>0</v>
      </c>
      <c r="AF470" s="471">
        <f t="shared" si="461"/>
        <v>0</v>
      </c>
      <c r="AG470" s="140" t="str">
        <f t="shared" si="462"/>
        <v>---</v>
      </c>
      <c r="AH470" s="140" t="str">
        <f t="shared" si="432"/>
        <v>---</v>
      </c>
      <c r="AI470" s="140">
        <f t="shared" si="433"/>
        <v>999.99</v>
      </c>
      <c r="AJ470" s="263">
        <f t="shared" si="463"/>
        <v>0</v>
      </c>
      <c r="AK470" s="173" t="str">
        <f>WORKSHEET_CONSTR!F409</f>
        <v>---</v>
      </c>
      <c r="AL470" s="141" t="str">
        <f>IF(WORKSHEET_CONSTR!P409="---","---",WORKSHEET_CONSTR!M409)</f>
        <v>---</v>
      </c>
      <c r="AM470" s="140">
        <f t="shared" si="434"/>
        <v>999.99</v>
      </c>
      <c r="AN470" s="263">
        <f t="shared" si="464"/>
        <v>0</v>
      </c>
      <c r="AO470" s="265"/>
      <c r="AP470" s="140" t="str">
        <f t="shared" si="436"/>
        <v>---</v>
      </c>
      <c r="AQ470" s="140" t="str">
        <f t="shared" si="465"/>
        <v>---</v>
      </c>
      <c r="AR470" s="140">
        <f t="shared" si="437"/>
        <v>999.99</v>
      </c>
      <c r="AS470" s="263">
        <f t="shared" si="466"/>
        <v>0</v>
      </c>
      <c r="AT470" s="140" t="str">
        <f>WORKSHEET_CONSTR!F409</f>
        <v>---</v>
      </c>
      <c r="AU470" s="140" t="str">
        <f>WORKSHEET_CONSTR!P473</f>
        <v>---</v>
      </c>
      <c r="AV470" s="140">
        <f t="shared" si="438"/>
        <v>999.99</v>
      </c>
      <c r="AW470" s="263">
        <f t="shared" si="467"/>
        <v>0</v>
      </c>
      <c r="AX470" s="267" t="str">
        <f>IF(INPUT!Q153&lt;&gt;0,INPUT!Q153,"---")</f>
        <v>---</v>
      </c>
      <c r="AY470" s="140" t="str">
        <f t="shared" si="468"/>
        <v>---</v>
      </c>
      <c r="AZ470" s="140">
        <f t="shared" si="439"/>
        <v>999.99</v>
      </c>
      <c r="BA470" s="263">
        <f t="shared" si="469"/>
        <v>0</v>
      </c>
      <c r="BB470" s="140" t="str">
        <f t="shared" si="440"/>
        <v>---</v>
      </c>
      <c r="BC470" s="140" t="str">
        <f>WORKSHEET_CONSTR!S409</f>
        <v>---</v>
      </c>
      <c r="BD470" s="140">
        <f t="shared" si="441"/>
        <v>999.99</v>
      </c>
      <c r="BE470" s="263">
        <f t="shared" si="470"/>
        <v>0</v>
      </c>
      <c r="BF470" s="265"/>
      <c r="BG470" s="140" t="str">
        <f t="shared" si="442"/>
        <v>---</v>
      </c>
      <c r="BH470" s="140" t="str">
        <f t="shared" si="471"/>
        <v>---</v>
      </c>
      <c r="BI470" s="140">
        <f t="shared" si="443"/>
        <v>999.99</v>
      </c>
      <c r="BJ470" s="263">
        <f t="shared" si="472"/>
        <v>0</v>
      </c>
      <c r="BK470" s="140" t="str">
        <f t="shared" si="444"/>
        <v>---</v>
      </c>
      <c r="BL470" s="140" t="str">
        <f>WORKSHEET_CONSTR!Q531</f>
        <v>---</v>
      </c>
      <c r="BM470" s="140">
        <f t="shared" si="445"/>
        <v>999.99</v>
      </c>
      <c r="BN470" s="263">
        <f t="shared" si="473"/>
        <v>0</v>
      </c>
    </row>
    <row r="471" spans="1:66">
      <c r="A471" s="438" t="str">
        <f t="shared" si="474"/>
        <v>---</v>
      </c>
      <c r="B471" s="294" t="str">
        <f t="shared" si="474"/>
        <v>---</v>
      </c>
      <c r="C471" s="294" t="str">
        <f t="shared" si="424"/>
        <v>---</v>
      </c>
      <c r="D471" s="294" t="str">
        <f t="shared" si="425"/>
        <v>---</v>
      </c>
      <c r="E471" s="294" t="str">
        <f t="shared" si="447"/>
        <v>---</v>
      </c>
      <c r="F471" s="294" t="str">
        <f t="shared" si="426"/>
        <v>---</v>
      </c>
      <c r="G471" s="291" t="str">
        <f>IF(A471="---","---",IF(Type_Reinf="g",$I$414,IF(AND(Type_Reinf="s",Type_Steel_Strip="s")=TRUE,$I$416,IF(C471&gt;=20,IF(Type_Reinf="s",$F$415,10*INPUT!$J$111/INPUT!$I$111),IF(Type_Reinf="s",MIN(1.2+LOG(Cu),2)-C471*((MIN(1.2+LOG(Cu),2)-TAN(RADIANS(PHI_reinf)))/20),20*(INPUT!$J$111/INPUT!$I$111)-10*(INPUT!$J$111/INPUT!$I$111)*C471/20)))))</f>
        <v>---</v>
      </c>
      <c r="H471" s="294" t="str">
        <f t="shared" si="427"/>
        <v>---</v>
      </c>
      <c r="I471" s="294" t="str">
        <f t="shared" si="448"/>
        <v>---</v>
      </c>
      <c r="J471" s="294" t="str">
        <f t="shared" si="428"/>
        <v>---</v>
      </c>
      <c r="K471" s="294" t="str">
        <f t="shared" si="399"/>
        <v>---</v>
      </c>
      <c r="L471" s="294" t="str">
        <f t="shared" si="449"/>
        <v>---</v>
      </c>
      <c r="M471" s="294" t="str">
        <f t="shared" si="450"/>
        <v>---</v>
      </c>
      <c r="N471" s="291" t="str">
        <f t="shared" si="451"/>
        <v>---</v>
      </c>
      <c r="O471" s="294" t="str">
        <f t="shared" si="452"/>
        <v>---</v>
      </c>
      <c r="P471" s="294" t="str">
        <f t="shared" si="453"/>
        <v>---</v>
      </c>
      <c r="Q471" s="441" t="str">
        <f t="shared" si="454"/>
        <v>---</v>
      </c>
      <c r="R471" s="291" t="str">
        <f t="shared" si="429"/>
        <v>---</v>
      </c>
      <c r="S471" s="294" t="str">
        <f t="shared" si="430"/>
        <v>---</v>
      </c>
      <c r="T471" s="294" t="str">
        <f t="shared" si="455"/>
        <v>---</v>
      </c>
      <c r="U471" s="438" t="str">
        <f t="shared" si="431"/>
        <v>---</v>
      </c>
      <c r="V471" s="476" t="str">
        <f t="shared" si="456"/>
        <v>---</v>
      </c>
      <c r="W471" s="291" t="str">
        <f t="shared" si="457"/>
        <v>---</v>
      </c>
      <c r="X471" s="484"/>
      <c r="AC471" s="17" t="str">
        <f t="shared" si="458"/>
        <v>---</v>
      </c>
      <c r="AD471" s="17" t="str">
        <f t="shared" si="459"/>
        <v>---</v>
      </c>
      <c r="AE471" s="471">
        <f t="shared" si="460"/>
        <v>0</v>
      </c>
      <c r="AF471" s="471">
        <f t="shared" si="461"/>
        <v>0</v>
      </c>
      <c r="AG471" s="140" t="str">
        <f t="shared" si="462"/>
        <v>---</v>
      </c>
      <c r="AH471" s="140" t="str">
        <f t="shared" si="432"/>
        <v>---</v>
      </c>
      <c r="AI471" s="140">
        <f t="shared" si="433"/>
        <v>999.99</v>
      </c>
      <c r="AJ471" s="263">
        <f t="shared" si="463"/>
        <v>0</v>
      </c>
      <c r="AK471" s="173" t="str">
        <f>WORKSHEET_CONSTR!F410</f>
        <v>---</v>
      </c>
      <c r="AL471" s="141" t="str">
        <f>IF(WORKSHEET_CONSTR!P410="---","---",WORKSHEET_CONSTR!M410)</f>
        <v>---</v>
      </c>
      <c r="AM471" s="140">
        <f t="shared" si="434"/>
        <v>999.99</v>
      </c>
      <c r="AN471" s="263">
        <f t="shared" si="464"/>
        <v>0</v>
      </c>
      <c r="AO471" s="265"/>
      <c r="AP471" s="140" t="str">
        <f t="shared" si="436"/>
        <v>---</v>
      </c>
      <c r="AQ471" s="140" t="str">
        <f t="shared" si="465"/>
        <v>---</v>
      </c>
      <c r="AR471" s="140">
        <f t="shared" si="437"/>
        <v>999.99</v>
      </c>
      <c r="AS471" s="263">
        <f t="shared" si="466"/>
        <v>0</v>
      </c>
      <c r="AT471" s="140" t="str">
        <f>WORKSHEET_CONSTR!F410</f>
        <v>---</v>
      </c>
      <c r="AU471" s="140" t="str">
        <f>WORKSHEET_CONSTR!P474</f>
        <v>---</v>
      </c>
      <c r="AV471" s="140">
        <f t="shared" si="438"/>
        <v>999.99</v>
      </c>
      <c r="AW471" s="263">
        <f t="shared" si="467"/>
        <v>0</v>
      </c>
      <c r="AX471" s="267" t="str">
        <f>IF(INPUT!Q154&lt;&gt;0,INPUT!Q154,"---")</f>
        <v>---</v>
      </c>
      <c r="AY471" s="140" t="str">
        <f t="shared" si="468"/>
        <v>---</v>
      </c>
      <c r="AZ471" s="140">
        <f t="shared" si="439"/>
        <v>999.99</v>
      </c>
      <c r="BA471" s="263">
        <f t="shared" si="469"/>
        <v>0</v>
      </c>
      <c r="BB471" s="140" t="str">
        <f t="shared" si="440"/>
        <v>---</v>
      </c>
      <c r="BC471" s="140" t="str">
        <f>WORKSHEET_CONSTR!S410</f>
        <v>---</v>
      </c>
      <c r="BD471" s="140">
        <f t="shared" si="441"/>
        <v>999.99</v>
      </c>
      <c r="BE471" s="263">
        <f t="shared" si="470"/>
        <v>0</v>
      </c>
      <c r="BF471" s="265"/>
      <c r="BG471" s="140" t="str">
        <f t="shared" si="442"/>
        <v>---</v>
      </c>
      <c r="BH471" s="140" t="str">
        <f t="shared" si="471"/>
        <v>---</v>
      </c>
      <c r="BI471" s="140">
        <f t="shared" si="443"/>
        <v>999.99</v>
      </c>
      <c r="BJ471" s="263">
        <f t="shared" si="472"/>
        <v>0</v>
      </c>
      <c r="BK471" s="140" t="str">
        <f t="shared" si="444"/>
        <v>---</v>
      </c>
      <c r="BL471" s="140" t="str">
        <f>WORKSHEET_CONSTR!Q532</f>
        <v>---</v>
      </c>
      <c r="BM471" s="140">
        <f t="shared" si="445"/>
        <v>999.99</v>
      </c>
      <c r="BN471" s="263">
        <f t="shared" si="473"/>
        <v>0</v>
      </c>
    </row>
    <row r="472" spans="1:66">
      <c r="A472" s="438" t="str">
        <f t="shared" si="474"/>
        <v>---</v>
      </c>
      <c r="B472" s="294" t="str">
        <f t="shared" si="474"/>
        <v>---</v>
      </c>
      <c r="C472" s="294" t="str">
        <f t="shared" si="424"/>
        <v>---</v>
      </c>
      <c r="D472" s="294" t="str">
        <f t="shared" si="425"/>
        <v>---</v>
      </c>
      <c r="E472" s="294" t="str">
        <f t="shared" si="447"/>
        <v>---</v>
      </c>
      <c r="F472" s="294" t="str">
        <f t="shared" si="426"/>
        <v>---</v>
      </c>
      <c r="G472" s="291" t="str">
        <f>IF(A472="---","---",IF(Type_Reinf="g",$I$414,IF(AND(Type_Reinf="s",Type_Steel_Strip="s")=TRUE,$I$416,IF(C472&gt;=20,IF(Type_Reinf="s",$F$415,10*INPUT!$J$111/INPUT!$I$111),IF(Type_Reinf="s",MIN(1.2+LOG(Cu),2)-C472*((MIN(1.2+LOG(Cu),2)-TAN(RADIANS(PHI_reinf)))/20),20*(INPUT!$J$111/INPUT!$I$111)-10*(INPUT!$J$111/INPUT!$I$111)*C472/20)))))</f>
        <v>---</v>
      </c>
      <c r="H472" s="294" t="str">
        <f t="shared" si="427"/>
        <v>---</v>
      </c>
      <c r="I472" s="294" t="str">
        <f t="shared" si="448"/>
        <v>---</v>
      </c>
      <c r="J472" s="294" t="str">
        <f t="shared" si="428"/>
        <v>---</v>
      </c>
      <c r="K472" s="294" t="str">
        <f t="shared" si="399"/>
        <v>---</v>
      </c>
      <c r="L472" s="294" t="str">
        <f t="shared" si="449"/>
        <v>---</v>
      </c>
      <c r="M472" s="294" t="str">
        <f t="shared" si="450"/>
        <v>---</v>
      </c>
      <c r="N472" s="291" t="str">
        <f t="shared" si="451"/>
        <v>---</v>
      </c>
      <c r="O472" s="294" t="str">
        <f t="shared" si="452"/>
        <v>---</v>
      </c>
      <c r="P472" s="294" t="str">
        <f t="shared" si="453"/>
        <v>---</v>
      </c>
      <c r="Q472" s="441" t="str">
        <f t="shared" si="454"/>
        <v>---</v>
      </c>
      <c r="R472" s="291" t="str">
        <f t="shared" si="429"/>
        <v>---</v>
      </c>
      <c r="S472" s="294" t="str">
        <f t="shared" si="430"/>
        <v>---</v>
      </c>
      <c r="T472" s="294" t="str">
        <f t="shared" si="455"/>
        <v>---</v>
      </c>
      <c r="U472" s="438" t="str">
        <f t="shared" si="431"/>
        <v>---</v>
      </c>
      <c r="V472" s="476" t="str">
        <f t="shared" si="456"/>
        <v>---</v>
      </c>
      <c r="W472" s="291" t="str">
        <f t="shared" si="457"/>
        <v>---</v>
      </c>
      <c r="X472" s="484"/>
      <c r="AC472" s="17" t="str">
        <f t="shared" si="458"/>
        <v>---</v>
      </c>
      <c r="AD472" s="17" t="str">
        <f t="shared" si="459"/>
        <v>---</v>
      </c>
      <c r="AE472" s="471">
        <f t="shared" si="460"/>
        <v>0</v>
      </c>
      <c r="AF472" s="471">
        <f t="shared" si="461"/>
        <v>0</v>
      </c>
      <c r="AG472" s="140" t="str">
        <f t="shared" si="462"/>
        <v>---</v>
      </c>
      <c r="AH472" s="140" t="str">
        <f t="shared" si="432"/>
        <v>---</v>
      </c>
      <c r="AI472" s="140">
        <f t="shared" si="433"/>
        <v>999.99</v>
      </c>
      <c r="AJ472" s="263">
        <f t="shared" si="463"/>
        <v>0</v>
      </c>
      <c r="AK472" s="173" t="str">
        <f>WORKSHEET_CONSTR!F411</f>
        <v>---</v>
      </c>
      <c r="AL472" s="141" t="str">
        <f>IF(WORKSHEET_CONSTR!P411="---","---",WORKSHEET_CONSTR!M411)</f>
        <v>---</v>
      </c>
      <c r="AM472" s="140">
        <f t="shared" si="434"/>
        <v>999.99</v>
      </c>
      <c r="AN472" s="263">
        <f t="shared" si="464"/>
        <v>0</v>
      </c>
      <c r="AO472" s="265"/>
      <c r="AP472" s="140" t="str">
        <f t="shared" si="436"/>
        <v>---</v>
      </c>
      <c r="AQ472" s="140" t="str">
        <f t="shared" si="465"/>
        <v>---</v>
      </c>
      <c r="AR472" s="140">
        <f t="shared" si="437"/>
        <v>999.99</v>
      </c>
      <c r="AS472" s="263">
        <f t="shared" si="466"/>
        <v>0</v>
      </c>
      <c r="AT472" s="140" t="str">
        <f>WORKSHEET_CONSTR!F411</f>
        <v>---</v>
      </c>
      <c r="AU472" s="140" t="str">
        <f>WORKSHEET_CONSTR!P475</f>
        <v>---</v>
      </c>
      <c r="AV472" s="140">
        <f t="shared" si="438"/>
        <v>999.99</v>
      </c>
      <c r="AW472" s="263">
        <f t="shared" si="467"/>
        <v>0</v>
      </c>
      <c r="AX472" s="267" t="str">
        <f>IF(INPUT!Q155&lt;&gt;0,INPUT!Q155,"---")</f>
        <v>---</v>
      </c>
      <c r="AY472" s="140" t="str">
        <f t="shared" si="468"/>
        <v>---</v>
      </c>
      <c r="AZ472" s="140">
        <f t="shared" si="439"/>
        <v>999.99</v>
      </c>
      <c r="BA472" s="263">
        <f t="shared" si="469"/>
        <v>0</v>
      </c>
      <c r="BB472" s="140" t="str">
        <f t="shared" si="440"/>
        <v>---</v>
      </c>
      <c r="BC472" s="140" t="str">
        <f>WORKSHEET_CONSTR!S411</f>
        <v>---</v>
      </c>
      <c r="BD472" s="140">
        <f t="shared" si="441"/>
        <v>999.99</v>
      </c>
      <c r="BE472" s="263">
        <f t="shared" si="470"/>
        <v>0</v>
      </c>
      <c r="BF472" s="265"/>
      <c r="BG472" s="140" t="str">
        <f t="shared" si="442"/>
        <v>---</v>
      </c>
      <c r="BH472" s="140" t="str">
        <f t="shared" si="471"/>
        <v>---</v>
      </c>
      <c r="BI472" s="140">
        <f t="shared" si="443"/>
        <v>999.99</v>
      </c>
      <c r="BJ472" s="263">
        <f t="shared" si="472"/>
        <v>0</v>
      </c>
      <c r="BK472" s="140" t="str">
        <f t="shared" si="444"/>
        <v>---</v>
      </c>
      <c r="BL472" s="140" t="str">
        <f>WORKSHEET_CONSTR!Q533</f>
        <v>---</v>
      </c>
      <c r="BM472" s="140">
        <f t="shared" si="445"/>
        <v>999.99</v>
      </c>
      <c r="BN472" s="263">
        <f t="shared" si="473"/>
        <v>0</v>
      </c>
    </row>
    <row r="473" spans="1:66">
      <c r="A473" s="438" t="str">
        <f t="shared" si="474"/>
        <v>---</v>
      </c>
      <c r="B473" s="294" t="str">
        <f t="shared" si="474"/>
        <v>---</v>
      </c>
      <c r="C473" s="294" t="str">
        <f t="shared" si="424"/>
        <v>---</v>
      </c>
      <c r="D473" s="294" t="str">
        <f t="shared" si="425"/>
        <v>---</v>
      </c>
      <c r="E473" s="294" t="str">
        <f t="shared" si="447"/>
        <v>---</v>
      </c>
      <c r="F473" s="294" t="str">
        <f t="shared" si="426"/>
        <v>---</v>
      </c>
      <c r="G473" s="291" t="str">
        <f>IF(A473="---","---",IF(Type_Reinf="g",$I$414,IF(AND(Type_Reinf="s",Type_Steel_Strip="s")=TRUE,$I$416,IF(C473&gt;=20,IF(Type_Reinf="s",$F$415,10*INPUT!$J$111/INPUT!$I$111),IF(Type_Reinf="s",MIN(1.2+LOG(Cu),2)-C473*((MIN(1.2+LOG(Cu),2)-TAN(RADIANS(PHI_reinf)))/20),20*(INPUT!$J$111/INPUT!$I$111)-10*(INPUT!$J$111/INPUT!$I$111)*C473/20)))))</f>
        <v>---</v>
      </c>
      <c r="H473" s="294" t="str">
        <f t="shared" si="427"/>
        <v>---</v>
      </c>
      <c r="I473" s="294" t="str">
        <f t="shared" si="448"/>
        <v>---</v>
      </c>
      <c r="J473" s="294" t="str">
        <f t="shared" si="428"/>
        <v>---</v>
      </c>
      <c r="K473" s="294" t="str">
        <f t="shared" si="399"/>
        <v>---</v>
      </c>
      <c r="L473" s="294" t="str">
        <f t="shared" si="449"/>
        <v>---</v>
      </c>
      <c r="M473" s="294" t="str">
        <f t="shared" si="450"/>
        <v>---</v>
      </c>
      <c r="N473" s="291" t="str">
        <f t="shared" si="451"/>
        <v>---</v>
      </c>
      <c r="O473" s="294" t="str">
        <f t="shared" si="452"/>
        <v>---</v>
      </c>
      <c r="P473" s="294" t="str">
        <f t="shared" si="453"/>
        <v>---</v>
      </c>
      <c r="Q473" s="441" t="str">
        <f t="shared" si="454"/>
        <v>---</v>
      </c>
      <c r="R473" s="291" t="str">
        <f t="shared" si="429"/>
        <v>---</v>
      </c>
      <c r="S473" s="294" t="str">
        <f t="shared" si="430"/>
        <v>---</v>
      </c>
      <c r="T473" s="294" t="str">
        <f t="shared" si="455"/>
        <v>---</v>
      </c>
      <c r="U473" s="438" t="str">
        <f t="shared" si="431"/>
        <v>---</v>
      </c>
      <c r="V473" s="476" t="str">
        <f t="shared" si="456"/>
        <v>---</v>
      </c>
      <c r="W473" s="291" t="str">
        <f t="shared" si="457"/>
        <v>---</v>
      </c>
      <c r="X473" s="484"/>
      <c r="AC473" s="17" t="str">
        <f t="shared" si="458"/>
        <v>---</v>
      </c>
      <c r="AD473" s="17" t="str">
        <f t="shared" si="459"/>
        <v>---</v>
      </c>
      <c r="AE473" s="471">
        <f t="shared" si="460"/>
        <v>0</v>
      </c>
      <c r="AF473" s="471">
        <f t="shared" si="461"/>
        <v>0</v>
      </c>
      <c r="AG473" s="140" t="str">
        <f t="shared" si="462"/>
        <v>---</v>
      </c>
      <c r="AH473" s="140" t="str">
        <f t="shared" si="432"/>
        <v>---</v>
      </c>
      <c r="AI473" s="140">
        <f t="shared" si="433"/>
        <v>999.99</v>
      </c>
      <c r="AJ473" s="263">
        <f t="shared" si="463"/>
        <v>0</v>
      </c>
      <c r="AK473" s="173" t="str">
        <f>WORKSHEET_CONSTR!F412</f>
        <v>---</v>
      </c>
      <c r="AL473" s="141" t="str">
        <f>IF(WORKSHEET_CONSTR!P412="---","---",WORKSHEET_CONSTR!M412)</f>
        <v>---</v>
      </c>
      <c r="AM473" s="140">
        <f t="shared" si="434"/>
        <v>999.99</v>
      </c>
      <c r="AN473" s="263">
        <f t="shared" si="464"/>
        <v>0</v>
      </c>
      <c r="AO473" s="265"/>
      <c r="AP473" s="140" t="str">
        <f t="shared" si="436"/>
        <v>---</v>
      </c>
      <c r="AQ473" s="140" t="str">
        <f t="shared" si="465"/>
        <v>---</v>
      </c>
      <c r="AR473" s="140">
        <f t="shared" si="437"/>
        <v>999.99</v>
      </c>
      <c r="AS473" s="263">
        <f t="shared" si="466"/>
        <v>0</v>
      </c>
      <c r="AT473" s="140" t="str">
        <f>WORKSHEET_CONSTR!F412</f>
        <v>---</v>
      </c>
      <c r="AU473" s="140" t="str">
        <f>WORKSHEET_CONSTR!P476</f>
        <v>---</v>
      </c>
      <c r="AV473" s="140">
        <f t="shared" si="438"/>
        <v>999.99</v>
      </c>
      <c r="AW473" s="263">
        <f t="shared" si="467"/>
        <v>0</v>
      </c>
      <c r="AX473" s="267" t="str">
        <f>IF(INPUT!Q156&lt;&gt;0,INPUT!Q156,"---")</f>
        <v>---</v>
      </c>
      <c r="AY473" s="140" t="str">
        <f t="shared" si="468"/>
        <v>---</v>
      </c>
      <c r="AZ473" s="140">
        <f t="shared" si="439"/>
        <v>999.99</v>
      </c>
      <c r="BA473" s="263">
        <f t="shared" si="469"/>
        <v>0</v>
      </c>
      <c r="BB473" s="140" t="str">
        <f t="shared" si="440"/>
        <v>---</v>
      </c>
      <c r="BC473" s="140" t="str">
        <f>WORKSHEET_CONSTR!S412</f>
        <v>---</v>
      </c>
      <c r="BD473" s="140">
        <f t="shared" si="441"/>
        <v>999.99</v>
      </c>
      <c r="BE473" s="263">
        <f t="shared" si="470"/>
        <v>0</v>
      </c>
      <c r="BF473" s="265"/>
      <c r="BG473" s="140" t="str">
        <f t="shared" si="442"/>
        <v>---</v>
      </c>
      <c r="BH473" s="140" t="str">
        <f t="shared" si="471"/>
        <v>---</v>
      </c>
      <c r="BI473" s="140">
        <f t="shared" si="443"/>
        <v>999.99</v>
      </c>
      <c r="BJ473" s="263">
        <f t="shared" si="472"/>
        <v>0</v>
      </c>
      <c r="BK473" s="140" t="str">
        <f t="shared" si="444"/>
        <v>---</v>
      </c>
      <c r="BL473" s="140" t="str">
        <f>WORKSHEET_CONSTR!Q534</f>
        <v>---</v>
      </c>
      <c r="BM473" s="140">
        <f t="shared" si="445"/>
        <v>999.99</v>
      </c>
      <c r="BN473" s="263">
        <f t="shared" si="473"/>
        <v>0</v>
      </c>
    </row>
    <row r="474" spans="1:66">
      <c r="A474" s="438" t="str">
        <f t="shared" si="474"/>
        <v>---</v>
      </c>
      <c r="B474" s="294" t="str">
        <f t="shared" si="474"/>
        <v>---</v>
      </c>
      <c r="C474" s="294" t="str">
        <f t="shared" si="424"/>
        <v>---</v>
      </c>
      <c r="D474" s="294" t="str">
        <f t="shared" si="425"/>
        <v>---</v>
      </c>
      <c r="E474" s="294" t="str">
        <f t="shared" si="447"/>
        <v>---</v>
      </c>
      <c r="F474" s="294" t="str">
        <f t="shared" si="426"/>
        <v>---</v>
      </c>
      <c r="G474" s="291" t="str">
        <f>IF(A474="---","---",IF(Type_Reinf="g",$I$414,IF(AND(Type_Reinf="s",Type_Steel_Strip="s")=TRUE,$I$416,IF(C474&gt;=20,IF(Type_Reinf="s",$F$415,10*INPUT!$J$111/INPUT!$I$111),IF(Type_Reinf="s",MIN(1.2+LOG(Cu),2)-C474*((MIN(1.2+LOG(Cu),2)-TAN(RADIANS(PHI_reinf)))/20),20*(INPUT!$J$111/INPUT!$I$111)-10*(INPUT!$J$111/INPUT!$I$111)*C474/20)))))</f>
        <v>---</v>
      </c>
      <c r="H474" s="294" t="str">
        <f t="shared" si="427"/>
        <v>---</v>
      </c>
      <c r="I474" s="294" t="str">
        <f t="shared" si="448"/>
        <v>---</v>
      </c>
      <c r="J474" s="294" t="str">
        <f t="shared" si="428"/>
        <v>---</v>
      </c>
      <c r="K474" s="294" t="str">
        <f t="shared" si="399"/>
        <v>---</v>
      </c>
      <c r="L474" s="294" t="str">
        <f t="shared" si="449"/>
        <v>---</v>
      </c>
      <c r="M474" s="294" t="str">
        <f t="shared" si="450"/>
        <v>---</v>
      </c>
      <c r="N474" s="291" t="str">
        <f t="shared" si="451"/>
        <v>---</v>
      </c>
      <c r="O474" s="294" t="str">
        <f t="shared" si="452"/>
        <v>---</v>
      </c>
      <c r="P474" s="294" t="str">
        <f t="shared" si="453"/>
        <v>---</v>
      </c>
      <c r="Q474" s="441" t="str">
        <f t="shared" si="454"/>
        <v>---</v>
      </c>
      <c r="R474" s="291" t="str">
        <f t="shared" si="429"/>
        <v>---</v>
      </c>
      <c r="S474" s="294" t="str">
        <f t="shared" si="430"/>
        <v>---</v>
      </c>
      <c r="T474" s="294" t="str">
        <f t="shared" si="455"/>
        <v>---</v>
      </c>
      <c r="U474" s="438" t="str">
        <f t="shared" si="431"/>
        <v>---</v>
      </c>
      <c r="V474" s="476" t="str">
        <f t="shared" si="456"/>
        <v>---</v>
      </c>
      <c r="W474" s="291" t="str">
        <f t="shared" si="457"/>
        <v>---</v>
      </c>
      <c r="X474" s="484"/>
      <c r="AC474" s="17" t="str">
        <f t="shared" si="458"/>
        <v>---</v>
      </c>
      <c r="AD474" s="17" t="str">
        <f t="shared" si="459"/>
        <v>---</v>
      </c>
      <c r="AE474" s="471">
        <f t="shared" si="460"/>
        <v>0</v>
      </c>
      <c r="AF474" s="471">
        <f t="shared" si="461"/>
        <v>0</v>
      </c>
      <c r="AG474" s="140" t="str">
        <f t="shared" si="462"/>
        <v>---</v>
      </c>
      <c r="AH474" s="140" t="str">
        <f t="shared" si="432"/>
        <v>---</v>
      </c>
      <c r="AI474" s="140">
        <f t="shared" si="433"/>
        <v>999.99</v>
      </c>
      <c r="AJ474" s="263">
        <f t="shared" si="463"/>
        <v>0</v>
      </c>
      <c r="AK474" s="173" t="str">
        <f>WORKSHEET_CONSTR!F413</f>
        <v>---</v>
      </c>
      <c r="AL474" s="141" t="str">
        <f>IF(WORKSHEET_CONSTR!P413="---","---",WORKSHEET_CONSTR!M413)</f>
        <v>---</v>
      </c>
      <c r="AM474" s="140">
        <f t="shared" si="434"/>
        <v>999.99</v>
      </c>
      <c r="AN474" s="263">
        <f t="shared" si="464"/>
        <v>0</v>
      </c>
      <c r="AO474" s="265"/>
      <c r="AP474" s="140" t="str">
        <f t="shared" si="436"/>
        <v>---</v>
      </c>
      <c r="AQ474" s="140" t="str">
        <f t="shared" si="465"/>
        <v>---</v>
      </c>
      <c r="AR474" s="140">
        <f t="shared" si="437"/>
        <v>999.99</v>
      </c>
      <c r="AS474" s="263">
        <f t="shared" si="466"/>
        <v>0</v>
      </c>
      <c r="AT474" s="140" t="str">
        <f>WORKSHEET_CONSTR!F413</f>
        <v>---</v>
      </c>
      <c r="AU474" s="140" t="str">
        <f>WORKSHEET_CONSTR!P477</f>
        <v>---</v>
      </c>
      <c r="AV474" s="140">
        <f t="shared" si="438"/>
        <v>999.99</v>
      </c>
      <c r="AW474" s="263">
        <f t="shared" si="467"/>
        <v>0</v>
      </c>
      <c r="AX474" s="267" t="str">
        <f>IF(INPUT!Q157&lt;&gt;0,INPUT!Q157,"---")</f>
        <v>---</v>
      </c>
      <c r="AY474" s="140" t="str">
        <f t="shared" si="468"/>
        <v>---</v>
      </c>
      <c r="AZ474" s="140">
        <f t="shared" si="439"/>
        <v>999.99</v>
      </c>
      <c r="BA474" s="263">
        <f t="shared" si="469"/>
        <v>0</v>
      </c>
      <c r="BB474" s="140" t="str">
        <f t="shared" si="440"/>
        <v>---</v>
      </c>
      <c r="BC474" s="140" t="str">
        <f>WORKSHEET_CONSTR!S413</f>
        <v>---</v>
      </c>
      <c r="BD474" s="140">
        <f t="shared" si="441"/>
        <v>999.99</v>
      </c>
      <c r="BE474" s="263">
        <f t="shared" si="470"/>
        <v>0</v>
      </c>
      <c r="BF474" s="265"/>
      <c r="BG474" s="140" t="str">
        <f t="shared" si="442"/>
        <v>---</v>
      </c>
      <c r="BH474" s="140" t="str">
        <f t="shared" si="471"/>
        <v>---</v>
      </c>
      <c r="BI474" s="140">
        <f t="shared" si="443"/>
        <v>999.99</v>
      </c>
      <c r="BJ474" s="263">
        <f t="shared" si="472"/>
        <v>0</v>
      </c>
      <c r="BK474" s="140" t="str">
        <f t="shared" si="444"/>
        <v>---</v>
      </c>
      <c r="BL474" s="140" t="str">
        <f>WORKSHEET_CONSTR!Q535</f>
        <v>---</v>
      </c>
      <c r="BM474" s="140">
        <f t="shared" si="445"/>
        <v>999.99</v>
      </c>
      <c r="BN474" s="263">
        <f t="shared" si="473"/>
        <v>0</v>
      </c>
    </row>
    <row r="475" spans="1:66">
      <c r="A475" s="438" t="str">
        <f t="shared" si="474"/>
        <v>---</v>
      </c>
      <c r="B475" s="294" t="str">
        <f t="shared" si="474"/>
        <v>---</v>
      </c>
      <c r="C475" s="294" t="str">
        <f t="shared" si="424"/>
        <v>---</v>
      </c>
      <c r="D475" s="294" t="str">
        <f t="shared" si="425"/>
        <v>---</v>
      </c>
      <c r="E475" s="294" t="str">
        <f t="shared" si="447"/>
        <v>---</v>
      </c>
      <c r="F475" s="294" t="str">
        <f t="shared" si="426"/>
        <v>---</v>
      </c>
      <c r="G475" s="291" t="str">
        <f>IF(A475="---","---",IF(Type_Reinf="g",$I$414,IF(AND(Type_Reinf="s",Type_Steel_Strip="s")=TRUE,$I$416,IF(C475&gt;=20,IF(Type_Reinf="s",$F$415,10*INPUT!$J$111/INPUT!$I$111),IF(Type_Reinf="s",MIN(1.2+LOG(Cu),2)-C475*((MIN(1.2+LOG(Cu),2)-TAN(RADIANS(PHI_reinf)))/20),20*(INPUT!$J$111/INPUT!$I$111)-10*(INPUT!$J$111/INPUT!$I$111)*C475/20)))))</f>
        <v>---</v>
      </c>
      <c r="H475" s="294" t="str">
        <f t="shared" si="427"/>
        <v>---</v>
      </c>
      <c r="I475" s="294" t="str">
        <f t="shared" si="448"/>
        <v>---</v>
      </c>
      <c r="J475" s="294" t="str">
        <f t="shared" si="428"/>
        <v>---</v>
      </c>
      <c r="K475" s="294" t="str">
        <f t="shared" si="399"/>
        <v>---</v>
      </c>
      <c r="L475" s="294" t="str">
        <f t="shared" si="449"/>
        <v>---</v>
      </c>
      <c r="M475" s="294" t="str">
        <f t="shared" si="450"/>
        <v>---</v>
      </c>
      <c r="N475" s="291" t="str">
        <f t="shared" si="451"/>
        <v>---</v>
      </c>
      <c r="O475" s="294" t="str">
        <f t="shared" si="452"/>
        <v>---</v>
      </c>
      <c r="P475" s="294" t="str">
        <f t="shared" si="453"/>
        <v>---</v>
      </c>
      <c r="Q475" s="441" t="str">
        <f t="shared" si="454"/>
        <v>---</v>
      </c>
      <c r="R475" s="291" t="str">
        <f t="shared" si="429"/>
        <v>---</v>
      </c>
      <c r="S475" s="294" t="str">
        <f t="shared" si="430"/>
        <v>---</v>
      </c>
      <c r="T475" s="294" t="str">
        <f t="shared" si="455"/>
        <v>---</v>
      </c>
      <c r="U475" s="438" t="str">
        <f t="shared" si="431"/>
        <v>---</v>
      </c>
      <c r="V475" s="476" t="str">
        <f t="shared" si="456"/>
        <v>---</v>
      </c>
      <c r="W475" s="291" t="str">
        <f t="shared" si="457"/>
        <v>---</v>
      </c>
      <c r="X475" s="484"/>
      <c r="AC475" s="17" t="str">
        <f t="shared" si="458"/>
        <v>---</v>
      </c>
      <c r="AD475" s="17" t="str">
        <f t="shared" si="459"/>
        <v>---</v>
      </c>
      <c r="AE475" s="471">
        <f t="shared" si="460"/>
        <v>0</v>
      </c>
      <c r="AF475" s="471">
        <f t="shared" si="461"/>
        <v>0</v>
      </c>
      <c r="AG475" s="140" t="str">
        <f t="shared" si="462"/>
        <v>---</v>
      </c>
      <c r="AH475" s="140" t="str">
        <f t="shared" si="432"/>
        <v>---</v>
      </c>
      <c r="AI475" s="140">
        <f t="shared" si="433"/>
        <v>999.99</v>
      </c>
      <c r="AJ475" s="263">
        <f t="shared" si="463"/>
        <v>0</v>
      </c>
      <c r="AK475" s="173" t="str">
        <f>WORKSHEET_CONSTR!F414</f>
        <v>---</v>
      </c>
      <c r="AL475" s="141" t="str">
        <f>IF(WORKSHEET_CONSTR!P414="---","---",WORKSHEET_CONSTR!M414)</f>
        <v>---</v>
      </c>
      <c r="AM475" s="140">
        <f t="shared" si="434"/>
        <v>999.99</v>
      </c>
      <c r="AN475" s="263">
        <f t="shared" si="464"/>
        <v>0</v>
      </c>
      <c r="AO475" s="265"/>
      <c r="AP475" s="140" t="str">
        <f t="shared" si="436"/>
        <v>---</v>
      </c>
      <c r="AQ475" s="140" t="str">
        <f t="shared" si="465"/>
        <v>---</v>
      </c>
      <c r="AR475" s="140">
        <f t="shared" si="437"/>
        <v>999.99</v>
      </c>
      <c r="AS475" s="263">
        <f t="shared" si="466"/>
        <v>0</v>
      </c>
      <c r="AT475" s="140" t="str">
        <f>WORKSHEET_CONSTR!F414</f>
        <v>---</v>
      </c>
      <c r="AU475" s="140" t="str">
        <f>WORKSHEET_CONSTR!P478</f>
        <v>---</v>
      </c>
      <c r="AV475" s="140">
        <f t="shared" si="438"/>
        <v>999.99</v>
      </c>
      <c r="AW475" s="263">
        <f t="shared" si="467"/>
        <v>0</v>
      </c>
      <c r="AX475" s="267" t="str">
        <f>IF(INPUT!Q158&lt;&gt;0,INPUT!Q158,"---")</f>
        <v>---</v>
      </c>
      <c r="AY475" s="140" t="str">
        <f t="shared" si="468"/>
        <v>---</v>
      </c>
      <c r="AZ475" s="140">
        <f t="shared" si="439"/>
        <v>999.99</v>
      </c>
      <c r="BA475" s="263">
        <f t="shared" si="469"/>
        <v>0</v>
      </c>
      <c r="BB475" s="140" t="str">
        <f t="shared" si="440"/>
        <v>---</v>
      </c>
      <c r="BC475" s="140" t="str">
        <f>WORKSHEET_CONSTR!S414</f>
        <v>---</v>
      </c>
      <c r="BD475" s="140">
        <f t="shared" si="441"/>
        <v>999.99</v>
      </c>
      <c r="BE475" s="263">
        <f t="shared" si="470"/>
        <v>0</v>
      </c>
      <c r="BF475" s="265"/>
      <c r="BG475" s="140" t="str">
        <f t="shared" si="442"/>
        <v>---</v>
      </c>
      <c r="BH475" s="140" t="str">
        <f t="shared" si="471"/>
        <v>---</v>
      </c>
      <c r="BI475" s="140">
        <f t="shared" si="443"/>
        <v>999.99</v>
      </c>
      <c r="BJ475" s="263">
        <f t="shared" si="472"/>
        <v>0</v>
      </c>
      <c r="BK475" s="140" t="str">
        <f t="shared" si="444"/>
        <v>---</v>
      </c>
      <c r="BL475" s="140" t="str">
        <f>WORKSHEET_CONSTR!Q536</f>
        <v>---</v>
      </c>
      <c r="BM475" s="140">
        <f t="shared" si="445"/>
        <v>999.99</v>
      </c>
      <c r="BN475" s="263">
        <f t="shared" si="473"/>
        <v>0</v>
      </c>
    </row>
    <row r="476" spans="1:66">
      <c r="A476" s="438" t="str">
        <f t="shared" si="474"/>
        <v>---</v>
      </c>
      <c r="B476" s="294" t="str">
        <f t="shared" si="474"/>
        <v>---</v>
      </c>
      <c r="C476" s="294" t="str">
        <f t="shared" si="424"/>
        <v>---</v>
      </c>
      <c r="D476" s="294" t="str">
        <f t="shared" si="425"/>
        <v>---</v>
      </c>
      <c r="E476" s="294" t="str">
        <f t="shared" si="447"/>
        <v>---</v>
      </c>
      <c r="F476" s="294" t="str">
        <f t="shared" si="426"/>
        <v>---</v>
      </c>
      <c r="G476" s="291" t="str">
        <f>IF(A476="---","---",IF(Type_Reinf="g",$I$414,IF(AND(Type_Reinf="s",Type_Steel_Strip="s")=TRUE,$I$416,IF(C476&gt;=20,IF(Type_Reinf="s",$F$415,10*INPUT!$J$111/INPUT!$I$111),IF(Type_Reinf="s",MIN(1.2+LOG(Cu),2)-C476*((MIN(1.2+LOG(Cu),2)-TAN(RADIANS(PHI_reinf)))/20),20*(INPUT!$J$111/INPUT!$I$111)-10*(INPUT!$J$111/INPUT!$I$111)*C476/20)))))</f>
        <v>---</v>
      </c>
      <c r="H476" s="294" t="str">
        <f t="shared" si="427"/>
        <v>---</v>
      </c>
      <c r="I476" s="294" t="str">
        <f t="shared" si="448"/>
        <v>---</v>
      </c>
      <c r="J476" s="294" t="str">
        <f t="shared" si="428"/>
        <v>---</v>
      </c>
      <c r="K476" s="294" t="str">
        <f t="shared" si="399"/>
        <v>---</v>
      </c>
      <c r="L476" s="294" t="str">
        <f t="shared" si="449"/>
        <v>---</v>
      </c>
      <c r="M476" s="294" t="str">
        <f t="shared" si="450"/>
        <v>---</v>
      </c>
      <c r="N476" s="291" t="str">
        <f t="shared" si="451"/>
        <v>---</v>
      </c>
      <c r="O476" s="294" t="str">
        <f t="shared" si="452"/>
        <v>---</v>
      </c>
      <c r="P476" s="294" t="str">
        <f t="shared" si="453"/>
        <v>---</v>
      </c>
      <c r="Q476" s="441" t="str">
        <f t="shared" si="454"/>
        <v>---</v>
      </c>
      <c r="R476" s="291" t="str">
        <f t="shared" si="429"/>
        <v>---</v>
      </c>
      <c r="S476" s="294" t="str">
        <f t="shared" si="430"/>
        <v>---</v>
      </c>
      <c r="T476" s="294" t="str">
        <f t="shared" si="455"/>
        <v>---</v>
      </c>
      <c r="U476" s="438" t="str">
        <f t="shared" si="431"/>
        <v>---</v>
      </c>
      <c r="V476" s="476" t="str">
        <f t="shared" si="456"/>
        <v>---</v>
      </c>
      <c r="W476" s="291" t="str">
        <f t="shared" si="457"/>
        <v>---</v>
      </c>
      <c r="X476" s="484"/>
      <c r="AC476" s="17" t="str">
        <f t="shared" si="458"/>
        <v>---</v>
      </c>
      <c r="AD476" s="17" t="str">
        <f t="shared" si="459"/>
        <v>---</v>
      </c>
      <c r="AE476" s="471">
        <f t="shared" si="460"/>
        <v>0</v>
      </c>
      <c r="AF476" s="471">
        <f t="shared" si="461"/>
        <v>0</v>
      </c>
      <c r="AG476" s="140" t="str">
        <f t="shared" si="462"/>
        <v>---</v>
      </c>
      <c r="AH476" s="140" t="str">
        <f t="shared" si="432"/>
        <v>---</v>
      </c>
      <c r="AI476" s="140">
        <f t="shared" si="433"/>
        <v>999.99</v>
      </c>
      <c r="AJ476" s="263">
        <f t="shared" si="463"/>
        <v>0</v>
      </c>
      <c r="AK476" s="173" t="str">
        <f>WORKSHEET_CONSTR!F415</f>
        <v>---</v>
      </c>
      <c r="AL476" s="141" t="str">
        <f>IF(WORKSHEET_CONSTR!P415="---","---",WORKSHEET_CONSTR!M415)</f>
        <v>---</v>
      </c>
      <c r="AM476" s="140">
        <f t="shared" si="434"/>
        <v>999.99</v>
      </c>
      <c r="AN476" s="263">
        <f t="shared" si="464"/>
        <v>0</v>
      </c>
      <c r="AO476" s="265"/>
      <c r="AP476" s="140" t="str">
        <f t="shared" si="436"/>
        <v>---</v>
      </c>
      <c r="AQ476" s="140" t="str">
        <f t="shared" si="465"/>
        <v>---</v>
      </c>
      <c r="AR476" s="140">
        <f t="shared" si="437"/>
        <v>999.99</v>
      </c>
      <c r="AS476" s="263">
        <f t="shared" si="466"/>
        <v>0</v>
      </c>
      <c r="AT476" s="140" t="str">
        <f>WORKSHEET_CONSTR!F415</f>
        <v>---</v>
      </c>
      <c r="AU476" s="140" t="str">
        <f>WORKSHEET_CONSTR!P479</f>
        <v>---</v>
      </c>
      <c r="AV476" s="140">
        <f t="shared" si="438"/>
        <v>999.99</v>
      </c>
      <c r="AW476" s="263">
        <f t="shared" si="467"/>
        <v>0</v>
      </c>
      <c r="AX476" s="267" t="str">
        <f>IF(INPUT!Q159&lt;&gt;0,INPUT!Q159,"---")</f>
        <v>---</v>
      </c>
      <c r="AY476" s="140" t="str">
        <f t="shared" si="468"/>
        <v>---</v>
      </c>
      <c r="AZ476" s="140">
        <f t="shared" si="439"/>
        <v>999.99</v>
      </c>
      <c r="BA476" s="263">
        <f t="shared" si="469"/>
        <v>0</v>
      </c>
      <c r="BB476" s="140" t="str">
        <f t="shared" si="440"/>
        <v>---</v>
      </c>
      <c r="BC476" s="140" t="str">
        <f>WORKSHEET_CONSTR!S415</f>
        <v>---</v>
      </c>
      <c r="BD476" s="140">
        <f t="shared" si="441"/>
        <v>999.99</v>
      </c>
      <c r="BE476" s="263">
        <f t="shared" si="470"/>
        <v>0</v>
      </c>
      <c r="BF476" s="265"/>
      <c r="BG476" s="140" t="str">
        <f t="shared" si="442"/>
        <v>---</v>
      </c>
      <c r="BH476" s="140" t="str">
        <f t="shared" si="471"/>
        <v>---</v>
      </c>
      <c r="BI476" s="140">
        <f t="shared" si="443"/>
        <v>999.99</v>
      </c>
      <c r="BJ476" s="263">
        <f t="shared" si="472"/>
        <v>0</v>
      </c>
      <c r="BK476" s="140" t="str">
        <f t="shared" si="444"/>
        <v>---</v>
      </c>
      <c r="BL476" s="140" t="str">
        <f>WORKSHEET_CONSTR!Q537</f>
        <v>---</v>
      </c>
      <c r="BM476" s="140">
        <f t="shared" si="445"/>
        <v>999.99</v>
      </c>
      <c r="BN476" s="263">
        <f t="shared" si="473"/>
        <v>0</v>
      </c>
    </row>
    <row r="477" spans="1:66">
      <c r="A477" s="438" t="str">
        <f t="shared" si="474"/>
        <v>---</v>
      </c>
      <c r="B477" s="294" t="str">
        <f t="shared" si="474"/>
        <v>---</v>
      </c>
      <c r="C477" s="294" t="str">
        <f t="shared" si="424"/>
        <v>---</v>
      </c>
      <c r="D477" s="294" t="str">
        <f t="shared" si="425"/>
        <v>---</v>
      </c>
      <c r="E477" s="294" t="str">
        <f t="shared" si="447"/>
        <v>---</v>
      </c>
      <c r="F477" s="294" t="str">
        <f t="shared" si="426"/>
        <v>---</v>
      </c>
      <c r="G477" s="291" t="str">
        <f>IF(A477="---","---",IF(Type_Reinf="g",$I$414,IF(AND(Type_Reinf="s",Type_Steel_Strip="s")=TRUE,$I$416,IF(C477&gt;=20,IF(Type_Reinf="s",$F$415,10*INPUT!$J$111/INPUT!$I$111),IF(Type_Reinf="s",MIN(1.2+LOG(Cu),2)-C477*((MIN(1.2+LOG(Cu),2)-TAN(RADIANS(PHI_reinf)))/20),20*(INPUT!$J$111/INPUT!$I$111)-10*(INPUT!$J$111/INPUT!$I$111)*C477/20)))))</f>
        <v>---</v>
      </c>
      <c r="H477" s="294" t="str">
        <f t="shared" si="427"/>
        <v>---</v>
      </c>
      <c r="I477" s="294" t="str">
        <f t="shared" si="448"/>
        <v>---</v>
      </c>
      <c r="J477" s="294" t="str">
        <f t="shared" si="428"/>
        <v>---</v>
      </c>
      <c r="K477" s="294" t="str">
        <f t="shared" si="399"/>
        <v>---</v>
      </c>
      <c r="L477" s="294" t="str">
        <f t="shared" si="449"/>
        <v>---</v>
      </c>
      <c r="M477" s="294" t="str">
        <f t="shared" si="450"/>
        <v>---</v>
      </c>
      <c r="N477" s="291" t="str">
        <f t="shared" si="451"/>
        <v>---</v>
      </c>
      <c r="O477" s="294" t="str">
        <f t="shared" si="452"/>
        <v>---</v>
      </c>
      <c r="P477" s="294" t="str">
        <f t="shared" si="453"/>
        <v>---</v>
      </c>
      <c r="Q477" s="441" t="str">
        <f t="shared" si="454"/>
        <v>---</v>
      </c>
      <c r="R477" s="291" t="str">
        <f t="shared" si="429"/>
        <v>---</v>
      </c>
      <c r="S477" s="294" t="str">
        <f t="shared" si="430"/>
        <v>---</v>
      </c>
      <c r="T477" s="294" t="str">
        <f t="shared" si="455"/>
        <v>---</v>
      </c>
      <c r="U477" s="438" t="str">
        <f t="shared" si="431"/>
        <v>---</v>
      </c>
      <c r="V477" s="476" t="str">
        <f t="shared" si="456"/>
        <v>---</v>
      </c>
      <c r="W477" s="291" t="str">
        <f t="shared" si="457"/>
        <v>---</v>
      </c>
      <c r="X477" s="484"/>
      <c r="AC477" s="17" t="str">
        <f t="shared" si="458"/>
        <v>---</v>
      </c>
      <c r="AD477" s="17" t="str">
        <f t="shared" si="459"/>
        <v>---</v>
      </c>
      <c r="AE477" s="471">
        <f t="shared" si="460"/>
        <v>0</v>
      </c>
      <c r="AF477" s="471">
        <f t="shared" si="461"/>
        <v>0</v>
      </c>
      <c r="AG477" s="140" t="str">
        <f t="shared" si="462"/>
        <v>---</v>
      </c>
      <c r="AH477" s="140" t="str">
        <f t="shared" si="432"/>
        <v>---</v>
      </c>
      <c r="AI477" s="140">
        <f t="shared" si="433"/>
        <v>999.99</v>
      </c>
      <c r="AJ477" s="263">
        <f t="shared" si="463"/>
        <v>0</v>
      </c>
      <c r="AK477" s="173" t="str">
        <f>WORKSHEET_CONSTR!F416</f>
        <v>---</v>
      </c>
      <c r="AL477" s="141" t="str">
        <f>IF(WORKSHEET_CONSTR!P416="---","---",WORKSHEET_CONSTR!M416)</f>
        <v>---</v>
      </c>
      <c r="AM477" s="140">
        <f t="shared" si="434"/>
        <v>999.99</v>
      </c>
      <c r="AN477" s="263">
        <f t="shared" si="464"/>
        <v>0</v>
      </c>
      <c r="AO477" s="265"/>
      <c r="AP477" s="140" t="str">
        <f t="shared" si="436"/>
        <v>---</v>
      </c>
      <c r="AQ477" s="140" t="str">
        <f t="shared" si="465"/>
        <v>---</v>
      </c>
      <c r="AR477" s="140">
        <f t="shared" si="437"/>
        <v>999.99</v>
      </c>
      <c r="AS477" s="263">
        <f t="shared" si="466"/>
        <v>0</v>
      </c>
      <c r="AT477" s="140" t="str">
        <f>WORKSHEET_CONSTR!F416</f>
        <v>---</v>
      </c>
      <c r="AU477" s="140" t="str">
        <f>WORKSHEET_CONSTR!P480</f>
        <v>---</v>
      </c>
      <c r="AV477" s="140">
        <f t="shared" si="438"/>
        <v>999.99</v>
      </c>
      <c r="AW477" s="263">
        <f t="shared" si="467"/>
        <v>0</v>
      </c>
      <c r="AX477" s="267" t="str">
        <f>IF(INPUT!Q160&lt;&gt;0,INPUT!Q160,"---")</f>
        <v>---</v>
      </c>
      <c r="AY477" s="140" t="str">
        <f t="shared" si="468"/>
        <v>---</v>
      </c>
      <c r="AZ477" s="140">
        <f t="shared" si="439"/>
        <v>999.99</v>
      </c>
      <c r="BA477" s="263">
        <f t="shared" si="469"/>
        <v>0</v>
      </c>
      <c r="BB477" s="140" t="str">
        <f t="shared" si="440"/>
        <v>---</v>
      </c>
      <c r="BC477" s="140" t="str">
        <f>WORKSHEET_CONSTR!S416</f>
        <v>---</v>
      </c>
      <c r="BD477" s="140">
        <f t="shared" si="441"/>
        <v>999.99</v>
      </c>
      <c r="BE477" s="263">
        <f t="shared" si="470"/>
        <v>0</v>
      </c>
      <c r="BF477" s="265"/>
      <c r="BG477" s="140" t="str">
        <f t="shared" si="442"/>
        <v>---</v>
      </c>
      <c r="BH477" s="140" t="str">
        <f t="shared" si="471"/>
        <v>---</v>
      </c>
      <c r="BI477" s="140">
        <f t="shared" si="443"/>
        <v>999.99</v>
      </c>
      <c r="BJ477" s="263">
        <f t="shared" si="472"/>
        <v>0</v>
      </c>
      <c r="BK477" s="140" t="str">
        <f t="shared" si="444"/>
        <v>---</v>
      </c>
      <c r="BL477" s="140" t="str">
        <f>WORKSHEET_CONSTR!Q538</f>
        <v>---</v>
      </c>
      <c r="BM477" s="140">
        <f t="shared" si="445"/>
        <v>999.99</v>
      </c>
      <c r="BN477" s="263">
        <f t="shared" si="473"/>
        <v>0</v>
      </c>
    </row>
    <row r="478" spans="1:66">
      <c r="H478" s="9"/>
      <c r="L478" s="9"/>
      <c r="AV478" s="9"/>
    </row>
    <row r="479" spans="1:66">
      <c r="J479" s="9"/>
    </row>
    <row r="480" spans="1:66">
      <c r="A480" s="8" t="s">
        <v>611</v>
      </c>
      <c r="E480" s="37" t="s">
        <v>612</v>
      </c>
      <c r="J480" s="9"/>
    </row>
    <row r="481" spans="1:86">
      <c r="A481" s="8"/>
    </row>
    <row r="482" spans="1:86" s="37" customFormat="1" ht="15.75">
      <c r="B482" s="37" t="s">
        <v>482</v>
      </c>
      <c r="C482" s="441">
        <f>Am</f>
        <v>6.9999999999999993E-2</v>
      </c>
    </row>
    <row r="483" spans="1:86" s="37" customFormat="1" ht="15.75">
      <c r="B483" s="37" t="s">
        <v>483</v>
      </c>
      <c r="C483" s="291">
        <f>Wa</f>
        <v>3.4430521499999998</v>
      </c>
      <c r="D483" s="37" t="s">
        <v>155</v>
      </c>
    </row>
    <row r="484" spans="1:86" ht="15.75">
      <c r="B484" s="51" t="s">
        <v>380</v>
      </c>
      <c r="C484" s="294">
        <f>I77</f>
        <v>1</v>
      </c>
    </row>
    <row r="485" spans="1:86" ht="15.75">
      <c r="B485" s="12" t="s">
        <v>484</v>
      </c>
      <c r="C485" s="294">
        <f>P_inertial</f>
        <v>0.24101365049999995</v>
      </c>
      <c r="D485" t="s">
        <v>155</v>
      </c>
    </row>
    <row r="486" spans="1:86" ht="15.75">
      <c r="B486" s="51" t="s">
        <v>485</v>
      </c>
      <c r="C486" s="442">
        <f>SUM(F428:F477)</f>
        <v>103.58099999999999</v>
      </c>
      <c r="D486" t="s">
        <v>56</v>
      </c>
    </row>
    <row r="487" spans="1:86">
      <c r="H487" s="2"/>
      <c r="N487" s="9"/>
    </row>
    <row r="488" spans="1:86" ht="12.75" customHeight="1">
      <c r="B488" s="196"/>
      <c r="C488" s="227" t="s">
        <v>506</v>
      </c>
      <c r="D488" s="196"/>
      <c r="F488" s="187"/>
      <c r="G488" s="10"/>
      <c r="K488" s="195" t="s">
        <v>681</v>
      </c>
      <c r="N488" s="9"/>
      <c r="O488" s="9"/>
      <c r="P488" s="301"/>
      <c r="Q488" s="301"/>
      <c r="R488" s="301"/>
      <c r="S488" s="37"/>
      <c r="AE488" s="10" t="s">
        <v>678</v>
      </c>
      <c r="AH488" s="37" t="s">
        <v>683</v>
      </c>
      <c r="AM488" s="195" t="s">
        <v>686</v>
      </c>
      <c r="BC488" s="195" t="s">
        <v>680</v>
      </c>
      <c r="BS488" s="195" t="s">
        <v>684</v>
      </c>
    </row>
    <row r="489" spans="1:86" ht="15.75" customHeight="1">
      <c r="C489" s="42"/>
      <c r="D489" s="43"/>
      <c r="F489" s="129"/>
      <c r="G489" s="186"/>
      <c r="H489" s="186"/>
      <c r="I489" s="618" t="s">
        <v>486</v>
      </c>
      <c r="J489" s="619"/>
      <c r="K489" s="42"/>
      <c r="L489" s="2"/>
      <c r="M489" s="2"/>
      <c r="N489" s="87" t="s">
        <v>534</v>
      </c>
      <c r="O489" s="197"/>
      <c r="P489" s="301"/>
      <c r="Q489" s="301"/>
      <c r="R489" s="301"/>
      <c r="AM489" s="56" t="s">
        <v>658</v>
      </c>
      <c r="AU489" s="37" t="s">
        <v>685</v>
      </c>
      <c r="BC489" s="56" t="s">
        <v>688</v>
      </c>
      <c r="BK489" s="37" t="s">
        <v>687</v>
      </c>
      <c r="BS489" s="56" t="s">
        <v>658</v>
      </c>
      <c r="CA489" s="37" t="s">
        <v>685</v>
      </c>
    </row>
    <row r="490" spans="1:86" ht="15.75">
      <c r="A490" s="192" t="s">
        <v>34</v>
      </c>
      <c r="B490" s="192" t="s">
        <v>35</v>
      </c>
      <c r="C490" s="61" t="s">
        <v>39</v>
      </c>
      <c r="D490" s="52" t="s">
        <v>491</v>
      </c>
      <c r="E490" s="2" t="s">
        <v>54</v>
      </c>
      <c r="F490" s="2" t="s">
        <v>40</v>
      </c>
      <c r="G490" s="52" t="s">
        <v>298</v>
      </c>
      <c r="H490" s="200" t="s">
        <v>30</v>
      </c>
      <c r="I490" s="2" t="s">
        <v>63</v>
      </c>
      <c r="J490" s="179" t="s">
        <v>65</v>
      </c>
      <c r="K490" s="183" t="s">
        <v>491</v>
      </c>
      <c r="L490" s="2" t="s">
        <v>54</v>
      </c>
      <c r="M490" s="2" t="s">
        <v>40</v>
      </c>
      <c r="N490" s="148" t="s">
        <v>513</v>
      </c>
      <c r="O490" s="205" t="s">
        <v>30</v>
      </c>
      <c r="P490" s="301"/>
      <c r="Q490" s="301"/>
      <c r="R490" s="301"/>
      <c r="AE490" s="37" t="s">
        <v>612</v>
      </c>
      <c r="AI490" s="37" t="s">
        <v>679</v>
      </c>
      <c r="AM490" s="56" t="s">
        <v>612</v>
      </c>
      <c r="AQ490" s="37" t="s">
        <v>679</v>
      </c>
      <c r="AU490" s="37" t="s">
        <v>612</v>
      </c>
      <c r="AY490" s="37" t="s">
        <v>679</v>
      </c>
      <c r="BC490" s="56" t="s">
        <v>612</v>
      </c>
      <c r="BG490" s="37" t="s">
        <v>644</v>
      </c>
      <c r="BK490" s="268" t="s">
        <v>612</v>
      </c>
      <c r="BO490" s="37" t="s">
        <v>644</v>
      </c>
      <c r="BS490" s="56" t="s">
        <v>612</v>
      </c>
      <c r="BW490" s="37" t="s">
        <v>644</v>
      </c>
      <c r="CA490" s="268" t="s">
        <v>612</v>
      </c>
      <c r="CE490" s="37" t="s">
        <v>644</v>
      </c>
    </row>
    <row r="491" spans="1:86" ht="15.75">
      <c r="A491" s="191" t="s">
        <v>352</v>
      </c>
      <c r="B491" s="192" t="s">
        <v>42</v>
      </c>
      <c r="C491" s="206" t="s">
        <v>154</v>
      </c>
      <c r="D491" s="190" t="s">
        <v>41</v>
      </c>
      <c r="E491" s="179" t="s">
        <v>154</v>
      </c>
      <c r="F491" s="179" t="s">
        <v>154</v>
      </c>
      <c r="G491" s="63" t="s">
        <v>154</v>
      </c>
      <c r="H491" s="52" t="s">
        <v>298</v>
      </c>
      <c r="I491" s="179" t="s">
        <v>541</v>
      </c>
      <c r="J491" s="197" t="s">
        <v>542</v>
      </c>
      <c r="K491" s="194" t="s">
        <v>41</v>
      </c>
      <c r="L491" s="179" t="s">
        <v>154</v>
      </c>
      <c r="M491" s="179" t="s">
        <v>154</v>
      </c>
      <c r="N491" s="20" t="s">
        <v>42</v>
      </c>
      <c r="O491" s="205" t="s">
        <v>358</v>
      </c>
      <c r="P491" s="301"/>
      <c r="Q491" s="301"/>
      <c r="R491" s="301"/>
      <c r="AE491" s="253" t="s">
        <v>298</v>
      </c>
      <c r="AF491" s="2" t="s">
        <v>80</v>
      </c>
      <c r="AG491" s="20" t="s">
        <v>78</v>
      </c>
      <c r="AH491" s="2" t="s">
        <v>79</v>
      </c>
      <c r="AI491" s="253" t="s">
        <v>298</v>
      </c>
      <c r="AJ491" s="251" t="s">
        <v>80</v>
      </c>
      <c r="AK491" s="247" t="s">
        <v>78</v>
      </c>
      <c r="AL491" s="251" t="s">
        <v>79</v>
      </c>
      <c r="AM491" s="255" t="s">
        <v>657</v>
      </c>
      <c r="AN491" s="247" t="s">
        <v>36</v>
      </c>
      <c r="AO491" s="247" t="s">
        <v>78</v>
      </c>
      <c r="AP491" s="251" t="s">
        <v>79</v>
      </c>
      <c r="AQ491" s="247" t="s">
        <v>657</v>
      </c>
      <c r="AR491" s="247" t="s">
        <v>36</v>
      </c>
      <c r="AS491" s="247" t="s">
        <v>78</v>
      </c>
      <c r="AT491" s="251" t="s">
        <v>79</v>
      </c>
      <c r="AU491" s="247" t="s">
        <v>660</v>
      </c>
      <c r="AV491" s="247" t="s">
        <v>81</v>
      </c>
      <c r="AW491" s="247" t="s">
        <v>78</v>
      </c>
      <c r="AX491" s="251" t="s">
        <v>79</v>
      </c>
      <c r="AY491" s="247" t="s">
        <v>660</v>
      </c>
      <c r="AZ491" s="247" t="s">
        <v>81</v>
      </c>
      <c r="BA491" s="247" t="s">
        <v>78</v>
      </c>
      <c r="BB491" s="251" t="s">
        <v>79</v>
      </c>
      <c r="BC491" s="255" t="s">
        <v>82</v>
      </c>
      <c r="BD491" s="2" t="s">
        <v>80</v>
      </c>
      <c r="BE491" s="2" t="s">
        <v>78</v>
      </c>
      <c r="BF491" s="2" t="s">
        <v>79</v>
      </c>
      <c r="BG491" s="247" t="s">
        <v>82</v>
      </c>
      <c r="BH491" s="251" t="s">
        <v>80</v>
      </c>
      <c r="BI491" s="251" t="s">
        <v>78</v>
      </c>
      <c r="BJ491" s="251" t="s">
        <v>79</v>
      </c>
      <c r="BK491" s="253" t="s">
        <v>297</v>
      </c>
      <c r="BL491" s="251" t="s">
        <v>80</v>
      </c>
      <c r="BM491" s="251" t="s">
        <v>78</v>
      </c>
      <c r="BN491" s="251" t="s">
        <v>79</v>
      </c>
      <c r="BO491" s="253" t="s">
        <v>297</v>
      </c>
      <c r="BP491" s="251" t="s">
        <v>80</v>
      </c>
      <c r="BQ491" s="251" t="s">
        <v>78</v>
      </c>
      <c r="BR491" s="251" t="s">
        <v>79</v>
      </c>
      <c r="BS491" s="19" t="s">
        <v>74</v>
      </c>
      <c r="BT491" s="249" t="s">
        <v>36</v>
      </c>
      <c r="BU491" s="20" t="s">
        <v>78</v>
      </c>
      <c r="BV491" s="2" t="s">
        <v>79</v>
      </c>
      <c r="BW491" s="19" t="s">
        <v>74</v>
      </c>
      <c r="BX491" s="249" t="s">
        <v>36</v>
      </c>
      <c r="BY491" s="247" t="s">
        <v>78</v>
      </c>
      <c r="BZ491" s="251" t="s">
        <v>79</v>
      </c>
      <c r="CA491" s="19" t="s">
        <v>75</v>
      </c>
      <c r="CB491" s="83" t="s">
        <v>81</v>
      </c>
      <c r="CC491" s="83" t="s">
        <v>78</v>
      </c>
      <c r="CD491" s="20" t="s">
        <v>79</v>
      </c>
      <c r="CE491" s="19" t="s">
        <v>75</v>
      </c>
      <c r="CF491" s="83" t="s">
        <v>81</v>
      </c>
      <c r="CG491" s="83" t="s">
        <v>78</v>
      </c>
      <c r="CH491" s="247" t="s">
        <v>79</v>
      </c>
    </row>
    <row r="492" spans="1:86">
      <c r="A492" s="438">
        <f t="shared" ref="A492:B511" si="475">A298</f>
        <v>1</v>
      </c>
      <c r="B492" s="294">
        <f t="shared" si="475"/>
        <v>1.5</v>
      </c>
      <c r="C492" s="296">
        <f t="shared" ref="C492:C523" si="476">IF(A298="---","---",$C$484*$C$485*F428/$C$486)</f>
        <v>3.7715317104049004E-2</v>
      </c>
      <c r="D492" s="294">
        <f>IF(A492="---","---",gamma_P*(V298*G298+W298))</f>
        <v>0.46428514729866244</v>
      </c>
      <c r="E492" s="294">
        <f t="shared" ref="E492:E523" si="477">IF(A298="---","---",D492*C298)</f>
        <v>1.2767841550713217</v>
      </c>
      <c r="F492" s="294">
        <f t="shared" ref="F492:F523" si="478">IF(A298="---","---",E492+C492)</f>
        <v>1.3144994721753707</v>
      </c>
      <c r="G492" s="294">
        <f t="shared" ref="G492:G523" si="479">IF(A298="---","---",phi_Tensile_Combined*I236*IF(Type_Reinf="g",L236,J236))</f>
        <v>2.0332258064516133</v>
      </c>
      <c r="H492" s="291" t="str">
        <f t="shared" ref="H492:H523" si="480">IF(A298="---","---",IF(G492&gt;=F492,"OK","NG!"))</f>
        <v>OK</v>
      </c>
      <c r="I492" s="441" t="str">
        <f t="shared" ref="I492:I523" si="481">IF(A298="---","---",IF(Type_Reinf="g",IF(T236&gt;=E492,"OK","NG!"),"---"))</f>
        <v>---</v>
      </c>
      <c r="J492" s="441" t="str">
        <f t="shared" ref="J492:J523" si="482">IF(A298="---","---",IF(Type_Reinf="g",IF(U236&gt;=C492,"OK","NG!"),"---"))</f>
        <v>---</v>
      </c>
      <c r="K492" s="294">
        <f>IF(A492="---","---",gamma_P*(V298*H428+W298))</f>
        <v>0.46428514729866244</v>
      </c>
      <c r="L492" s="294">
        <f t="shared" ref="L492:L523" si="483">IF(A492="---","---",K492*C298)</f>
        <v>1.2767841550713217</v>
      </c>
      <c r="M492" s="291">
        <f>IF(A492="---","---",C492+L492)</f>
        <v>1.3144994721753707</v>
      </c>
      <c r="N492" s="294">
        <f t="shared" ref="N492:N523" si="484">IF(A428="---","---",MAX(3,M492/(phi_Pullout_Combined*0.8*G428*alpha*N428*C_surf_geo*I236)))</f>
        <v>11.361952737828876</v>
      </c>
      <c r="O492" s="441" t="str">
        <f t="shared" ref="O492:O523" si="485">IF(A428="---","---",IF(N492&gt;F428,"NG!","OK"))</f>
        <v>OK</v>
      </c>
      <c r="AE492" s="140">
        <f t="shared" ref="AE492:AE523" si="486">G492</f>
        <v>2.0332258064516133</v>
      </c>
      <c r="AF492" s="140">
        <f t="shared" ref="AF492:AF523" si="487">F492</f>
        <v>1.3144994721753707</v>
      </c>
      <c r="AG492" s="140">
        <f>IF(AE492="---",999.99,AE492/AF492)</f>
        <v>1.5467680660889269</v>
      </c>
      <c r="AH492" s="263">
        <f t="shared" ref="AH492:AH523" si="488">IF(AG492=MIN($AG$492:$AG$541,$AK$492:$AK$541),1,0)</f>
        <v>0</v>
      </c>
      <c r="AI492" s="140">
        <f>WORKSHEET_CONSTR!G431</f>
        <v>2.0332258064516133</v>
      </c>
      <c r="AJ492" s="140">
        <f>WORKSHEET_CONSTR!F431</f>
        <v>0.76269385413042634</v>
      </c>
      <c r="AK492" s="140">
        <f>IF(AI492="---",999.99,AI492/AJ492)</f>
        <v>2.6658478961650536</v>
      </c>
      <c r="AL492" s="263">
        <f t="shared" ref="AL492:AL523" si="489">IF(AK492=MIN($AG$492:$AG$541,$AK$492:$AK$541),1,0)</f>
        <v>0</v>
      </c>
      <c r="AM492" s="267" t="str">
        <f t="shared" ref="AM492:AM523" si="490">T236</f>
        <v>---</v>
      </c>
      <c r="AN492" s="140">
        <f t="shared" ref="AN492:AN523" si="491">E492</f>
        <v>1.2767841550713217</v>
      </c>
      <c r="AO492" s="140">
        <f>IF(AM492="---",999.99,AM492/AN492)</f>
        <v>999.99</v>
      </c>
      <c r="AP492" s="263">
        <f t="shared" ref="AP492:AP523" si="492">IF(AO492=MIN($AO$492:$AO$541,$AS$492:$AS$541),1,0)</f>
        <v>1</v>
      </c>
      <c r="AQ492" s="140" t="str">
        <f>WORKSHEET_CONSTR!Q178</f>
        <v>---</v>
      </c>
      <c r="AR492" s="140">
        <f>WORKSHEET_CONSTR!E431</f>
        <v>0.72497853702637738</v>
      </c>
      <c r="AS492" s="140">
        <f>IF(AQ492="---",999.99,AQ492/AR492)</f>
        <v>999.99</v>
      </c>
      <c r="AT492" s="263">
        <f t="shared" ref="AT492:AT523" si="493">IF(AS492=MIN($AO$492:$AO$541,$AS$492:$AS$541),1,0)</f>
        <v>1</v>
      </c>
      <c r="AU492" s="140" t="str">
        <f t="shared" ref="AU492:AU523" si="494">U236</f>
        <v>---</v>
      </c>
      <c r="AV492" s="140">
        <f t="shared" ref="AV492:AV523" si="495">C492</f>
        <v>3.7715317104049004E-2</v>
      </c>
      <c r="AW492" s="140">
        <f>IF(AU492="---",999.99,AU492/AV492)</f>
        <v>999.99</v>
      </c>
      <c r="AX492" s="263">
        <f t="shared" ref="AX492:AX523" si="496">IF(AW492=MIN($AW$492:$AW$541,$BA$492:$BA$541),1,0)</f>
        <v>1</v>
      </c>
      <c r="AY492" s="140" t="str">
        <f>WORKSHEET_CONSTR!R178</f>
        <v>---</v>
      </c>
      <c r="AZ492" s="140">
        <f>WORKSHEET_CONSTR!C431</f>
        <v>3.7715317104049004E-2</v>
      </c>
      <c r="BA492" s="140">
        <f>IF(AY492="---",999.99,AY492/AZ492)</f>
        <v>999.99</v>
      </c>
      <c r="BB492" s="263">
        <f t="shared" ref="BB492:BB523" si="497">IF(BA492=MIN($AW$492:$AW$541,$BA$492:$BA$541),1,0)</f>
        <v>1</v>
      </c>
      <c r="BC492" s="267">
        <f t="shared" ref="BC492:BC523" si="498">D550</f>
        <v>6</v>
      </c>
      <c r="BD492" s="140">
        <f t="shared" ref="BD492:BD523" si="499">C550</f>
        <v>1.3144994721753707</v>
      </c>
      <c r="BE492" s="140">
        <f t="shared" ref="BE492:BE523" si="500">IF(BC492="---",999.99,BC492/BD492)</f>
        <v>4.5644750165403831</v>
      </c>
      <c r="BF492" s="263">
        <f t="shared" ref="BF492:BF523" si="501">IF(BE492=MIN($BE$492:$BE$541,$BI$492:$BI$541),1,0)</f>
        <v>0</v>
      </c>
      <c r="BG492" s="140">
        <f>WORKSHEET_CONSTR!D489</f>
        <v>6</v>
      </c>
      <c r="BH492" s="140">
        <f>WORKSHEET_CONSTR!C489</f>
        <v>0.76269385413042634</v>
      </c>
      <c r="BI492" s="140">
        <f t="shared" ref="BI492:BI523" si="502">IF(BG492="---",999.99,BG492/BH492)</f>
        <v>7.8668524303775955</v>
      </c>
      <c r="BJ492" s="263">
        <f t="shared" ref="BJ492:BJ523" si="503">IF(BI492=MIN($BE$492:$BE$541,$BI$492:$BI$541),1,0)</f>
        <v>0</v>
      </c>
      <c r="BK492" s="140" t="str">
        <f t="shared" ref="BK492:BK523" si="504">H550</f>
        <v>---</v>
      </c>
      <c r="BL492" s="140">
        <f t="shared" ref="BL492:BL523" si="505">F550</f>
        <v>1.3144994721753707</v>
      </c>
      <c r="BM492" s="140">
        <f>IF(BK492="---",999.99,BK492/BL492)</f>
        <v>999.99</v>
      </c>
      <c r="BN492" s="263">
        <f t="shared" ref="BN492:BN523" si="506">IF(BM492=MIN($BM$492:$BM$541,$BQ$492:$BQ$541),1,0)</f>
        <v>1</v>
      </c>
      <c r="BO492" s="140" t="str">
        <f>WORKSHEET_CONSTR!H489</f>
        <v>---</v>
      </c>
      <c r="BP492" s="140">
        <f>WORKSHEET_CONSTR!F489</f>
        <v>0.76269385413042634</v>
      </c>
      <c r="BQ492" s="140">
        <f>IF(BO492="---",999.99,BO492/BP492)</f>
        <v>999.99</v>
      </c>
      <c r="BR492" s="263">
        <f t="shared" ref="BR492:BR523" si="507">IF(BQ492=MIN($BM$492:$BM$541,$BQ$492:$BQ$541),1,0)</f>
        <v>1</v>
      </c>
      <c r="BS492" s="267" t="str">
        <f t="shared" ref="BS492:BS523" si="508">K550</f>
        <v>---</v>
      </c>
      <c r="BT492" s="210">
        <f t="shared" ref="BT492:BT523" si="509">E492</f>
        <v>1.2767841550713217</v>
      </c>
      <c r="BU492" s="140">
        <f>IF(BS492="---",999.99,BS492/BT492)</f>
        <v>999.99</v>
      </c>
      <c r="BV492" s="263">
        <f t="shared" ref="BV492:BV523" si="510">IF(BU492=MIN($BU$492:$BU$541,$BY$492:$BY$541),1,0)</f>
        <v>1</v>
      </c>
      <c r="BW492" s="140" t="str">
        <f>WORKSHEET_CONSTR!K489</f>
        <v>---</v>
      </c>
      <c r="BX492" s="140">
        <f>WORKSHEET_CONSTR!J489</f>
        <v>0.72497853702637738</v>
      </c>
      <c r="BY492" s="140">
        <f>IF(BW492="---",999.99,BW492/BX492)</f>
        <v>999.99</v>
      </c>
      <c r="BZ492" s="263">
        <f t="shared" ref="BZ492:BZ523" si="511">IF(BY492=MIN($BU$492:$BU$541,$BY$492:$BY$541),1,0)</f>
        <v>1</v>
      </c>
      <c r="CA492" s="271" t="str">
        <f t="shared" ref="CA492:CA523" si="512">N550</f>
        <v>---</v>
      </c>
      <c r="CB492" s="271">
        <f t="shared" ref="CB492:CB523" si="513">C492</f>
        <v>3.7715317104049004E-2</v>
      </c>
      <c r="CC492" s="140">
        <f>IF(CA492="---",999.99,CA492/CB492)</f>
        <v>999.99</v>
      </c>
      <c r="CD492" s="263">
        <f t="shared" ref="CD492:CD523" si="514">IF(CC492=MIN($CC$492:$CC$541,$CG$492:$CG$541),1,0)</f>
        <v>1</v>
      </c>
      <c r="CE492" s="140" t="str">
        <f>WORKSHEET_CONSTR!N489</f>
        <v>---</v>
      </c>
      <c r="CF492" s="140">
        <f>WORKSHEET_CONSTR!M489</f>
        <v>3.7715317104049004E-2</v>
      </c>
      <c r="CG492" s="140">
        <f>IF(CE492="---",999.99,CE492/CF492)</f>
        <v>999.99</v>
      </c>
      <c r="CH492" s="263">
        <f t="shared" ref="CH492:CH523" si="515">IF(CG492=MIN($CC$492:$CC$541,$CG$492:$CG$541),1,0)</f>
        <v>1</v>
      </c>
    </row>
    <row r="493" spans="1:86">
      <c r="A493" s="438">
        <f t="shared" si="475"/>
        <v>2</v>
      </c>
      <c r="B493" s="294">
        <f t="shared" si="475"/>
        <v>4</v>
      </c>
      <c r="C493" s="296">
        <f t="shared" si="476"/>
        <v>3.7715317104049004E-2</v>
      </c>
      <c r="D493" s="294">
        <f t="shared" ref="D493:D523" si="516">IF(A493="---","---",gamma_P*(V299*G299+W299))</f>
        <v>0.49214361156235253</v>
      </c>
      <c r="E493" s="294">
        <f t="shared" si="477"/>
        <v>1.2303590289058812</v>
      </c>
      <c r="F493" s="294">
        <f t="shared" si="478"/>
        <v>1.2680743460099302</v>
      </c>
      <c r="G493" s="294">
        <f t="shared" si="479"/>
        <v>2.0332258064516133</v>
      </c>
      <c r="H493" s="291" t="str">
        <f t="shared" si="480"/>
        <v>OK</v>
      </c>
      <c r="I493" s="441" t="str">
        <f t="shared" si="481"/>
        <v>---</v>
      </c>
      <c r="J493" s="441" t="str">
        <f t="shared" si="482"/>
        <v>---</v>
      </c>
      <c r="K493" s="294">
        <f t="shared" ref="K493:K523" si="517">IF(A493="---","---",gamma_P*(V299*H429+W299))</f>
        <v>0.49214361156235253</v>
      </c>
      <c r="L493" s="294">
        <f t="shared" si="483"/>
        <v>1.2303590289058812</v>
      </c>
      <c r="M493" s="291">
        <f t="shared" ref="M493:M541" si="518">IF(A493="---","---",C493+L493)</f>
        <v>1.2680743460099302</v>
      </c>
      <c r="N493" s="294">
        <f t="shared" si="484"/>
        <v>9.3241587886875283</v>
      </c>
      <c r="O493" s="441" t="str">
        <f t="shared" si="485"/>
        <v>OK</v>
      </c>
      <c r="AE493" s="140">
        <f t="shared" si="486"/>
        <v>2.0332258064516133</v>
      </c>
      <c r="AF493" s="140">
        <f t="shared" si="487"/>
        <v>1.2680743460099302</v>
      </c>
      <c r="AG493" s="140">
        <f t="shared" ref="AG493:AG541" si="519">IF(AE493="---",999.99,AE493/AF493)</f>
        <v>1.6033963724991966</v>
      </c>
      <c r="AH493" s="263">
        <f t="shared" si="488"/>
        <v>0</v>
      </c>
      <c r="AI493" s="140">
        <f>WORKSHEET_CONSTR!G432</f>
        <v>2.0332258064516133</v>
      </c>
      <c r="AJ493" s="140">
        <f>WORKSHEET_CONSTR!F432</f>
        <v>0.83508090390509171</v>
      </c>
      <c r="AK493" s="140">
        <f t="shared" ref="AK493:AK541" si="520">IF(AI493="---",999.99,AI493/AJ493)</f>
        <v>2.4347650592219656</v>
      </c>
      <c r="AL493" s="263">
        <f t="shared" si="489"/>
        <v>0</v>
      </c>
      <c r="AM493" s="267" t="str">
        <f t="shared" si="490"/>
        <v>---</v>
      </c>
      <c r="AN493" s="140">
        <f t="shared" si="491"/>
        <v>1.2303590289058812</v>
      </c>
      <c r="AO493" s="140">
        <f t="shared" ref="AO493:AO541" si="521">IF(AM493="---",999.99,AM493/AN493)</f>
        <v>999.99</v>
      </c>
      <c r="AP493" s="263">
        <f t="shared" si="492"/>
        <v>1</v>
      </c>
      <c r="AQ493" s="140" t="str">
        <f>WORKSHEET_CONSTR!Q179</f>
        <v>---</v>
      </c>
      <c r="AR493" s="140">
        <f>WORKSHEET_CONSTR!E432</f>
        <v>0.79736558680104275</v>
      </c>
      <c r="AS493" s="140">
        <f t="shared" ref="AS493:AS541" si="522">IF(AQ493="---",999.99,AQ493/AR493)</f>
        <v>999.99</v>
      </c>
      <c r="AT493" s="263">
        <f t="shared" si="493"/>
        <v>1</v>
      </c>
      <c r="AU493" s="140" t="str">
        <f t="shared" si="494"/>
        <v>---</v>
      </c>
      <c r="AV493" s="140">
        <f t="shared" si="495"/>
        <v>3.7715317104049004E-2</v>
      </c>
      <c r="AW493" s="140">
        <f t="shared" ref="AW493:AW541" si="523">IF(AU493="---",999.99,AU493/AV493)</f>
        <v>999.99</v>
      </c>
      <c r="AX493" s="263">
        <f t="shared" si="496"/>
        <v>1</v>
      </c>
      <c r="AY493" s="140" t="str">
        <f>WORKSHEET_CONSTR!R179</f>
        <v>---</v>
      </c>
      <c r="AZ493" s="140">
        <f>WORKSHEET_CONSTR!C432</f>
        <v>3.7715317104049004E-2</v>
      </c>
      <c r="BA493" s="140">
        <f t="shared" ref="BA493:BA541" si="524">IF(AY493="---",999.99,AY493/AZ493)</f>
        <v>999.99</v>
      </c>
      <c r="BB493" s="263">
        <f t="shared" si="497"/>
        <v>1</v>
      </c>
      <c r="BC493" s="267">
        <f t="shared" si="498"/>
        <v>6</v>
      </c>
      <c r="BD493" s="140">
        <f t="shared" si="499"/>
        <v>1.2680743460099302</v>
      </c>
      <c r="BE493" s="140">
        <f t="shared" si="500"/>
        <v>4.7315837741527931</v>
      </c>
      <c r="BF493" s="263">
        <f t="shared" si="501"/>
        <v>0</v>
      </c>
      <c r="BG493" s="140">
        <f>WORKSHEET_CONSTR!D490</f>
        <v>6</v>
      </c>
      <c r="BH493" s="140">
        <f>WORKSHEET_CONSTR!C490</f>
        <v>0.83508090390509171</v>
      </c>
      <c r="BI493" s="140">
        <f t="shared" si="502"/>
        <v>7.1849325878991834</v>
      </c>
      <c r="BJ493" s="263">
        <f t="shared" si="503"/>
        <v>0</v>
      </c>
      <c r="BK493" s="140" t="str">
        <f t="shared" si="504"/>
        <v>---</v>
      </c>
      <c r="BL493" s="140">
        <f t="shared" si="505"/>
        <v>1.2680743460099302</v>
      </c>
      <c r="BM493" s="140">
        <f t="shared" ref="BM493:BM541" si="525">IF(BK493="---",999.99,BK493/BL493)</f>
        <v>999.99</v>
      </c>
      <c r="BN493" s="263">
        <f t="shared" si="506"/>
        <v>1</v>
      </c>
      <c r="BO493" s="140" t="str">
        <f>WORKSHEET_CONSTR!H490</f>
        <v>---</v>
      </c>
      <c r="BP493" s="140">
        <f>WORKSHEET_CONSTR!F490</f>
        <v>0.83508090390509171</v>
      </c>
      <c r="BQ493" s="140">
        <f t="shared" ref="BQ493:BQ541" si="526">IF(BO493="---",999.99,BO493/BP493)</f>
        <v>999.99</v>
      </c>
      <c r="BR493" s="263">
        <f t="shared" si="507"/>
        <v>1</v>
      </c>
      <c r="BS493" s="267" t="str">
        <f t="shared" si="508"/>
        <v>---</v>
      </c>
      <c r="BT493" s="210">
        <f t="shared" si="509"/>
        <v>1.2303590289058812</v>
      </c>
      <c r="BU493" s="140">
        <f t="shared" ref="BU493:BU541" si="527">IF(BS493="---",999.99,BS493/BT493)</f>
        <v>999.99</v>
      </c>
      <c r="BV493" s="263">
        <f t="shared" si="510"/>
        <v>1</v>
      </c>
      <c r="BW493" s="140" t="str">
        <f>WORKSHEET_CONSTR!K490</f>
        <v>---</v>
      </c>
      <c r="BX493" s="140">
        <f>WORKSHEET_CONSTR!J490</f>
        <v>0.79736558680104275</v>
      </c>
      <c r="BY493" s="140">
        <f t="shared" ref="BY493:BY541" si="528">IF(BW493="---",999.99,BW493/BX493)</f>
        <v>999.99</v>
      </c>
      <c r="BZ493" s="263">
        <f t="shared" si="511"/>
        <v>1</v>
      </c>
      <c r="CA493" s="271" t="str">
        <f t="shared" si="512"/>
        <v>---</v>
      </c>
      <c r="CB493" s="271">
        <f t="shared" si="513"/>
        <v>3.7715317104049004E-2</v>
      </c>
      <c r="CC493" s="140">
        <f t="shared" ref="CC493:CC541" si="529">IF(CA493="---",999.99,CA493/CB493)</f>
        <v>999.99</v>
      </c>
      <c r="CD493" s="263">
        <f t="shared" si="514"/>
        <v>1</v>
      </c>
      <c r="CE493" s="140" t="str">
        <f>WORKSHEET_CONSTR!N490</f>
        <v>---</v>
      </c>
      <c r="CF493" s="140">
        <f>WORKSHEET_CONSTR!M490</f>
        <v>3.7715317104049004E-2</v>
      </c>
      <c r="CG493" s="140">
        <f t="shared" ref="CG493:CG541" si="530">IF(CE493="---",999.99,CE493/CF493)</f>
        <v>999.99</v>
      </c>
      <c r="CH493" s="263">
        <f t="shared" si="515"/>
        <v>1</v>
      </c>
    </row>
    <row r="494" spans="1:86">
      <c r="A494" s="438">
        <f t="shared" si="475"/>
        <v>3</v>
      </c>
      <c r="B494" s="294">
        <f t="shared" si="475"/>
        <v>6.5</v>
      </c>
      <c r="C494" s="296">
        <f t="shared" si="476"/>
        <v>3.7715317104049004E-2</v>
      </c>
      <c r="D494" s="294">
        <f t="shared" si="516"/>
        <v>0.53050946424274936</v>
      </c>
      <c r="E494" s="294">
        <f t="shared" si="477"/>
        <v>1.3262736606068735</v>
      </c>
      <c r="F494" s="294">
        <f t="shared" si="478"/>
        <v>1.3639889777109224</v>
      </c>
      <c r="G494" s="294">
        <f t="shared" si="479"/>
        <v>2.0332258064516133</v>
      </c>
      <c r="H494" s="291" t="str">
        <f t="shared" si="480"/>
        <v>OK</v>
      </c>
      <c r="I494" s="441" t="str">
        <f t="shared" si="481"/>
        <v>---</v>
      </c>
      <c r="J494" s="441" t="str">
        <f t="shared" si="482"/>
        <v>---</v>
      </c>
      <c r="K494" s="294">
        <f t="shared" si="517"/>
        <v>0.53050946424274936</v>
      </c>
      <c r="L494" s="294">
        <f t="shared" si="483"/>
        <v>1.3262736606068735</v>
      </c>
      <c r="M494" s="291">
        <f t="shared" si="518"/>
        <v>1.3639889777109224</v>
      </c>
      <c r="N494" s="294">
        <f t="shared" si="484"/>
        <v>9.2331256555304861</v>
      </c>
      <c r="O494" s="441" t="str">
        <f t="shared" si="485"/>
        <v>OK</v>
      </c>
      <c r="AE494" s="140">
        <f t="shared" si="486"/>
        <v>2.0332258064516133</v>
      </c>
      <c r="AF494" s="140">
        <f t="shared" si="487"/>
        <v>1.3639889777109224</v>
      </c>
      <c r="AG494" s="140">
        <f t="shared" si="519"/>
        <v>1.490646801166839</v>
      </c>
      <c r="AH494" s="263">
        <f t="shared" si="488"/>
        <v>0</v>
      </c>
      <c r="AI494" s="140">
        <f>WORKSHEET_CONSTR!G433</f>
        <v>2.0332258064516133</v>
      </c>
      <c r="AJ494" s="140">
        <f>WORKSHEET_CONSTR!F433</f>
        <v>0.98909761978641075</v>
      </c>
      <c r="AK494" s="140">
        <f t="shared" si="520"/>
        <v>2.0556371441786254</v>
      </c>
      <c r="AL494" s="263">
        <f t="shared" si="489"/>
        <v>0</v>
      </c>
      <c r="AM494" s="267" t="str">
        <f t="shared" si="490"/>
        <v>---</v>
      </c>
      <c r="AN494" s="140">
        <f t="shared" si="491"/>
        <v>1.3262736606068735</v>
      </c>
      <c r="AO494" s="140">
        <f t="shared" si="521"/>
        <v>999.99</v>
      </c>
      <c r="AP494" s="263">
        <f t="shared" si="492"/>
        <v>1</v>
      </c>
      <c r="AQ494" s="140" t="str">
        <f>WORKSHEET_CONSTR!Q180</f>
        <v>---</v>
      </c>
      <c r="AR494" s="140">
        <f>WORKSHEET_CONSTR!E433</f>
        <v>0.95138230268236179</v>
      </c>
      <c r="AS494" s="140">
        <f t="shared" si="522"/>
        <v>999.99</v>
      </c>
      <c r="AT494" s="263">
        <f t="shared" si="493"/>
        <v>1</v>
      </c>
      <c r="AU494" s="140" t="str">
        <f t="shared" si="494"/>
        <v>---</v>
      </c>
      <c r="AV494" s="140">
        <f t="shared" si="495"/>
        <v>3.7715317104049004E-2</v>
      </c>
      <c r="AW494" s="140">
        <f t="shared" si="523"/>
        <v>999.99</v>
      </c>
      <c r="AX494" s="263">
        <f t="shared" si="496"/>
        <v>1</v>
      </c>
      <c r="AY494" s="140" t="str">
        <f>WORKSHEET_CONSTR!R180</f>
        <v>---</v>
      </c>
      <c r="AZ494" s="140">
        <f>WORKSHEET_CONSTR!C433</f>
        <v>3.7715317104049004E-2</v>
      </c>
      <c r="BA494" s="140">
        <f t="shared" si="524"/>
        <v>999.99</v>
      </c>
      <c r="BB494" s="263">
        <f t="shared" si="497"/>
        <v>1</v>
      </c>
      <c r="BC494" s="267">
        <f t="shared" si="498"/>
        <v>6</v>
      </c>
      <c r="BD494" s="140">
        <f t="shared" si="499"/>
        <v>1.3639889777109224</v>
      </c>
      <c r="BE494" s="140">
        <f t="shared" si="500"/>
        <v>4.3988625260515946</v>
      </c>
      <c r="BF494" s="263">
        <f t="shared" si="501"/>
        <v>0</v>
      </c>
      <c r="BG494" s="140">
        <f>WORKSHEET_CONSTR!D491</f>
        <v>6</v>
      </c>
      <c r="BH494" s="140">
        <f>WORKSHEET_CONSTR!C491</f>
        <v>0.98909761978641075</v>
      </c>
      <c r="BI494" s="140">
        <f t="shared" si="502"/>
        <v>6.0661353136161233</v>
      </c>
      <c r="BJ494" s="263">
        <f t="shared" si="503"/>
        <v>0</v>
      </c>
      <c r="BK494" s="140" t="str">
        <f t="shared" si="504"/>
        <v>---</v>
      </c>
      <c r="BL494" s="140">
        <f t="shared" si="505"/>
        <v>1.3639889777109224</v>
      </c>
      <c r="BM494" s="140">
        <f t="shared" si="525"/>
        <v>999.99</v>
      </c>
      <c r="BN494" s="263">
        <f t="shared" si="506"/>
        <v>1</v>
      </c>
      <c r="BO494" s="140" t="str">
        <f>WORKSHEET_CONSTR!H491</f>
        <v>---</v>
      </c>
      <c r="BP494" s="140">
        <f>WORKSHEET_CONSTR!F491</f>
        <v>0.98909761978641075</v>
      </c>
      <c r="BQ494" s="140">
        <f t="shared" si="526"/>
        <v>999.99</v>
      </c>
      <c r="BR494" s="263">
        <f t="shared" si="507"/>
        <v>1</v>
      </c>
      <c r="BS494" s="267" t="str">
        <f t="shared" si="508"/>
        <v>---</v>
      </c>
      <c r="BT494" s="210">
        <f t="shared" si="509"/>
        <v>1.3262736606068735</v>
      </c>
      <c r="BU494" s="140">
        <f t="shared" si="527"/>
        <v>999.99</v>
      </c>
      <c r="BV494" s="263">
        <f t="shared" si="510"/>
        <v>1</v>
      </c>
      <c r="BW494" s="140" t="str">
        <f>WORKSHEET_CONSTR!K491</f>
        <v>---</v>
      </c>
      <c r="BX494" s="140">
        <f>WORKSHEET_CONSTR!J491</f>
        <v>0.95138230268236179</v>
      </c>
      <c r="BY494" s="140">
        <f t="shared" si="528"/>
        <v>999.99</v>
      </c>
      <c r="BZ494" s="263">
        <f t="shared" si="511"/>
        <v>1</v>
      </c>
      <c r="CA494" s="271" t="str">
        <f t="shared" si="512"/>
        <v>---</v>
      </c>
      <c r="CB494" s="271">
        <f t="shared" si="513"/>
        <v>3.7715317104049004E-2</v>
      </c>
      <c r="CC494" s="140">
        <f t="shared" si="529"/>
        <v>999.99</v>
      </c>
      <c r="CD494" s="263">
        <f t="shared" si="514"/>
        <v>1</v>
      </c>
      <c r="CE494" s="140" t="str">
        <f>WORKSHEET_CONSTR!N491</f>
        <v>---</v>
      </c>
      <c r="CF494" s="140">
        <f>WORKSHEET_CONSTR!M491</f>
        <v>3.7715317104049004E-2</v>
      </c>
      <c r="CG494" s="140">
        <f t="shared" si="530"/>
        <v>999.99</v>
      </c>
      <c r="CH494" s="263">
        <f t="shared" si="515"/>
        <v>1</v>
      </c>
    </row>
    <row r="495" spans="1:86">
      <c r="A495" s="438">
        <f t="shared" si="475"/>
        <v>4</v>
      </c>
      <c r="B495" s="294">
        <f t="shared" si="475"/>
        <v>9</v>
      </c>
      <c r="C495" s="296">
        <f t="shared" si="476"/>
        <v>3.913234641593534E-2</v>
      </c>
      <c r="D495" s="294">
        <f t="shared" si="516"/>
        <v>0.56967152778438113</v>
      </c>
      <c r="E495" s="294">
        <f t="shared" si="477"/>
        <v>1.4241788194609528</v>
      </c>
      <c r="F495" s="294">
        <f t="shared" si="478"/>
        <v>1.4633111658768883</v>
      </c>
      <c r="G495" s="294">
        <f t="shared" si="479"/>
        <v>2.0332258064516133</v>
      </c>
      <c r="H495" s="291" t="str">
        <f t="shared" si="480"/>
        <v>OK</v>
      </c>
      <c r="I495" s="441" t="str">
        <f t="shared" si="481"/>
        <v>---</v>
      </c>
      <c r="J495" s="441" t="str">
        <f t="shared" si="482"/>
        <v>---</v>
      </c>
      <c r="K495" s="294">
        <f t="shared" si="517"/>
        <v>0.56967152778438113</v>
      </c>
      <c r="L495" s="294">
        <f t="shared" si="483"/>
        <v>1.4241788194609528</v>
      </c>
      <c r="M495" s="291">
        <f t="shared" si="518"/>
        <v>1.4633111658768883</v>
      </c>
      <c r="N495" s="294">
        <f t="shared" si="484"/>
        <v>9.4053961773463914</v>
      </c>
      <c r="O495" s="441" t="str">
        <f t="shared" si="485"/>
        <v>OK</v>
      </c>
      <c r="AE495" s="140">
        <f t="shared" si="486"/>
        <v>2.0332258064516133</v>
      </c>
      <c r="AF495" s="140">
        <f t="shared" si="487"/>
        <v>1.4633111658768883</v>
      </c>
      <c r="AG495" s="140">
        <f t="shared" si="519"/>
        <v>1.3894692078244371</v>
      </c>
      <c r="AH495" s="263">
        <f t="shared" si="488"/>
        <v>0</v>
      </c>
      <c r="AI495" s="140">
        <f>WORKSHEET_CONSTR!G434</f>
        <v>2.0332258064516133</v>
      </c>
      <c r="AJ495" s="140">
        <f>WORKSHEET_CONSTR!F434</f>
        <v>1.1380335589399766</v>
      </c>
      <c r="AK495" s="140">
        <f t="shared" si="520"/>
        <v>1.7866132246095319</v>
      </c>
      <c r="AL495" s="263">
        <f t="shared" si="489"/>
        <v>0</v>
      </c>
      <c r="AM495" s="267" t="str">
        <f t="shared" si="490"/>
        <v>---</v>
      </c>
      <c r="AN495" s="140">
        <f t="shared" si="491"/>
        <v>1.4241788194609528</v>
      </c>
      <c r="AO495" s="140">
        <f t="shared" si="521"/>
        <v>999.99</v>
      </c>
      <c r="AP495" s="263">
        <f t="shared" si="492"/>
        <v>1</v>
      </c>
      <c r="AQ495" s="140" t="str">
        <f>WORKSHEET_CONSTR!Q181</f>
        <v>---</v>
      </c>
      <c r="AR495" s="140">
        <f>WORKSHEET_CONSTR!E434</f>
        <v>1.0989012125240412</v>
      </c>
      <c r="AS495" s="140">
        <f t="shared" si="522"/>
        <v>999.99</v>
      </c>
      <c r="AT495" s="263">
        <f t="shared" si="493"/>
        <v>1</v>
      </c>
      <c r="AU495" s="140" t="str">
        <f t="shared" si="494"/>
        <v>---</v>
      </c>
      <c r="AV495" s="140">
        <f t="shared" si="495"/>
        <v>3.913234641593534E-2</v>
      </c>
      <c r="AW495" s="140">
        <f t="shared" si="523"/>
        <v>999.99</v>
      </c>
      <c r="AX495" s="263">
        <f t="shared" si="496"/>
        <v>1</v>
      </c>
      <c r="AY495" s="140" t="str">
        <f>WORKSHEET_CONSTR!R181</f>
        <v>---</v>
      </c>
      <c r="AZ495" s="140">
        <f>WORKSHEET_CONSTR!C434</f>
        <v>3.913234641593534E-2</v>
      </c>
      <c r="BA495" s="140">
        <f t="shared" si="524"/>
        <v>999.99</v>
      </c>
      <c r="BB495" s="263">
        <f t="shared" si="497"/>
        <v>1</v>
      </c>
      <c r="BC495" s="267">
        <f t="shared" si="498"/>
        <v>6</v>
      </c>
      <c r="BD495" s="140">
        <f t="shared" si="499"/>
        <v>1.4633111658768883</v>
      </c>
      <c r="BE495" s="140">
        <f t="shared" si="500"/>
        <v>4.1002899040987666</v>
      </c>
      <c r="BF495" s="263">
        <f t="shared" si="501"/>
        <v>0</v>
      </c>
      <c r="BG495" s="140">
        <f>WORKSHEET_CONSTR!D492</f>
        <v>6</v>
      </c>
      <c r="BH495" s="140">
        <f>WORKSHEET_CONSTR!C492</f>
        <v>1.1380335589399766</v>
      </c>
      <c r="BI495" s="140">
        <f t="shared" si="502"/>
        <v>5.2722522572960946</v>
      </c>
      <c r="BJ495" s="263">
        <f t="shared" si="503"/>
        <v>0</v>
      </c>
      <c r="BK495" s="140" t="str">
        <f t="shared" si="504"/>
        <v>---</v>
      </c>
      <c r="BL495" s="140">
        <f t="shared" si="505"/>
        <v>1.4633111658768883</v>
      </c>
      <c r="BM495" s="140">
        <f t="shared" si="525"/>
        <v>999.99</v>
      </c>
      <c r="BN495" s="263">
        <f t="shared" si="506"/>
        <v>1</v>
      </c>
      <c r="BO495" s="140" t="str">
        <f>WORKSHEET_CONSTR!H492</f>
        <v>---</v>
      </c>
      <c r="BP495" s="140">
        <f>WORKSHEET_CONSTR!F492</f>
        <v>1.1380335589399766</v>
      </c>
      <c r="BQ495" s="140">
        <f t="shared" si="526"/>
        <v>999.99</v>
      </c>
      <c r="BR495" s="263">
        <f t="shared" si="507"/>
        <v>1</v>
      </c>
      <c r="BS495" s="267" t="str">
        <f t="shared" si="508"/>
        <v>---</v>
      </c>
      <c r="BT495" s="210">
        <f t="shared" si="509"/>
        <v>1.4241788194609528</v>
      </c>
      <c r="BU495" s="140">
        <f t="shared" si="527"/>
        <v>999.99</v>
      </c>
      <c r="BV495" s="263">
        <f t="shared" si="510"/>
        <v>1</v>
      </c>
      <c r="BW495" s="140" t="str">
        <f>WORKSHEET_CONSTR!K492</f>
        <v>---</v>
      </c>
      <c r="BX495" s="140">
        <f>WORKSHEET_CONSTR!J492</f>
        <v>1.0989012125240412</v>
      </c>
      <c r="BY495" s="140">
        <f t="shared" si="528"/>
        <v>999.99</v>
      </c>
      <c r="BZ495" s="263">
        <f t="shared" si="511"/>
        <v>1</v>
      </c>
      <c r="CA495" s="271" t="str">
        <f t="shared" si="512"/>
        <v>---</v>
      </c>
      <c r="CB495" s="271">
        <f t="shared" si="513"/>
        <v>3.913234641593534E-2</v>
      </c>
      <c r="CC495" s="140">
        <f t="shared" si="529"/>
        <v>999.99</v>
      </c>
      <c r="CD495" s="263">
        <f t="shared" si="514"/>
        <v>1</v>
      </c>
      <c r="CE495" s="140" t="str">
        <f>WORKSHEET_CONSTR!N492</f>
        <v>---</v>
      </c>
      <c r="CF495" s="140">
        <f>WORKSHEET_CONSTR!M492</f>
        <v>3.913234641593534E-2</v>
      </c>
      <c r="CG495" s="140">
        <f t="shared" si="530"/>
        <v>999.99</v>
      </c>
      <c r="CH495" s="263">
        <f t="shared" si="515"/>
        <v>1</v>
      </c>
    </row>
    <row r="496" spans="1:86">
      <c r="A496" s="438">
        <f t="shared" si="475"/>
        <v>5</v>
      </c>
      <c r="B496" s="294">
        <f t="shared" si="475"/>
        <v>11.5</v>
      </c>
      <c r="C496" s="296">
        <f t="shared" si="476"/>
        <v>4.2622566395950988E-2</v>
      </c>
      <c r="D496" s="294">
        <f t="shared" si="516"/>
        <v>0.60745846335579257</v>
      </c>
      <c r="E496" s="294">
        <f t="shared" si="477"/>
        <v>1.5186461583894815</v>
      </c>
      <c r="F496" s="294">
        <f t="shared" si="478"/>
        <v>1.5612687247854324</v>
      </c>
      <c r="G496" s="294">
        <f t="shared" si="479"/>
        <v>2.0332258064516133</v>
      </c>
      <c r="H496" s="291" t="str">
        <f t="shared" si="480"/>
        <v>OK</v>
      </c>
      <c r="I496" s="441" t="str">
        <f t="shared" si="481"/>
        <v>---</v>
      </c>
      <c r="J496" s="441" t="str">
        <f t="shared" si="482"/>
        <v>---</v>
      </c>
      <c r="K496" s="294">
        <f t="shared" si="517"/>
        <v>0.60745846335579257</v>
      </c>
      <c r="L496" s="294">
        <f t="shared" si="483"/>
        <v>1.5186461583894815</v>
      </c>
      <c r="M496" s="291">
        <f t="shared" si="518"/>
        <v>1.5612687247854324</v>
      </c>
      <c r="N496" s="294">
        <f t="shared" si="484"/>
        <v>9.8153738694445725</v>
      </c>
      <c r="O496" s="441" t="str">
        <f t="shared" si="485"/>
        <v>OK</v>
      </c>
      <c r="AE496" s="140">
        <f t="shared" si="486"/>
        <v>2.0332258064516133</v>
      </c>
      <c r="AF496" s="140">
        <f t="shared" si="487"/>
        <v>1.5612687247854324</v>
      </c>
      <c r="AG496" s="140">
        <f t="shared" si="519"/>
        <v>1.3022907422494117</v>
      </c>
      <c r="AH496" s="263">
        <f t="shared" si="488"/>
        <v>0</v>
      </c>
      <c r="AI496" s="140">
        <f>WORKSHEET_CONSTR!G435</f>
        <v>2.0332258064516133</v>
      </c>
      <c r="AJ496" s="140">
        <f>WORKSHEET_CONSTR!F435</f>
        <v>1.2786715551584267</v>
      </c>
      <c r="AK496" s="140">
        <f t="shared" si="520"/>
        <v>1.5901079509035436</v>
      </c>
      <c r="AL496" s="263">
        <f t="shared" si="489"/>
        <v>0</v>
      </c>
      <c r="AM496" s="267" t="str">
        <f t="shared" si="490"/>
        <v>---</v>
      </c>
      <c r="AN496" s="140">
        <f t="shared" si="491"/>
        <v>1.5186461583894815</v>
      </c>
      <c r="AO496" s="140">
        <f t="shared" si="521"/>
        <v>999.99</v>
      </c>
      <c r="AP496" s="263">
        <f t="shared" si="492"/>
        <v>1</v>
      </c>
      <c r="AQ496" s="140" t="str">
        <f>WORKSHEET_CONSTR!Q182</f>
        <v>---</v>
      </c>
      <c r="AR496" s="140">
        <f>WORKSHEET_CONSTR!E435</f>
        <v>1.2360489887624757</v>
      </c>
      <c r="AS496" s="140">
        <f t="shared" si="522"/>
        <v>999.99</v>
      </c>
      <c r="AT496" s="263">
        <f t="shared" si="493"/>
        <v>1</v>
      </c>
      <c r="AU496" s="140" t="str">
        <f t="shared" si="494"/>
        <v>---</v>
      </c>
      <c r="AV496" s="140">
        <f t="shared" si="495"/>
        <v>4.2622566395950988E-2</v>
      </c>
      <c r="AW496" s="140">
        <f t="shared" si="523"/>
        <v>999.99</v>
      </c>
      <c r="AX496" s="263">
        <f t="shared" si="496"/>
        <v>1</v>
      </c>
      <c r="AY496" s="140" t="str">
        <f>WORKSHEET_CONSTR!R182</f>
        <v>---</v>
      </c>
      <c r="AZ496" s="140">
        <f>WORKSHEET_CONSTR!C435</f>
        <v>4.2622566395950988E-2</v>
      </c>
      <c r="BA496" s="140">
        <f t="shared" si="524"/>
        <v>999.99</v>
      </c>
      <c r="BB496" s="263">
        <f t="shared" si="497"/>
        <v>1</v>
      </c>
      <c r="BC496" s="267">
        <f t="shared" si="498"/>
        <v>6</v>
      </c>
      <c r="BD496" s="140">
        <f t="shared" si="499"/>
        <v>1.5612687247854324</v>
      </c>
      <c r="BE496" s="140">
        <f t="shared" si="500"/>
        <v>3.8430283683704669</v>
      </c>
      <c r="BF496" s="263">
        <f t="shared" si="501"/>
        <v>0</v>
      </c>
      <c r="BG496" s="140">
        <f>WORKSHEET_CONSTR!D493</f>
        <v>6</v>
      </c>
      <c r="BH496" s="140">
        <f>WORKSHEET_CONSTR!C493</f>
        <v>1.2786715551584267</v>
      </c>
      <c r="BI496" s="140">
        <f t="shared" si="502"/>
        <v>4.6923699645892283</v>
      </c>
      <c r="BJ496" s="263">
        <f t="shared" si="503"/>
        <v>0</v>
      </c>
      <c r="BK496" s="140" t="str">
        <f t="shared" si="504"/>
        <v>---</v>
      </c>
      <c r="BL496" s="140">
        <f t="shared" si="505"/>
        <v>1.5612687247854324</v>
      </c>
      <c r="BM496" s="140">
        <f t="shared" si="525"/>
        <v>999.99</v>
      </c>
      <c r="BN496" s="263">
        <f t="shared" si="506"/>
        <v>1</v>
      </c>
      <c r="BO496" s="140" t="str">
        <f>WORKSHEET_CONSTR!H493</f>
        <v>---</v>
      </c>
      <c r="BP496" s="140">
        <f>WORKSHEET_CONSTR!F493</f>
        <v>1.2786715551584267</v>
      </c>
      <c r="BQ496" s="140">
        <f t="shared" si="526"/>
        <v>999.99</v>
      </c>
      <c r="BR496" s="263">
        <f t="shared" si="507"/>
        <v>1</v>
      </c>
      <c r="BS496" s="267" t="str">
        <f t="shared" si="508"/>
        <v>---</v>
      </c>
      <c r="BT496" s="210">
        <f t="shared" si="509"/>
        <v>1.5186461583894815</v>
      </c>
      <c r="BU496" s="140">
        <f t="shared" si="527"/>
        <v>999.99</v>
      </c>
      <c r="BV496" s="263">
        <f t="shared" si="510"/>
        <v>1</v>
      </c>
      <c r="BW496" s="140" t="str">
        <f>WORKSHEET_CONSTR!K493</f>
        <v>---</v>
      </c>
      <c r="BX496" s="140">
        <f>WORKSHEET_CONSTR!J493</f>
        <v>1.2360489887624757</v>
      </c>
      <c r="BY496" s="140">
        <f t="shared" si="528"/>
        <v>999.99</v>
      </c>
      <c r="BZ496" s="263">
        <f t="shared" si="511"/>
        <v>1</v>
      </c>
      <c r="CA496" s="271" t="str">
        <f t="shared" si="512"/>
        <v>---</v>
      </c>
      <c r="CB496" s="271">
        <f t="shared" si="513"/>
        <v>4.2622566395950988E-2</v>
      </c>
      <c r="CC496" s="140">
        <f t="shared" si="529"/>
        <v>999.99</v>
      </c>
      <c r="CD496" s="263">
        <f t="shared" si="514"/>
        <v>1</v>
      </c>
      <c r="CE496" s="140" t="str">
        <f>WORKSHEET_CONSTR!N493</f>
        <v>---</v>
      </c>
      <c r="CF496" s="140">
        <f>WORKSHEET_CONSTR!M493</f>
        <v>4.2622566395950988E-2</v>
      </c>
      <c r="CG496" s="140">
        <f t="shared" si="530"/>
        <v>999.99</v>
      </c>
      <c r="CH496" s="263">
        <f t="shared" si="515"/>
        <v>1</v>
      </c>
    </row>
    <row r="497" spans="1:86">
      <c r="A497" s="438">
        <f t="shared" si="475"/>
        <v>6</v>
      </c>
      <c r="B497" s="294">
        <f t="shared" si="475"/>
        <v>14</v>
      </c>
      <c r="C497" s="296">
        <f t="shared" si="476"/>
        <v>4.6112786375966629E-2</v>
      </c>
      <c r="D497" s="294">
        <f t="shared" si="516"/>
        <v>0.64796178765144907</v>
      </c>
      <c r="E497" s="294">
        <f t="shared" si="477"/>
        <v>2.0864369562376663</v>
      </c>
      <c r="F497" s="294">
        <f t="shared" si="478"/>
        <v>2.1325497426136328</v>
      </c>
      <c r="G497" s="294">
        <f t="shared" si="479"/>
        <v>2.0332258064516133</v>
      </c>
      <c r="H497" s="291" t="str">
        <f t="shared" si="480"/>
        <v>NG!</v>
      </c>
      <c r="I497" s="441" t="str">
        <f t="shared" si="481"/>
        <v>---</v>
      </c>
      <c r="J497" s="441" t="str">
        <f t="shared" si="482"/>
        <v>---</v>
      </c>
      <c r="K497" s="294">
        <f t="shared" si="517"/>
        <v>0.64796178765144907</v>
      </c>
      <c r="L497" s="294">
        <f t="shared" si="483"/>
        <v>2.0864369562376663</v>
      </c>
      <c r="M497" s="291">
        <f t="shared" si="518"/>
        <v>2.1325497426136328</v>
      </c>
      <c r="N497" s="294">
        <f t="shared" si="484"/>
        <v>13.42847885742025</v>
      </c>
      <c r="O497" s="441" t="str">
        <f t="shared" si="485"/>
        <v>OK</v>
      </c>
      <c r="AE497" s="140">
        <f t="shared" si="486"/>
        <v>2.0332258064516133</v>
      </c>
      <c r="AF497" s="140">
        <f t="shared" si="487"/>
        <v>2.1325497426136328</v>
      </c>
      <c r="AG497" s="140">
        <f t="shared" si="519"/>
        <v>0.95342479747258368</v>
      </c>
      <c r="AH497" s="263">
        <f t="shared" si="488"/>
        <v>1</v>
      </c>
      <c r="AI497" s="140">
        <f>WORKSHEET_CONSTR!G436</f>
        <v>2.0332258064516133</v>
      </c>
      <c r="AJ497" s="140">
        <f>WORKSHEET_CONSTR!F436</f>
        <v>1.7984746427622518</v>
      </c>
      <c r="AK497" s="140">
        <f t="shared" si="520"/>
        <v>1.1305279252249065</v>
      </c>
      <c r="AL497" s="263">
        <f t="shared" si="489"/>
        <v>0</v>
      </c>
      <c r="AM497" s="267" t="str">
        <f t="shared" si="490"/>
        <v>---</v>
      </c>
      <c r="AN497" s="140">
        <f t="shared" si="491"/>
        <v>2.0864369562376663</v>
      </c>
      <c r="AO497" s="140">
        <f t="shared" si="521"/>
        <v>999.99</v>
      </c>
      <c r="AP497" s="263">
        <f t="shared" si="492"/>
        <v>1</v>
      </c>
      <c r="AQ497" s="140" t="str">
        <f>WORKSHEET_CONSTR!Q183</f>
        <v>---</v>
      </c>
      <c r="AR497" s="140">
        <f>WORKSHEET_CONSTR!E436</f>
        <v>1.7523618563862851</v>
      </c>
      <c r="AS497" s="140">
        <f t="shared" si="522"/>
        <v>999.99</v>
      </c>
      <c r="AT497" s="263">
        <f t="shared" si="493"/>
        <v>1</v>
      </c>
      <c r="AU497" s="140" t="str">
        <f t="shared" si="494"/>
        <v>---</v>
      </c>
      <c r="AV497" s="140">
        <f t="shared" si="495"/>
        <v>4.6112786375966629E-2</v>
      </c>
      <c r="AW497" s="140">
        <f t="shared" si="523"/>
        <v>999.99</v>
      </c>
      <c r="AX497" s="263">
        <f t="shared" si="496"/>
        <v>1</v>
      </c>
      <c r="AY497" s="140" t="str">
        <f>WORKSHEET_CONSTR!R183</f>
        <v>---</v>
      </c>
      <c r="AZ497" s="140">
        <f>WORKSHEET_CONSTR!C436</f>
        <v>4.6112786375966629E-2</v>
      </c>
      <c r="BA497" s="140">
        <f t="shared" si="524"/>
        <v>999.99</v>
      </c>
      <c r="BB497" s="263">
        <f t="shared" si="497"/>
        <v>1</v>
      </c>
      <c r="BC497" s="267">
        <f t="shared" si="498"/>
        <v>6</v>
      </c>
      <c r="BD497" s="140">
        <f t="shared" si="499"/>
        <v>2.1325497426136328</v>
      </c>
      <c r="BE497" s="140">
        <f t="shared" si="500"/>
        <v>2.8135334337601225</v>
      </c>
      <c r="BF497" s="263">
        <f t="shared" si="501"/>
        <v>1</v>
      </c>
      <c r="BG497" s="140">
        <f>WORKSHEET_CONSTR!D494</f>
        <v>6</v>
      </c>
      <c r="BH497" s="140">
        <f>WORKSHEET_CONSTR!C494</f>
        <v>1.7984746427622518</v>
      </c>
      <c r="BI497" s="140">
        <f t="shared" si="502"/>
        <v>3.3361604647284238</v>
      </c>
      <c r="BJ497" s="263">
        <f t="shared" si="503"/>
        <v>0</v>
      </c>
      <c r="BK497" s="140" t="str">
        <f t="shared" si="504"/>
        <v>---</v>
      </c>
      <c r="BL497" s="140">
        <f t="shared" si="505"/>
        <v>2.1325497426136328</v>
      </c>
      <c r="BM497" s="140">
        <f t="shared" si="525"/>
        <v>999.99</v>
      </c>
      <c r="BN497" s="263">
        <f t="shared" si="506"/>
        <v>1</v>
      </c>
      <c r="BO497" s="140" t="str">
        <f>WORKSHEET_CONSTR!H494</f>
        <v>---</v>
      </c>
      <c r="BP497" s="140">
        <f>WORKSHEET_CONSTR!F494</f>
        <v>1.7984746427622518</v>
      </c>
      <c r="BQ497" s="140">
        <f t="shared" si="526"/>
        <v>999.99</v>
      </c>
      <c r="BR497" s="263">
        <f t="shared" si="507"/>
        <v>1</v>
      </c>
      <c r="BS497" s="267" t="str">
        <f t="shared" si="508"/>
        <v>---</v>
      </c>
      <c r="BT497" s="210">
        <f t="shared" si="509"/>
        <v>2.0864369562376663</v>
      </c>
      <c r="BU497" s="140">
        <f t="shared" si="527"/>
        <v>999.99</v>
      </c>
      <c r="BV497" s="263">
        <f t="shared" si="510"/>
        <v>1</v>
      </c>
      <c r="BW497" s="140" t="str">
        <f>WORKSHEET_CONSTR!K494</f>
        <v>---</v>
      </c>
      <c r="BX497" s="140">
        <f>WORKSHEET_CONSTR!J494</f>
        <v>1.7523618563862851</v>
      </c>
      <c r="BY497" s="140">
        <f t="shared" si="528"/>
        <v>999.99</v>
      </c>
      <c r="BZ497" s="263">
        <f t="shared" si="511"/>
        <v>1</v>
      </c>
      <c r="CA497" s="271" t="str">
        <f t="shared" si="512"/>
        <v>---</v>
      </c>
      <c r="CB497" s="271">
        <f t="shared" si="513"/>
        <v>4.6112786375966629E-2</v>
      </c>
      <c r="CC497" s="140">
        <f t="shared" si="529"/>
        <v>999.99</v>
      </c>
      <c r="CD497" s="263">
        <f t="shared" si="514"/>
        <v>1</v>
      </c>
      <c r="CE497" s="140" t="str">
        <f>WORKSHEET_CONSTR!N494</f>
        <v>---</v>
      </c>
      <c r="CF497" s="140">
        <f>WORKSHEET_CONSTR!M494</f>
        <v>4.6112786375966629E-2</v>
      </c>
      <c r="CG497" s="140">
        <f t="shared" si="530"/>
        <v>999.99</v>
      </c>
      <c r="CH497" s="263">
        <f t="shared" si="515"/>
        <v>1</v>
      </c>
    </row>
    <row r="498" spans="1:86">
      <c r="A498" s="438" t="str">
        <f t="shared" si="475"/>
        <v>---</v>
      </c>
      <c r="B498" s="294" t="str">
        <f t="shared" si="475"/>
        <v>---</v>
      </c>
      <c r="C498" s="296" t="str">
        <f t="shared" si="476"/>
        <v>---</v>
      </c>
      <c r="D498" s="294" t="str">
        <f t="shared" si="516"/>
        <v>---</v>
      </c>
      <c r="E498" s="294" t="str">
        <f t="shared" si="477"/>
        <v>---</v>
      </c>
      <c r="F498" s="294" t="str">
        <f t="shared" si="478"/>
        <v>---</v>
      </c>
      <c r="G498" s="294" t="str">
        <f t="shared" si="479"/>
        <v>---</v>
      </c>
      <c r="H498" s="291" t="str">
        <f t="shared" si="480"/>
        <v>---</v>
      </c>
      <c r="I498" s="441" t="str">
        <f t="shared" si="481"/>
        <v>---</v>
      </c>
      <c r="J498" s="441" t="str">
        <f t="shared" si="482"/>
        <v>---</v>
      </c>
      <c r="K498" s="294" t="str">
        <f t="shared" si="517"/>
        <v>---</v>
      </c>
      <c r="L498" s="294" t="str">
        <f t="shared" si="483"/>
        <v>---</v>
      </c>
      <c r="M498" s="291" t="str">
        <f t="shared" si="518"/>
        <v>---</v>
      </c>
      <c r="N498" s="294" t="str">
        <f t="shared" si="484"/>
        <v>---</v>
      </c>
      <c r="O498" s="441" t="str">
        <f t="shared" si="485"/>
        <v>---</v>
      </c>
      <c r="AE498" s="140" t="str">
        <f t="shared" si="486"/>
        <v>---</v>
      </c>
      <c r="AF498" s="140" t="str">
        <f t="shared" si="487"/>
        <v>---</v>
      </c>
      <c r="AG498" s="140">
        <f t="shared" si="519"/>
        <v>999.99</v>
      </c>
      <c r="AH498" s="263">
        <f t="shared" si="488"/>
        <v>0</v>
      </c>
      <c r="AI498" s="140" t="str">
        <f>WORKSHEET_CONSTR!G437</f>
        <v>---</v>
      </c>
      <c r="AJ498" s="140" t="str">
        <f>WORKSHEET_CONSTR!F437</f>
        <v>---</v>
      </c>
      <c r="AK498" s="140">
        <f t="shared" si="520"/>
        <v>999.99</v>
      </c>
      <c r="AL498" s="263">
        <f t="shared" si="489"/>
        <v>0</v>
      </c>
      <c r="AM498" s="267" t="str">
        <f t="shared" si="490"/>
        <v>---</v>
      </c>
      <c r="AN498" s="140" t="str">
        <f t="shared" si="491"/>
        <v>---</v>
      </c>
      <c r="AO498" s="140">
        <f t="shared" si="521"/>
        <v>999.99</v>
      </c>
      <c r="AP498" s="263">
        <f t="shared" si="492"/>
        <v>1</v>
      </c>
      <c r="AQ498" s="140" t="str">
        <f>WORKSHEET_CONSTR!Q184</f>
        <v>---</v>
      </c>
      <c r="AR498" s="140" t="str">
        <f>WORKSHEET_CONSTR!E437</f>
        <v>---</v>
      </c>
      <c r="AS498" s="140">
        <f t="shared" si="522"/>
        <v>999.99</v>
      </c>
      <c r="AT498" s="263">
        <f t="shared" si="493"/>
        <v>1</v>
      </c>
      <c r="AU498" s="140" t="str">
        <f t="shared" si="494"/>
        <v>---</v>
      </c>
      <c r="AV498" s="140" t="str">
        <f t="shared" si="495"/>
        <v>---</v>
      </c>
      <c r="AW498" s="140">
        <f t="shared" si="523"/>
        <v>999.99</v>
      </c>
      <c r="AX498" s="263">
        <f t="shared" si="496"/>
        <v>1</v>
      </c>
      <c r="AY498" s="140" t="str">
        <f>WORKSHEET_CONSTR!R184</f>
        <v>---</v>
      </c>
      <c r="AZ498" s="140" t="str">
        <f>WORKSHEET_CONSTR!C437</f>
        <v>---</v>
      </c>
      <c r="BA498" s="140">
        <f t="shared" si="524"/>
        <v>999.99</v>
      </c>
      <c r="BB498" s="263">
        <f t="shared" si="497"/>
        <v>1</v>
      </c>
      <c r="BC498" s="267" t="str">
        <f t="shared" si="498"/>
        <v>---</v>
      </c>
      <c r="BD498" s="140" t="str">
        <f t="shared" si="499"/>
        <v>---</v>
      </c>
      <c r="BE498" s="140">
        <f t="shared" si="500"/>
        <v>999.99</v>
      </c>
      <c r="BF498" s="263">
        <f t="shared" si="501"/>
        <v>0</v>
      </c>
      <c r="BG498" s="140" t="str">
        <f>WORKSHEET_CONSTR!D495</f>
        <v>---</v>
      </c>
      <c r="BH498" s="140" t="str">
        <f>WORKSHEET_CONSTR!C495</f>
        <v>---</v>
      </c>
      <c r="BI498" s="140">
        <f t="shared" si="502"/>
        <v>999.99</v>
      </c>
      <c r="BJ498" s="263">
        <f t="shared" si="503"/>
        <v>0</v>
      </c>
      <c r="BK498" s="140" t="str">
        <f t="shared" si="504"/>
        <v>---</v>
      </c>
      <c r="BL498" s="140" t="str">
        <f t="shared" si="505"/>
        <v>---</v>
      </c>
      <c r="BM498" s="140">
        <f t="shared" si="525"/>
        <v>999.99</v>
      </c>
      <c r="BN498" s="263">
        <f t="shared" si="506"/>
        <v>1</v>
      </c>
      <c r="BO498" s="140" t="str">
        <f>WORKSHEET_CONSTR!H495</f>
        <v>---</v>
      </c>
      <c r="BP498" s="140" t="str">
        <f>WORKSHEET_CONSTR!F495</f>
        <v>---</v>
      </c>
      <c r="BQ498" s="140">
        <f t="shared" si="526"/>
        <v>999.99</v>
      </c>
      <c r="BR498" s="263">
        <f t="shared" si="507"/>
        <v>1</v>
      </c>
      <c r="BS498" s="267" t="str">
        <f t="shared" si="508"/>
        <v>---</v>
      </c>
      <c r="BT498" s="210" t="str">
        <f t="shared" si="509"/>
        <v>---</v>
      </c>
      <c r="BU498" s="140">
        <f t="shared" si="527"/>
        <v>999.99</v>
      </c>
      <c r="BV498" s="263">
        <f t="shared" si="510"/>
        <v>1</v>
      </c>
      <c r="BW498" s="140" t="str">
        <f>WORKSHEET_CONSTR!K495</f>
        <v>---</v>
      </c>
      <c r="BX498" s="140" t="str">
        <f>WORKSHEET_CONSTR!J495</f>
        <v>---</v>
      </c>
      <c r="BY498" s="140">
        <f t="shared" si="528"/>
        <v>999.99</v>
      </c>
      <c r="BZ498" s="263">
        <f t="shared" si="511"/>
        <v>1</v>
      </c>
      <c r="CA498" s="271" t="str">
        <f t="shared" si="512"/>
        <v>---</v>
      </c>
      <c r="CB498" s="271" t="str">
        <f t="shared" si="513"/>
        <v>---</v>
      </c>
      <c r="CC498" s="140">
        <f t="shared" si="529"/>
        <v>999.99</v>
      </c>
      <c r="CD498" s="263">
        <f t="shared" si="514"/>
        <v>1</v>
      </c>
      <c r="CE498" s="140" t="str">
        <f>WORKSHEET_CONSTR!N495</f>
        <v>---</v>
      </c>
      <c r="CF498" s="140" t="str">
        <f>WORKSHEET_CONSTR!M495</f>
        <v>---</v>
      </c>
      <c r="CG498" s="140">
        <f t="shared" si="530"/>
        <v>999.99</v>
      </c>
      <c r="CH498" s="263">
        <f t="shared" si="515"/>
        <v>1</v>
      </c>
    </row>
    <row r="499" spans="1:86">
      <c r="A499" s="438" t="str">
        <f t="shared" si="475"/>
        <v>---</v>
      </c>
      <c r="B499" s="294" t="str">
        <f t="shared" si="475"/>
        <v>---</v>
      </c>
      <c r="C499" s="296" t="str">
        <f t="shared" si="476"/>
        <v>---</v>
      </c>
      <c r="D499" s="294" t="str">
        <f t="shared" si="516"/>
        <v>---</v>
      </c>
      <c r="E499" s="294" t="str">
        <f t="shared" si="477"/>
        <v>---</v>
      </c>
      <c r="F499" s="294" t="str">
        <f t="shared" si="478"/>
        <v>---</v>
      </c>
      <c r="G499" s="294" t="str">
        <f t="shared" si="479"/>
        <v>---</v>
      </c>
      <c r="H499" s="291" t="str">
        <f t="shared" si="480"/>
        <v>---</v>
      </c>
      <c r="I499" s="441" t="str">
        <f t="shared" si="481"/>
        <v>---</v>
      </c>
      <c r="J499" s="441" t="str">
        <f t="shared" si="482"/>
        <v>---</v>
      </c>
      <c r="K499" s="294" t="str">
        <f t="shared" si="517"/>
        <v>---</v>
      </c>
      <c r="L499" s="294" t="str">
        <f t="shared" si="483"/>
        <v>---</v>
      </c>
      <c r="M499" s="291" t="str">
        <f t="shared" si="518"/>
        <v>---</v>
      </c>
      <c r="N499" s="294" t="str">
        <f t="shared" si="484"/>
        <v>---</v>
      </c>
      <c r="O499" s="441" t="str">
        <f t="shared" si="485"/>
        <v>---</v>
      </c>
      <c r="AE499" s="140" t="str">
        <f t="shared" si="486"/>
        <v>---</v>
      </c>
      <c r="AF499" s="140" t="str">
        <f t="shared" si="487"/>
        <v>---</v>
      </c>
      <c r="AG499" s="140">
        <f t="shared" si="519"/>
        <v>999.99</v>
      </c>
      <c r="AH499" s="263">
        <f t="shared" si="488"/>
        <v>0</v>
      </c>
      <c r="AI499" s="140" t="str">
        <f>WORKSHEET_CONSTR!G438</f>
        <v>---</v>
      </c>
      <c r="AJ499" s="140" t="str">
        <f>WORKSHEET_CONSTR!F438</f>
        <v>---</v>
      </c>
      <c r="AK499" s="140">
        <f t="shared" si="520"/>
        <v>999.99</v>
      </c>
      <c r="AL499" s="263">
        <f t="shared" si="489"/>
        <v>0</v>
      </c>
      <c r="AM499" s="267" t="str">
        <f t="shared" si="490"/>
        <v>---</v>
      </c>
      <c r="AN499" s="140" t="str">
        <f t="shared" si="491"/>
        <v>---</v>
      </c>
      <c r="AO499" s="140">
        <f t="shared" si="521"/>
        <v>999.99</v>
      </c>
      <c r="AP499" s="263">
        <f t="shared" si="492"/>
        <v>1</v>
      </c>
      <c r="AQ499" s="140" t="str">
        <f>WORKSHEET_CONSTR!Q185</f>
        <v>---</v>
      </c>
      <c r="AR499" s="140" t="str">
        <f>WORKSHEET_CONSTR!E438</f>
        <v>---</v>
      </c>
      <c r="AS499" s="140">
        <f t="shared" si="522"/>
        <v>999.99</v>
      </c>
      <c r="AT499" s="263">
        <f t="shared" si="493"/>
        <v>1</v>
      </c>
      <c r="AU499" s="140" t="str">
        <f t="shared" si="494"/>
        <v>---</v>
      </c>
      <c r="AV499" s="140" t="str">
        <f t="shared" si="495"/>
        <v>---</v>
      </c>
      <c r="AW499" s="140">
        <f t="shared" si="523"/>
        <v>999.99</v>
      </c>
      <c r="AX499" s="263">
        <f t="shared" si="496"/>
        <v>1</v>
      </c>
      <c r="AY499" s="140" t="str">
        <f>WORKSHEET_CONSTR!R185</f>
        <v>---</v>
      </c>
      <c r="AZ499" s="140" t="str">
        <f>WORKSHEET_CONSTR!C438</f>
        <v>---</v>
      </c>
      <c r="BA499" s="140">
        <f t="shared" si="524"/>
        <v>999.99</v>
      </c>
      <c r="BB499" s="263">
        <f t="shared" si="497"/>
        <v>1</v>
      </c>
      <c r="BC499" s="267" t="str">
        <f t="shared" si="498"/>
        <v>---</v>
      </c>
      <c r="BD499" s="140" t="str">
        <f t="shared" si="499"/>
        <v>---</v>
      </c>
      <c r="BE499" s="140">
        <f t="shared" si="500"/>
        <v>999.99</v>
      </c>
      <c r="BF499" s="263">
        <f t="shared" si="501"/>
        <v>0</v>
      </c>
      <c r="BG499" s="140" t="str">
        <f>WORKSHEET_CONSTR!D496</f>
        <v>---</v>
      </c>
      <c r="BH499" s="140" t="str">
        <f>WORKSHEET_CONSTR!C496</f>
        <v>---</v>
      </c>
      <c r="BI499" s="140">
        <f t="shared" si="502"/>
        <v>999.99</v>
      </c>
      <c r="BJ499" s="263">
        <f t="shared" si="503"/>
        <v>0</v>
      </c>
      <c r="BK499" s="140" t="str">
        <f t="shared" si="504"/>
        <v>---</v>
      </c>
      <c r="BL499" s="140" t="str">
        <f t="shared" si="505"/>
        <v>---</v>
      </c>
      <c r="BM499" s="140">
        <f t="shared" si="525"/>
        <v>999.99</v>
      </c>
      <c r="BN499" s="263">
        <f t="shared" si="506"/>
        <v>1</v>
      </c>
      <c r="BO499" s="140" t="str">
        <f>WORKSHEET_CONSTR!H496</f>
        <v>---</v>
      </c>
      <c r="BP499" s="140" t="str">
        <f>WORKSHEET_CONSTR!F496</f>
        <v>---</v>
      </c>
      <c r="BQ499" s="140">
        <f t="shared" si="526"/>
        <v>999.99</v>
      </c>
      <c r="BR499" s="263">
        <f t="shared" si="507"/>
        <v>1</v>
      </c>
      <c r="BS499" s="267" t="str">
        <f t="shared" si="508"/>
        <v>---</v>
      </c>
      <c r="BT499" s="210" t="str">
        <f t="shared" si="509"/>
        <v>---</v>
      </c>
      <c r="BU499" s="140">
        <f t="shared" si="527"/>
        <v>999.99</v>
      </c>
      <c r="BV499" s="263">
        <f t="shared" si="510"/>
        <v>1</v>
      </c>
      <c r="BW499" s="140" t="str">
        <f>WORKSHEET_CONSTR!K496</f>
        <v>---</v>
      </c>
      <c r="BX499" s="140" t="str">
        <f>WORKSHEET_CONSTR!J496</f>
        <v>---</v>
      </c>
      <c r="BY499" s="140">
        <f t="shared" si="528"/>
        <v>999.99</v>
      </c>
      <c r="BZ499" s="263">
        <f t="shared" si="511"/>
        <v>1</v>
      </c>
      <c r="CA499" s="271" t="str">
        <f t="shared" si="512"/>
        <v>---</v>
      </c>
      <c r="CB499" s="271" t="str">
        <f t="shared" si="513"/>
        <v>---</v>
      </c>
      <c r="CC499" s="140">
        <f t="shared" si="529"/>
        <v>999.99</v>
      </c>
      <c r="CD499" s="263">
        <f t="shared" si="514"/>
        <v>1</v>
      </c>
      <c r="CE499" s="140" t="str">
        <f>WORKSHEET_CONSTR!N496</f>
        <v>---</v>
      </c>
      <c r="CF499" s="140" t="str">
        <f>WORKSHEET_CONSTR!M496</f>
        <v>---</v>
      </c>
      <c r="CG499" s="140">
        <f t="shared" si="530"/>
        <v>999.99</v>
      </c>
      <c r="CH499" s="263">
        <f t="shared" si="515"/>
        <v>1</v>
      </c>
    </row>
    <row r="500" spans="1:86">
      <c r="A500" s="438" t="str">
        <f t="shared" si="475"/>
        <v>---</v>
      </c>
      <c r="B500" s="294" t="str">
        <f t="shared" si="475"/>
        <v>---</v>
      </c>
      <c r="C500" s="296" t="str">
        <f t="shared" si="476"/>
        <v>---</v>
      </c>
      <c r="D500" s="294" t="str">
        <f t="shared" si="516"/>
        <v>---</v>
      </c>
      <c r="E500" s="294" t="str">
        <f t="shared" si="477"/>
        <v>---</v>
      </c>
      <c r="F500" s="294" t="str">
        <f t="shared" si="478"/>
        <v>---</v>
      </c>
      <c r="G500" s="294" t="str">
        <f t="shared" si="479"/>
        <v>---</v>
      </c>
      <c r="H500" s="291" t="str">
        <f t="shared" si="480"/>
        <v>---</v>
      </c>
      <c r="I500" s="441" t="str">
        <f t="shared" si="481"/>
        <v>---</v>
      </c>
      <c r="J500" s="441" t="str">
        <f t="shared" si="482"/>
        <v>---</v>
      </c>
      <c r="K500" s="294" t="str">
        <f t="shared" si="517"/>
        <v>---</v>
      </c>
      <c r="L500" s="294" t="str">
        <f t="shared" si="483"/>
        <v>---</v>
      </c>
      <c r="M500" s="291" t="str">
        <f t="shared" si="518"/>
        <v>---</v>
      </c>
      <c r="N500" s="294" t="str">
        <f t="shared" si="484"/>
        <v>---</v>
      </c>
      <c r="O500" s="441" t="str">
        <f t="shared" si="485"/>
        <v>---</v>
      </c>
      <c r="AE500" s="140" t="str">
        <f t="shared" si="486"/>
        <v>---</v>
      </c>
      <c r="AF500" s="140" t="str">
        <f t="shared" si="487"/>
        <v>---</v>
      </c>
      <c r="AG500" s="140">
        <f t="shared" si="519"/>
        <v>999.99</v>
      </c>
      <c r="AH500" s="263">
        <f t="shared" si="488"/>
        <v>0</v>
      </c>
      <c r="AI500" s="140" t="str">
        <f>WORKSHEET_CONSTR!G439</f>
        <v>---</v>
      </c>
      <c r="AJ500" s="140" t="str">
        <f>WORKSHEET_CONSTR!F439</f>
        <v>---</v>
      </c>
      <c r="AK500" s="140">
        <f t="shared" si="520"/>
        <v>999.99</v>
      </c>
      <c r="AL500" s="263">
        <f t="shared" si="489"/>
        <v>0</v>
      </c>
      <c r="AM500" s="267" t="str">
        <f t="shared" si="490"/>
        <v>---</v>
      </c>
      <c r="AN500" s="140" t="str">
        <f t="shared" si="491"/>
        <v>---</v>
      </c>
      <c r="AO500" s="140">
        <f t="shared" si="521"/>
        <v>999.99</v>
      </c>
      <c r="AP500" s="263">
        <f t="shared" si="492"/>
        <v>1</v>
      </c>
      <c r="AQ500" s="140" t="str">
        <f>WORKSHEET_CONSTR!Q186</f>
        <v>---</v>
      </c>
      <c r="AR500" s="140" t="str">
        <f>WORKSHEET_CONSTR!E439</f>
        <v>---</v>
      </c>
      <c r="AS500" s="140">
        <f t="shared" si="522"/>
        <v>999.99</v>
      </c>
      <c r="AT500" s="263">
        <f t="shared" si="493"/>
        <v>1</v>
      </c>
      <c r="AU500" s="140" t="str">
        <f t="shared" si="494"/>
        <v>---</v>
      </c>
      <c r="AV500" s="140" t="str">
        <f t="shared" si="495"/>
        <v>---</v>
      </c>
      <c r="AW500" s="140">
        <f t="shared" si="523"/>
        <v>999.99</v>
      </c>
      <c r="AX500" s="263">
        <f t="shared" si="496"/>
        <v>1</v>
      </c>
      <c r="AY500" s="140" t="str">
        <f>WORKSHEET_CONSTR!R186</f>
        <v>---</v>
      </c>
      <c r="AZ500" s="140" t="str">
        <f>WORKSHEET_CONSTR!C439</f>
        <v>---</v>
      </c>
      <c r="BA500" s="140">
        <f t="shared" si="524"/>
        <v>999.99</v>
      </c>
      <c r="BB500" s="263">
        <f t="shared" si="497"/>
        <v>1</v>
      </c>
      <c r="BC500" s="267" t="str">
        <f t="shared" si="498"/>
        <v>---</v>
      </c>
      <c r="BD500" s="140" t="str">
        <f t="shared" si="499"/>
        <v>---</v>
      </c>
      <c r="BE500" s="140">
        <f t="shared" si="500"/>
        <v>999.99</v>
      </c>
      <c r="BF500" s="263">
        <f t="shared" si="501"/>
        <v>0</v>
      </c>
      <c r="BG500" s="140" t="str">
        <f>WORKSHEET_CONSTR!D497</f>
        <v>---</v>
      </c>
      <c r="BH500" s="140" t="str">
        <f>WORKSHEET_CONSTR!C497</f>
        <v>---</v>
      </c>
      <c r="BI500" s="140">
        <f t="shared" si="502"/>
        <v>999.99</v>
      </c>
      <c r="BJ500" s="263">
        <f t="shared" si="503"/>
        <v>0</v>
      </c>
      <c r="BK500" s="140" t="str">
        <f t="shared" si="504"/>
        <v>---</v>
      </c>
      <c r="BL500" s="140" t="str">
        <f t="shared" si="505"/>
        <v>---</v>
      </c>
      <c r="BM500" s="140">
        <f t="shared" si="525"/>
        <v>999.99</v>
      </c>
      <c r="BN500" s="263">
        <f t="shared" si="506"/>
        <v>1</v>
      </c>
      <c r="BO500" s="140" t="str">
        <f>WORKSHEET_CONSTR!H497</f>
        <v>---</v>
      </c>
      <c r="BP500" s="140" t="str">
        <f>WORKSHEET_CONSTR!F497</f>
        <v>---</v>
      </c>
      <c r="BQ500" s="140">
        <f t="shared" si="526"/>
        <v>999.99</v>
      </c>
      <c r="BR500" s="263">
        <f t="shared" si="507"/>
        <v>1</v>
      </c>
      <c r="BS500" s="267" t="str">
        <f t="shared" si="508"/>
        <v>---</v>
      </c>
      <c r="BT500" s="210" t="str">
        <f t="shared" si="509"/>
        <v>---</v>
      </c>
      <c r="BU500" s="140">
        <f t="shared" si="527"/>
        <v>999.99</v>
      </c>
      <c r="BV500" s="263">
        <f t="shared" si="510"/>
        <v>1</v>
      </c>
      <c r="BW500" s="140" t="str">
        <f>WORKSHEET_CONSTR!K497</f>
        <v>---</v>
      </c>
      <c r="BX500" s="140" t="str">
        <f>WORKSHEET_CONSTR!J497</f>
        <v>---</v>
      </c>
      <c r="BY500" s="140">
        <f t="shared" si="528"/>
        <v>999.99</v>
      </c>
      <c r="BZ500" s="263">
        <f t="shared" si="511"/>
        <v>1</v>
      </c>
      <c r="CA500" s="271" t="str">
        <f t="shared" si="512"/>
        <v>---</v>
      </c>
      <c r="CB500" s="271" t="str">
        <f t="shared" si="513"/>
        <v>---</v>
      </c>
      <c r="CC500" s="140">
        <f t="shared" si="529"/>
        <v>999.99</v>
      </c>
      <c r="CD500" s="263">
        <f t="shared" si="514"/>
        <v>1</v>
      </c>
      <c r="CE500" s="140" t="str">
        <f>WORKSHEET_CONSTR!N497</f>
        <v>---</v>
      </c>
      <c r="CF500" s="140" t="str">
        <f>WORKSHEET_CONSTR!M497</f>
        <v>---</v>
      </c>
      <c r="CG500" s="140">
        <f t="shared" si="530"/>
        <v>999.99</v>
      </c>
      <c r="CH500" s="263">
        <f t="shared" si="515"/>
        <v>1</v>
      </c>
    </row>
    <row r="501" spans="1:86">
      <c r="A501" s="438" t="str">
        <f t="shared" si="475"/>
        <v>---</v>
      </c>
      <c r="B501" s="294" t="str">
        <f t="shared" si="475"/>
        <v>---</v>
      </c>
      <c r="C501" s="296" t="str">
        <f t="shared" si="476"/>
        <v>---</v>
      </c>
      <c r="D501" s="294" t="str">
        <f t="shared" si="516"/>
        <v>---</v>
      </c>
      <c r="E501" s="294" t="str">
        <f t="shared" si="477"/>
        <v>---</v>
      </c>
      <c r="F501" s="294" t="str">
        <f t="shared" si="478"/>
        <v>---</v>
      </c>
      <c r="G501" s="294" t="str">
        <f t="shared" si="479"/>
        <v>---</v>
      </c>
      <c r="H501" s="291" t="str">
        <f t="shared" si="480"/>
        <v>---</v>
      </c>
      <c r="I501" s="441" t="str">
        <f t="shared" si="481"/>
        <v>---</v>
      </c>
      <c r="J501" s="441" t="str">
        <f t="shared" si="482"/>
        <v>---</v>
      </c>
      <c r="K501" s="294" t="str">
        <f t="shared" si="517"/>
        <v>---</v>
      </c>
      <c r="L501" s="294" t="str">
        <f t="shared" si="483"/>
        <v>---</v>
      </c>
      <c r="M501" s="291" t="str">
        <f t="shared" si="518"/>
        <v>---</v>
      </c>
      <c r="N501" s="294" t="str">
        <f t="shared" si="484"/>
        <v>---</v>
      </c>
      <c r="O501" s="441" t="str">
        <f t="shared" si="485"/>
        <v>---</v>
      </c>
      <c r="AE501" s="140" t="str">
        <f t="shared" si="486"/>
        <v>---</v>
      </c>
      <c r="AF501" s="140" t="str">
        <f t="shared" si="487"/>
        <v>---</v>
      </c>
      <c r="AG501" s="140">
        <f t="shared" si="519"/>
        <v>999.99</v>
      </c>
      <c r="AH501" s="263">
        <f t="shared" si="488"/>
        <v>0</v>
      </c>
      <c r="AI501" s="140" t="str">
        <f>WORKSHEET_CONSTR!G440</f>
        <v>---</v>
      </c>
      <c r="AJ501" s="140" t="str">
        <f>WORKSHEET_CONSTR!F440</f>
        <v>---</v>
      </c>
      <c r="AK501" s="140">
        <f t="shared" si="520"/>
        <v>999.99</v>
      </c>
      <c r="AL501" s="263">
        <f t="shared" si="489"/>
        <v>0</v>
      </c>
      <c r="AM501" s="267" t="str">
        <f t="shared" si="490"/>
        <v>---</v>
      </c>
      <c r="AN501" s="140" t="str">
        <f t="shared" si="491"/>
        <v>---</v>
      </c>
      <c r="AO501" s="140">
        <f t="shared" si="521"/>
        <v>999.99</v>
      </c>
      <c r="AP501" s="263">
        <f t="shared" si="492"/>
        <v>1</v>
      </c>
      <c r="AQ501" s="140" t="str">
        <f>WORKSHEET_CONSTR!Q187</f>
        <v>---</v>
      </c>
      <c r="AR501" s="140" t="str">
        <f>WORKSHEET_CONSTR!E440</f>
        <v>---</v>
      </c>
      <c r="AS501" s="140">
        <f t="shared" si="522"/>
        <v>999.99</v>
      </c>
      <c r="AT501" s="263">
        <f t="shared" si="493"/>
        <v>1</v>
      </c>
      <c r="AU501" s="140" t="str">
        <f t="shared" si="494"/>
        <v>---</v>
      </c>
      <c r="AV501" s="140" t="str">
        <f t="shared" si="495"/>
        <v>---</v>
      </c>
      <c r="AW501" s="140">
        <f t="shared" si="523"/>
        <v>999.99</v>
      </c>
      <c r="AX501" s="263">
        <f t="shared" si="496"/>
        <v>1</v>
      </c>
      <c r="AY501" s="140" t="str">
        <f>WORKSHEET_CONSTR!R187</f>
        <v>---</v>
      </c>
      <c r="AZ501" s="140" t="str">
        <f>WORKSHEET_CONSTR!C440</f>
        <v>---</v>
      </c>
      <c r="BA501" s="140">
        <f t="shared" si="524"/>
        <v>999.99</v>
      </c>
      <c r="BB501" s="263">
        <f t="shared" si="497"/>
        <v>1</v>
      </c>
      <c r="BC501" s="267" t="str">
        <f t="shared" si="498"/>
        <v>---</v>
      </c>
      <c r="BD501" s="140" t="str">
        <f t="shared" si="499"/>
        <v>---</v>
      </c>
      <c r="BE501" s="140">
        <f t="shared" si="500"/>
        <v>999.99</v>
      </c>
      <c r="BF501" s="263">
        <f t="shared" si="501"/>
        <v>0</v>
      </c>
      <c r="BG501" s="140" t="str">
        <f>WORKSHEET_CONSTR!D498</f>
        <v>---</v>
      </c>
      <c r="BH501" s="140" t="str">
        <f>WORKSHEET_CONSTR!C498</f>
        <v>---</v>
      </c>
      <c r="BI501" s="140">
        <f t="shared" si="502"/>
        <v>999.99</v>
      </c>
      <c r="BJ501" s="263">
        <f t="shared" si="503"/>
        <v>0</v>
      </c>
      <c r="BK501" s="140" t="str">
        <f t="shared" si="504"/>
        <v>---</v>
      </c>
      <c r="BL501" s="140" t="str">
        <f t="shared" si="505"/>
        <v>---</v>
      </c>
      <c r="BM501" s="140">
        <f t="shared" si="525"/>
        <v>999.99</v>
      </c>
      <c r="BN501" s="263">
        <f t="shared" si="506"/>
        <v>1</v>
      </c>
      <c r="BO501" s="140" t="str">
        <f>WORKSHEET_CONSTR!H498</f>
        <v>---</v>
      </c>
      <c r="BP501" s="140" t="str">
        <f>WORKSHEET_CONSTR!F498</f>
        <v>---</v>
      </c>
      <c r="BQ501" s="140">
        <f t="shared" si="526"/>
        <v>999.99</v>
      </c>
      <c r="BR501" s="263">
        <f t="shared" si="507"/>
        <v>1</v>
      </c>
      <c r="BS501" s="267" t="str">
        <f t="shared" si="508"/>
        <v>---</v>
      </c>
      <c r="BT501" s="210" t="str">
        <f t="shared" si="509"/>
        <v>---</v>
      </c>
      <c r="BU501" s="140">
        <f t="shared" si="527"/>
        <v>999.99</v>
      </c>
      <c r="BV501" s="263">
        <f t="shared" si="510"/>
        <v>1</v>
      </c>
      <c r="BW501" s="140" t="str">
        <f>WORKSHEET_CONSTR!K498</f>
        <v>---</v>
      </c>
      <c r="BX501" s="140" t="str">
        <f>WORKSHEET_CONSTR!J498</f>
        <v>---</v>
      </c>
      <c r="BY501" s="140">
        <f t="shared" si="528"/>
        <v>999.99</v>
      </c>
      <c r="BZ501" s="263">
        <f t="shared" si="511"/>
        <v>1</v>
      </c>
      <c r="CA501" s="271" t="str">
        <f t="shared" si="512"/>
        <v>---</v>
      </c>
      <c r="CB501" s="271" t="str">
        <f t="shared" si="513"/>
        <v>---</v>
      </c>
      <c r="CC501" s="140">
        <f t="shared" si="529"/>
        <v>999.99</v>
      </c>
      <c r="CD501" s="263">
        <f t="shared" si="514"/>
        <v>1</v>
      </c>
      <c r="CE501" s="140" t="str">
        <f>WORKSHEET_CONSTR!N498</f>
        <v>---</v>
      </c>
      <c r="CF501" s="140" t="str">
        <f>WORKSHEET_CONSTR!M498</f>
        <v>---</v>
      </c>
      <c r="CG501" s="140">
        <f t="shared" si="530"/>
        <v>999.99</v>
      </c>
      <c r="CH501" s="263">
        <f t="shared" si="515"/>
        <v>1</v>
      </c>
    </row>
    <row r="502" spans="1:86">
      <c r="A502" s="438" t="str">
        <f t="shared" si="475"/>
        <v>---</v>
      </c>
      <c r="B502" s="294" t="str">
        <f t="shared" si="475"/>
        <v>---</v>
      </c>
      <c r="C502" s="296" t="str">
        <f t="shared" si="476"/>
        <v>---</v>
      </c>
      <c r="D502" s="294" t="str">
        <f t="shared" si="516"/>
        <v>---</v>
      </c>
      <c r="E502" s="294" t="str">
        <f t="shared" si="477"/>
        <v>---</v>
      </c>
      <c r="F502" s="294" t="str">
        <f t="shared" si="478"/>
        <v>---</v>
      </c>
      <c r="G502" s="294" t="str">
        <f t="shared" si="479"/>
        <v>---</v>
      </c>
      <c r="H502" s="291" t="str">
        <f t="shared" si="480"/>
        <v>---</v>
      </c>
      <c r="I502" s="441" t="str">
        <f t="shared" si="481"/>
        <v>---</v>
      </c>
      <c r="J502" s="441" t="str">
        <f t="shared" si="482"/>
        <v>---</v>
      </c>
      <c r="K502" s="294" t="str">
        <f t="shared" si="517"/>
        <v>---</v>
      </c>
      <c r="L502" s="294" t="str">
        <f t="shared" si="483"/>
        <v>---</v>
      </c>
      <c r="M502" s="291" t="str">
        <f t="shared" si="518"/>
        <v>---</v>
      </c>
      <c r="N502" s="294" t="str">
        <f t="shared" si="484"/>
        <v>---</v>
      </c>
      <c r="O502" s="441" t="str">
        <f t="shared" si="485"/>
        <v>---</v>
      </c>
      <c r="AE502" s="140" t="str">
        <f t="shared" si="486"/>
        <v>---</v>
      </c>
      <c r="AF502" s="140" t="str">
        <f t="shared" si="487"/>
        <v>---</v>
      </c>
      <c r="AG502" s="140">
        <f t="shared" si="519"/>
        <v>999.99</v>
      </c>
      <c r="AH502" s="263">
        <f t="shared" si="488"/>
        <v>0</v>
      </c>
      <c r="AI502" s="140" t="str">
        <f>WORKSHEET_CONSTR!G441</f>
        <v>---</v>
      </c>
      <c r="AJ502" s="140" t="str">
        <f>WORKSHEET_CONSTR!F441</f>
        <v>---</v>
      </c>
      <c r="AK502" s="140">
        <f t="shared" si="520"/>
        <v>999.99</v>
      </c>
      <c r="AL502" s="263">
        <f t="shared" si="489"/>
        <v>0</v>
      </c>
      <c r="AM502" s="267" t="str">
        <f t="shared" si="490"/>
        <v>---</v>
      </c>
      <c r="AN502" s="140" t="str">
        <f t="shared" si="491"/>
        <v>---</v>
      </c>
      <c r="AO502" s="140">
        <f t="shared" si="521"/>
        <v>999.99</v>
      </c>
      <c r="AP502" s="263">
        <f t="shared" si="492"/>
        <v>1</v>
      </c>
      <c r="AQ502" s="140" t="str">
        <f>WORKSHEET_CONSTR!Q188</f>
        <v>---</v>
      </c>
      <c r="AR502" s="140" t="str">
        <f>WORKSHEET_CONSTR!E441</f>
        <v>---</v>
      </c>
      <c r="AS502" s="140">
        <f t="shared" si="522"/>
        <v>999.99</v>
      </c>
      <c r="AT502" s="263">
        <f t="shared" si="493"/>
        <v>1</v>
      </c>
      <c r="AU502" s="140" t="str">
        <f t="shared" si="494"/>
        <v>---</v>
      </c>
      <c r="AV502" s="140" t="str">
        <f t="shared" si="495"/>
        <v>---</v>
      </c>
      <c r="AW502" s="140">
        <f t="shared" si="523"/>
        <v>999.99</v>
      </c>
      <c r="AX502" s="263">
        <f t="shared" si="496"/>
        <v>1</v>
      </c>
      <c r="AY502" s="140" t="str">
        <f>WORKSHEET_CONSTR!R188</f>
        <v>---</v>
      </c>
      <c r="AZ502" s="140" t="str">
        <f>WORKSHEET_CONSTR!C441</f>
        <v>---</v>
      </c>
      <c r="BA502" s="140">
        <f t="shared" si="524"/>
        <v>999.99</v>
      </c>
      <c r="BB502" s="263">
        <f t="shared" si="497"/>
        <v>1</v>
      </c>
      <c r="BC502" s="267" t="str">
        <f t="shared" si="498"/>
        <v>---</v>
      </c>
      <c r="BD502" s="140" t="str">
        <f t="shared" si="499"/>
        <v>---</v>
      </c>
      <c r="BE502" s="140">
        <f t="shared" si="500"/>
        <v>999.99</v>
      </c>
      <c r="BF502" s="263">
        <f t="shared" si="501"/>
        <v>0</v>
      </c>
      <c r="BG502" s="140" t="str">
        <f>WORKSHEET_CONSTR!D499</f>
        <v>---</v>
      </c>
      <c r="BH502" s="140" t="str">
        <f>WORKSHEET_CONSTR!C499</f>
        <v>---</v>
      </c>
      <c r="BI502" s="140">
        <f t="shared" si="502"/>
        <v>999.99</v>
      </c>
      <c r="BJ502" s="263">
        <f t="shared" si="503"/>
        <v>0</v>
      </c>
      <c r="BK502" s="140" t="str">
        <f t="shared" si="504"/>
        <v>---</v>
      </c>
      <c r="BL502" s="140" t="str">
        <f t="shared" si="505"/>
        <v>---</v>
      </c>
      <c r="BM502" s="140">
        <f t="shared" si="525"/>
        <v>999.99</v>
      </c>
      <c r="BN502" s="263">
        <f t="shared" si="506"/>
        <v>1</v>
      </c>
      <c r="BO502" s="140" t="str">
        <f>WORKSHEET_CONSTR!H499</f>
        <v>---</v>
      </c>
      <c r="BP502" s="140" t="str">
        <f>WORKSHEET_CONSTR!F499</f>
        <v>---</v>
      </c>
      <c r="BQ502" s="140">
        <f t="shared" si="526"/>
        <v>999.99</v>
      </c>
      <c r="BR502" s="263">
        <f t="shared" si="507"/>
        <v>1</v>
      </c>
      <c r="BS502" s="267" t="str">
        <f t="shared" si="508"/>
        <v>---</v>
      </c>
      <c r="BT502" s="210" t="str">
        <f t="shared" si="509"/>
        <v>---</v>
      </c>
      <c r="BU502" s="140">
        <f t="shared" si="527"/>
        <v>999.99</v>
      </c>
      <c r="BV502" s="263">
        <f t="shared" si="510"/>
        <v>1</v>
      </c>
      <c r="BW502" s="140" t="str">
        <f>WORKSHEET_CONSTR!K499</f>
        <v>---</v>
      </c>
      <c r="BX502" s="140" t="str">
        <f>WORKSHEET_CONSTR!J499</f>
        <v>---</v>
      </c>
      <c r="BY502" s="140">
        <f t="shared" si="528"/>
        <v>999.99</v>
      </c>
      <c r="BZ502" s="263">
        <f t="shared" si="511"/>
        <v>1</v>
      </c>
      <c r="CA502" s="271" t="str">
        <f t="shared" si="512"/>
        <v>---</v>
      </c>
      <c r="CB502" s="271" t="str">
        <f t="shared" si="513"/>
        <v>---</v>
      </c>
      <c r="CC502" s="140">
        <f t="shared" si="529"/>
        <v>999.99</v>
      </c>
      <c r="CD502" s="263">
        <f t="shared" si="514"/>
        <v>1</v>
      </c>
      <c r="CE502" s="140" t="str">
        <f>WORKSHEET_CONSTR!N499</f>
        <v>---</v>
      </c>
      <c r="CF502" s="140" t="str">
        <f>WORKSHEET_CONSTR!M499</f>
        <v>---</v>
      </c>
      <c r="CG502" s="140">
        <f t="shared" si="530"/>
        <v>999.99</v>
      </c>
      <c r="CH502" s="263">
        <f t="shared" si="515"/>
        <v>1</v>
      </c>
    </row>
    <row r="503" spans="1:86">
      <c r="A503" s="438" t="str">
        <f t="shared" si="475"/>
        <v>---</v>
      </c>
      <c r="B503" s="294" t="str">
        <f t="shared" si="475"/>
        <v>---</v>
      </c>
      <c r="C503" s="296" t="str">
        <f t="shared" si="476"/>
        <v>---</v>
      </c>
      <c r="D503" s="294" t="str">
        <f t="shared" si="516"/>
        <v>---</v>
      </c>
      <c r="E503" s="294" t="str">
        <f t="shared" si="477"/>
        <v>---</v>
      </c>
      <c r="F503" s="294" t="str">
        <f t="shared" si="478"/>
        <v>---</v>
      </c>
      <c r="G503" s="294" t="str">
        <f t="shared" si="479"/>
        <v>---</v>
      </c>
      <c r="H503" s="291" t="str">
        <f t="shared" si="480"/>
        <v>---</v>
      </c>
      <c r="I503" s="441" t="str">
        <f t="shared" si="481"/>
        <v>---</v>
      </c>
      <c r="J503" s="441" t="str">
        <f t="shared" si="482"/>
        <v>---</v>
      </c>
      <c r="K503" s="294" t="str">
        <f t="shared" si="517"/>
        <v>---</v>
      </c>
      <c r="L503" s="294" t="str">
        <f t="shared" si="483"/>
        <v>---</v>
      </c>
      <c r="M503" s="291" t="str">
        <f t="shared" si="518"/>
        <v>---</v>
      </c>
      <c r="N503" s="294" t="str">
        <f t="shared" si="484"/>
        <v>---</v>
      </c>
      <c r="O503" s="441" t="str">
        <f t="shared" si="485"/>
        <v>---</v>
      </c>
      <c r="AE503" s="140" t="str">
        <f t="shared" si="486"/>
        <v>---</v>
      </c>
      <c r="AF503" s="140" t="str">
        <f t="shared" si="487"/>
        <v>---</v>
      </c>
      <c r="AG503" s="140">
        <f t="shared" si="519"/>
        <v>999.99</v>
      </c>
      <c r="AH503" s="263">
        <f t="shared" si="488"/>
        <v>0</v>
      </c>
      <c r="AI503" s="140" t="str">
        <f>WORKSHEET_CONSTR!G442</f>
        <v>---</v>
      </c>
      <c r="AJ503" s="140" t="str">
        <f>WORKSHEET_CONSTR!F442</f>
        <v>---</v>
      </c>
      <c r="AK503" s="140">
        <f t="shared" si="520"/>
        <v>999.99</v>
      </c>
      <c r="AL503" s="263">
        <f t="shared" si="489"/>
        <v>0</v>
      </c>
      <c r="AM503" s="267" t="str">
        <f t="shared" si="490"/>
        <v>---</v>
      </c>
      <c r="AN503" s="140" t="str">
        <f t="shared" si="491"/>
        <v>---</v>
      </c>
      <c r="AO503" s="140">
        <f t="shared" si="521"/>
        <v>999.99</v>
      </c>
      <c r="AP503" s="263">
        <f t="shared" si="492"/>
        <v>1</v>
      </c>
      <c r="AQ503" s="140" t="str">
        <f>WORKSHEET_CONSTR!Q189</f>
        <v>---</v>
      </c>
      <c r="AR503" s="140" t="str">
        <f>WORKSHEET_CONSTR!E442</f>
        <v>---</v>
      </c>
      <c r="AS503" s="140">
        <f t="shared" si="522"/>
        <v>999.99</v>
      </c>
      <c r="AT503" s="263">
        <f t="shared" si="493"/>
        <v>1</v>
      </c>
      <c r="AU503" s="140" t="str">
        <f t="shared" si="494"/>
        <v>---</v>
      </c>
      <c r="AV503" s="140" t="str">
        <f t="shared" si="495"/>
        <v>---</v>
      </c>
      <c r="AW503" s="140">
        <f t="shared" si="523"/>
        <v>999.99</v>
      </c>
      <c r="AX503" s="263">
        <f t="shared" si="496"/>
        <v>1</v>
      </c>
      <c r="AY503" s="140" t="str">
        <f>WORKSHEET_CONSTR!R189</f>
        <v>---</v>
      </c>
      <c r="AZ503" s="140" t="str">
        <f>WORKSHEET_CONSTR!C442</f>
        <v>---</v>
      </c>
      <c r="BA503" s="140">
        <f t="shared" si="524"/>
        <v>999.99</v>
      </c>
      <c r="BB503" s="263">
        <f t="shared" si="497"/>
        <v>1</v>
      </c>
      <c r="BC503" s="267" t="str">
        <f t="shared" si="498"/>
        <v>---</v>
      </c>
      <c r="BD503" s="140" t="str">
        <f t="shared" si="499"/>
        <v>---</v>
      </c>
      <c r="BE503" s="140">
        <f t="shared" si="500"/>
        <v>999.99</v>
      </c>
      <c r="BF503" s="263">
        <f t="shared" si="501"/>
        <v>0</v>
      </c>
      <c r="BG503" s="140" t="str">
        <f>WORKSHEET_CONSTR!D500</f>
        <v>---</v>
      </c>
      <c r="BH503" s="140" t="str">
        <f>WORKSHEET_CONSTR!C500</f>
        <v>---</v>
      </c>
      <c r="BI503" s="140">
        <f t="shared" si="502"/>
        <v>999.99</v>
      </c>
      <c r="BJ503" s="263">
        <f t="shared" si="503"/>
        <v>0</v>
      </c>
      <c r="BK503" s="140" t="str">
        <f t="shared" si="504"/>
        <v>---</v>
      </c>
      <c r="BL503" s="140" t="str">
        <f t="shared" si="505"/>
        <v>---</v>
      </c>
      <c r="BM503" s="140">
        <f t="shared" si="525"/>
        <v>999.99</v>
      </c>
      <c r="BN503" s="263">
        <f t="shared" si="506"/>
        <v>1</v>
      </c>
      <c r="BO503" s="140" t="str">
        <f>WORKSHEET_CONSTR!H500</f>
        <v>---</v>
      </c>
      <c r="BP503" s="140" t="str">
        <f>WORKSHEET_CONSTR!F500</f>
        <v>---</v>
      </c>
      <c r="BQ503" s="140">
        <f t="shared" si="526"/>
        <v>999.99</v>
      </c>
      <c r="BR503" s="263">
        <f t="shared" si="507"/>
        <v>1</v>
      </c>
      <c r="BS503" s="267" t="str">
        <f t="shared" si="508"/>
        <v>---</v>
      </c>
      <c r="BT503" s="210" t="str">
        <f t="shared" si="509"/>
        <v>---</v>
      </c>
      <c r="BU503" s="140">
        <f t="shared" si="527"/>
        <v>999.99</v>
      </c>
      <c r="BV503" s="263">
        <f t="shared" si="510"/>
        <v>1</v>
      </c>
      <c r="BW503" s="140" t="str">
        <f>WORKSHEET_CONSTR!K500</f>
        <v>---</v>
      </c>
      <c r="BX503" s="140" t="str">
        <f>WORKSHEET_CONSTR!J500</f>
        <v>---</v>
      </c>
      <c r="BY503" s="140">
        <f t="shared" si="528"/>
        <v>999.99</v>
      </c>
      <c r="BZ503" s="263">
        <f t="shared" si="511"/>
        <v>1</v>
      </c>
      <c r="CA503" s="271" t="str">
        <f t="shared" si="512"/>
        <v>---</v>
      </c>
      <c r="CB503" s="271" t="str">
        <f t="shared" si="513"/>
        <v>---</v>
      </c>
      <c r="CC503" s="140">
        <f t="shared" si="529"/>
        <v>999.99</v>
      </c>
      <c r="CD503" s="263">
        <f t="shared" si="514"/>
        <v>1</v>
      </c>
      <c r="CE503" s="140" t="str">
        <f>WORKSHEET_CONSTR!N500</f>
        <v>---</v>
      </c>
      <c r="CF503" s="140" t="str">
        <f>WORKSHEET_CONSTR!M500</f>
        <v>---</v>
      </c>
      <c r="CG503" s="140">
        <f t="shared" si="530"/>
        <v>999.99</v>
      </c>
      <c r="CH503" s="263">
        <f t="shared" si="515"/>
        <v>1</v>
      </c>
    </row>
    <row r="504" spans="1:86">
      <c r="A504" s="438" t="str">
        <f t="shared" si="475"/>
        <v>---</v>
      </c>
      <c r="B504" s="294" t="str">
        <f t="shared" si="475"/>
        <v>---</v>
      </c>
      <c r="C504" s="296" t="str">
        <f t="shared" si="476"/>
        <v>---</v>
      </c>
      <c r="D504" s="294" t="str">
        <f t="shared" si="516"/>
        <v>---</v>
      </c>
      <c r="E504" s="294" t="str">
        <f t="shared" si="477"/>
        <v>---</v>
      </c>
      <c r="F504" s="294" t="str">
        <f t="shared" si="478"/>
        <v>---</v>
      </c>
      <c r="G504" s="294" t="str">
        <f t="shared" si="479"/>
        <v>---</v>
      </c>
      <c r="H504" s="291" t="str">
        <f t="shared" si="480"/>
        <v>---</v>
      </c>
      <c r="I504" s="441" t="str">
        <f t="shared" si="481"/>
        <v>---</v>
      </c>
      <c r="J504" s="441" t="str">
        <f t="shared" si="482"/>
        <v>---</v>
      </c>
      <c r="K504" s="294" t="str">
        <f t="shared" si="517"/>
        <v>---</v>
      </c>
      <c r="L504" s="294" t="str">
        <f t="shared" si="483"/>
        <v>---</v>
      </c>
      <c r="M504" s="291" t="str">
        <f t="shared" si="518"/>
        <v>---</v>
      </c>
      <c r="N504" s="294" t="str">
        <f t="shared" si="484"/>
        <v>---</v>
      </c>
      <c r="O504" s="441" t="str">
        <f t="shared" si="485"/>
        <v>---</v>
      </c>
      <c r="AE504" s="140" t="str">
        <f t="shared" si="486"/>
        <v>---</v>
      </c>
      <c r="AF504" s="140" t="str">
        <f t="shared" si="487"/>
        <v>---</v>
      </c>
      <c r="AG504" s="140">
        <f t="shared" si="519"/>
        <v>999.99</v>
      </c>
      <c r="AH504" s="263">
        <f t="shared" si="488"/>
        <v>0</v>
      </c>
      <c r="AI504" s="140" t="str">
        <f>WORKSHEET_CONSTR!G443</f>
        <v>---</v>
      </c>
      <c r="AJ504" s="140" t="str">
        <f>WORKSHEET_CONSTR!F443</f>
        <v>---</v>
      </c>
      <c r="AK504" s="140">
        <f t="shared" si="520"/>
        <v>999.99</v>
      </c>
      <c r="AL504" s="263">
        <f t="shared" si="489"/>
        <v>0</v>
      </c>
      <c r="AM504" s="267" t="str">
        <f t="shared" si="490"/>
        <v>---</v>
      </c>
      <c r="AN504" s="140" t="str">
        <f t="shared" si="491"/>
        <v>---</v>
      </c>
      <c r="AO504" s="140">
        <f t="shared" si="521"/>
        <v>999.99</v>
      </c>
      <c r="AP504" s="263">
        <f t="shared" si="492"/>
        <v>1</v>
      </c>
      <c r="AQ504" s="140" t="str">
        <f>WORKSHEET_CONSTR!Q190</f>
        <v>---</v>
      </c>
      <c r="AR504" s="140" t="str">
        <f>WORKSHEET_CONSTR!E443</f>
        <v>---</v>
      </c>
      <c r="AS504" s="140">
        <f t="shared" si="522"/>
        <v>999.99</v>
      </c>
      <c r="AT504" s="263">
        <f t="shared" si="493"/>
        <v>1</v>
      </c>
      <c r="AU504" s="140" t="str">
        <f t="shared" si="494"/>
        <v>---</v>
      </c>
      <c r="AV504" s="140" t="str">
        <f t="shared" si="495"/>
        <v>---</v>
      </c>
      <c r="AW504" s="140">
        <f t="shared" si="523"/>
        <v>999.99</v>
      </c>
      <c r="AX504" s="263">
        <f t="shared" si="496"/>
        <v>1</v>
      </c>
      <c r="AY504" s="140" t="str">
        <f>WORKSHEET_CONSTR!R190</f>
        <v>---</v>
      </c>
      <c r="AZ504" s="140" t="str">
        <f>WORKSHEET_CONSTR!C443</f>
        <v>---</v>
      </c>
      <c r="BA504" s="140">
        <f t="shared" si="524"/>
        <v>999.99</v>
      </c>
      <c r="BB504" s="263">
        <f t="shared" si="497"/>
        <v>1</v>
      </c>
      <c r="BC504" s="267" t="str">
        <f t="shared" si="498"/>
        <v>---</v>
      </c>
      <c r="BD504" s="140" t="str">
        <f t="shared" si="499"/>
        <v>---</v>
      </c>
      <c r="BE504" s="140">
        <f t="shared" si="500"/>
        <v>999.99</v>
      </c>
      <c r="BF504" s="263">
        <f t="shared" si="501"/>
        <v>0</v>
      </c>
      <c r="BG504" s="140" t="str">
        <f>WORKSHEET_CONSTR!D501</f>
        <v>---</v>
      </c>
      <c r="BH504" s="140" t="str">
        <f>WORKSHEET_CONSTR!C501</f>
        <v>---</v>
      </c>
      <c r="BI504" s="140">
        <f t="shared" si="502"/>
        <v>999.99</v>
      </c>
      <c r="BJ504" s="263">
        <f t="shared" si="503"/>
        <v>0</v>
      </c>
      <c r="BK504" s="140" t="str">
        <f t="shared" si="504"/>
        <v>---</v>
      </c>
      <c r="BL504" s="140" t="str">
        <f t="shared" si="505"/>
        <v>---</v>
      </c>
      <c r="BM504" s="140">
        <f t="shared" si="525"/>
        <v>999.99</v>
      </c>
      <c r="BN504" s="263">
        <f t="shared" si="506"/>
        <v>1</v>
      </c>
      <c r="BO504" s="140" t="str">
        <f>WORKSHEET_CONSTR!H501</f>
        <v>---</v>
      </c>
      <c r="BP504" s="140" t="str">
        <f>WORKSHEET_CONSTR!F501</f>
        <v>---</v>
      </c>
      <c r="BQ504" s="140">
        <f t="shared" si="526"/>
        <v>999.99</v>
      </c>
      <c r="BR504" s="263">
        <f t="shared" si="507"/>
        <v>1</v>
      </c>
      <c r="BS504" s="267" t="str">
        <f t="shared" si="508"/>
        <v>---</v>
      </c>
      <c r="BT504" s="210" t="str">
        <f t="shared" si="509"/>
        <v>---</v>
      </c>
      <c r="BU504" s="140">
        <f t="shared" si="527"/>
        <v>999.99</v>
      </c>
      <c r="BV504" s="263">
        <f t="shared" si="510"/>
        <v>1</v>
      </c>
      <c r="BW504" s="140" t="str">
        <f>WORKSHEET_CONSTR!K501</f>
        <v>---</v>
      </c>
      <c r="BX504" s="140" t="str">
        <f>WORKSHEET_CONSTR!J501</f>
        <v>---</v>
      </c>
      <c r="BY504" s="140">
        <f t="shared" si="528"/>
        <v>999.99</v>
      </c>
      <c r="BZ504" s="263">
        <f t="shared" si="511"/>
        <v>1</v>
      </c>
      <c r="CA504" s="271" t="str">
        <f t="shared" si="512"/>
        <v>---</v>
      </c>
      <c r="CB504" s="271" t="str">
        <f t="shared" si="513"/>
        <v>---</v>
      </c>
      <c r="CC504" s="140">
        <f t="shared" si="529"/>
        <v>999.99</v>
      </c>
      <c r="CD504" s="263">
        <f t="shared" si="514"/>
        <v>1</v>
      </c>
      <c r="CE504" s="140" t="str">
        <f>WORKSHEET_CONSTR!N501</f>
        <v>---</v>
      </c>
      <c r="CF504" s="140" t="str">
        <f>WORKSHEET_CONSTR!M501</f>
        <v>---</v>
      </c>
      <c r="CG504" s="140">
        <f t="shared" si="530"/>
        <v>999.99</v>
      </c>
      <c r="CH504" s="263">
        <f t="shared" si="515"/>
        <v>1</v>
      </c>
    </row>
    <row r="505" spans="1:86">
      <c r="A505" s="438" t="str">
        <f t="shared" si="475"/>
        <v>---</v>
      </c>
      <c r="B505" s="294" t="str">
        <f t="shared" si="475"/>
        <v>---</v>
      </c>
      <c r="C505" s="296" t="str">
        <f t="shared" si="476"/>
        <v>---</v>
      </c>
      <c r="D505" s="294" t="str">
        <f t="shared" si="516"/>
        <v>---</v>
      </c>
      <c r="E505" s="294" t="str">
        <f t="shared" si="477"/>
        <v>---</v>
      </c>
      <c r="F505" s="294" t="str">
        <f t="shared" si="478"/>
        <v>---</v>
      </c>
      <c r="G505" s="294" t="str">
        <f t="shared" si="479"/>
        <v>---</v>
      </c>
      <c r="H505" s="291" t="str">
        <f t="shared" si="480"/>
        <v>---</v>
      </c>
      <c r="I505" s="441" t="str">
        <f t="shared" si="481"/>
        <v>---</v>
      </c>
      <c r="J505" s="441" t="str">
        <f t="shared" si="482"/>
        <v>---</v>
      </c>
      <c r="K505" s="294" t="str">
        <f t="shared" si="517"/>
        <v>---</v>
      </c>
      <c r="L505" s="294" t="str">
        <f t="shared" si="483"/>
        <v>---</v>
      </c>
      <c r="M505" s="291" t="str">
        <f t="shared" si="518"/>
        <v>---</v>
      </c>
      <c r="N505" s="294" t="str">
        <f t="shared" si="484"/>
        <v>---</v>
      </c>
      <c r="O505" s="441" t="str">
        <f t="shared" si="485"/>
        <v>---</v>
      </c>
      <c r="AE505" s="140" t="str">
        <f t="shared" si="486"/>
        <v>---</v>
      </c>
      <c r="AF505" s="140" t="str">
        <f t="shared" si="487"/>
        <v>---</v>
      </c>
      <c r="AG505" s="140">
        <f t="shared" si="519"/>
        <v>999.99</v>
      </c>
      <c r="AH505" s="263">
        <f t="shared" si="488"/>
        <v>0</v>
      </c>
      <c r="AI505" s="140" t="str">
        <f>WORKSHEET_CONSTR!G444</f>
        <v>---</v>
      </c>
      <c r="AJ505" s="140" t="str">
        <f>WORKSHEET_CONSTR!F444</f>
        <v>---</v>
      </c>
      <c r="AK505" s="140">
        <f t="shared" si="520"/>
        <v>999.99</v>
      </c>
      <c r="AL505" s="263">
        <f t="shared" si="489"/>
        <v>0</v>
      </c>
      <c r="AM505" s="267" t="str">
        <f t="shared" si="490"/>
        <v>---</v>
      </c>
      <c r="AN505" s="140" t="str">
        <f t="shared" si="491"/>
        <v>---</v>
      </c>
      <c r="AO505" s="140">
        <f t="shared" si="521"/>
        <v>999.99</v>
      </c>
      <c r="AP505" s="263">
        <f t="shared" si="492"/>
        <v>1</v>
      </c>
      <c r="AQ505" s="140" t="str">
        <f>WORKSHEET_CONSTR!Q191</f>
        <v>---</v>
      </c>
      <c r="AR505" s="140" t="str">
        <f>WORKSHEET_CONSTR!E444</f>
        <v>---</v>
      </c>
      <c r="AS505" s="140">
        <f t="shared" si="522"/>
        <v>999.99</v>
      </c>
      <c r="AT505" s="263">
        <f t="shared" si="493"/>
        <v>1</v>
      </c>
      <c r="AU505" s="140" t="str">
        <f t="shared" si="494"/>
        <v>---</v>
      </c>
      <c r="AV505" s="140" t="str">
        <f t="shared" si="495"/>
        <v>---</v>
      </c>
      <c r="AW505" s="140">
        <f t="shared" si="523"/>
        <v>999.99</v>
      </c>
      <c r="AX505" s="263">
        <f t="shared" si="496"/>
        <v>1</v>
      </c>
      <c r="AY505" s="140" t="str">
        <f>WORKSHEET_CONSTR!R191</f>
        <v>---</v>
      </c>
      <c r="AZ505" s="140" t="str">
        <f>WORKSHEET_CONSTR!C444</f>
        <v>---</v>
      </c>
      <c r="BA505" s="140">
        <f t="shared" si="524"/>
        <v>999.99</v>
      </c>
      <c r="BB505" s="263">
        <f t="shared" si="497"/>
        <v>1</v>
      </c>
      <c r="BC505" s="267" t="str">
        <f t="shared" si="498"/>
        <v>---</v>
      </c>
      <c r="BD505" s="140" t="str">
        <f t="shared" si="499"/>
        <v>---</v>
      </c>
      <c r="BE505" s="140">
        <f t="shared" si="500"/>
        <v>999.99</v>
      </c>
      <c r="BF505" s="263">
        <f t="shared" si="501"/>
        <v>0</v>
      </c>
      <c r="BG505" s="140" t="str">
        <f>WORKSHEET_CONSTR!D502</f>
        <v>---</v>
      </c>
      <c r="BH505" s="140" t="str">
        <f>WORKSHEET_CONSTR!C502</f>
        <v>---</v>
      </c>
      <c r="BI505" s="140">
        <f t="shared" si="502"/>
        <v>999.99</v>
      </c>
      <c r="BJ505" s="263">
        <f t="shared" si="503"/>
        <v>0</v>
      </c>
      <c r="BK505" s="140" t="str">
        <f t="shared" si="504"/>
        <v>---</v>
      </c>
      <c r="BL505" s="140" t="str">
        <f t="shared" si="505"/>
        <v>---</v>
      </c>
      <c r="BM505" s="140">
        <f t="shared" si="525"/>
        <v>999.99</v>
      </c>
      <c r="BN505" s="263">
        <f t="shared" si="506"/>
        <v>1</v>
      </c>
      <c r="BO505" s="140" t="str">
        <f>WORKSHEET_CONSTR!H502</f>
        <v>---</v>
      </c>
      <c r="BP505" s="140" t="str">
        <f>WORKSHEET_CONSTR!F502</f>
        <v>---</v>
      </c>
      <c r="BQ505" s="140">
        <f t="shared" si="526"/>
        <v>999.99</v>
      </c>
      <c r="BR505" s="263">
        <f t="shared" si="507"/>
        <v>1</v>
      </c>
      <c r="BS505" s="267" t="str">
        <f t="shared" si="508"/>
        <v>---</v>
      </c>
      <c r="BT505" s="210" t="str">
        <f t="shared" si="509"/>
        <v>---</v>
      </c>
      <c r="BU505" s="140">
        <f t="shared" si="527"/>
        <v>999.99</v>
      </c>
      <c r="BV505" s="263">
        <f t="shared" si="510"/>
        <v>1</v>
      </c>
      <c r="BW505" s="140" t="str">
        <f>WORKSHEET_CONSTR!K502</f>
        <v>---</v>
      </c>
      <c r="BX505" s="140" t="str">
        <f>WORKSHEET_CONSTR!J502</f>
        <v>---</v>
      </c>
      <c r="BY505" s="140">
        <f t="shared" si="528"/>
        <v>999.99</v>
      </c>
      <c r="BZ505" s="263">
        <f t="shared" si="511"/>
        <v>1</v>
      </c>
      <c r="CA505" s="271" t="str">
        <f t="shared" si="512"/>
        <v>---</v>
      </c>
      <c r="CB505" s="271" t="str">
        <f t="shared" si="513"/>
        <v>---</v>
      </c>
      <c r="CC505" s="140">
        <f t="shared" si="529"/>
        <v>999.99</v>
      </c>
      <c r="CD505" s="263">
        <f t="shared" si="514"/>
        <v>1</v>
      </c>
      <c r="CE505" s="140" t="str">
        <f>WORKSHEET_CONSTR!N502</f>
        <v>---</v>
      </c>
      <c r="CF505" s="140" t="str">
        <f>WORKSHEET_CONSTR!M502</f>
        <v>---</v>
      </c>
      <c r="CG505" s="140">
        <f t="shared" si="530"/>
        <v>999.99</v>
      </c>
      <c r="CH505" s="263">
        <f t="shared" si="515"/>
        <v>1</v>
      </c>
    </row>
    <row r="506" spans="1:86">
      <c r="A506" s="438" t="str">
        <f t="shared" si="475"/>
        <v>---</v>
      </c>
      <c r="B506" s="294" t="str">
        <f t="shared" si="475"/>
        <v>---</v>
      </c>
      <c r="C506" s="296" t="str">
        <f t="shared" si="476"/>
        <v>---</v>
      </c>
      <c r="D506" s="294" t="str">
        <f t="shared" si="516"/>
        <v>---</v>
      </c>
      <c r="E506" s="294" t="str">
        <f t="shared" si="477"/>
        <v>---</v>
      </c>
      <c r="F506" s="294" t="str">
        <f t="shared" si="478"/>
        <v>---</v>
      </c>
      <c r="G506" s="294" t="str">
        <f t="shared" si="479"/>
        <v>---</v>
      </c>
      <c r="H506" s="291" t="str">
        <f t="shared" si="480"/>
        <v>---</v>
      </c>
      <c r="I506" s="441" t="str">
        <f t="shared" si="481"/>
        <v>---</v>
      </c>
      <c r="J506" s="441" t="str">
        <f t="shared" si="482"/>
        <v>---</v>
      </c>
      <c r="K506" s="294" t="str">
        <f t="shared" si="517"/>
        <v>---</v>
      </c>
      <c r="L506" s="294" t="str">
        <f t="shared" si="483"/>
        <v>---</v>
      </c>
      <c r="M506" s="291" t="str">
        <f t="shared" si="518"/>
        <v>---</v>
      </c>
      <c r="N506" s="294" t="str">
        <f t="shared" si="484"/>
        <v>---</v>
      </c>
      <c r="O506" s="441" t="str">
        <f t="shared" si="485"/>
        <v>---</v>
      </c>
      <c r="AE506" s="140" t="str">
        <f t="shared" si="486"/>
        <v>---</v>
      </c>
      <c r="AF506" s="140" t="str">
        <f t="shared" si="487"/>
        <v>---</v>
      </c>
      <c r="AG506" s="140">
        <f t="shared" si="519"/>
        <v>999.99</v>
      </c>
      <c r="AH506" s="263">
        <f t="shared" si="488"/>
        <v>0</v>
      </c>
      <c r="AI506" s="140" t="str">
        <f>WORKSHEET_CONSTR!G445</f>
        <v>---</v>
      </c>
      <c r="AJ506" s="140" t="str">
        <f>WORKSHEET_CONSTR!F445</f>
        <v>---</v>
      </c>
      <c r="AK506" s="140">
        <f t="shared" si="520"/>
        <v>999.99</v>
      </c>
      <c r="AL506" s="263">
        <f t="shared" si="489"/>
        <v>0</v>
      </c>
      <c r="AM506" s="267" t="str">
        <f t="shared" si="490"/>
        <v>---</v>
      </c>
      <c r="AN506" s="140" t="str">
        <f t="shared" si="491"/>
        <v>---</v>
      </c>
      <c r="AO506" s="140">
        <f t="shared" si="521"/>
        <v>999.99</v>
      </c>
      <c r="AP506" s="263">
        <f t="shared" si="492"/>
        <v>1</v>
      </c>
      <c r="AQ506" s="140" t="str">
        <f>WORKSHEET_CONSTR!Q192</f>
        <v>---</v>
      </c>
      <c r="AR506" s="140" t="str">
        <f>WORKSHEET_CONSTR!E445</f>
        <v>---</v>
      </c>
      <c r="AS506" s="140">
        <f t="shared" si="522"/>
        <v>999.99</v>
      </c>
      <c r="AT506" s="263">
        <f t="shared" si="493"/>
        <v>1</v>
      </c>
      <c r="AU506" s="140" t="str">
        <f t="shared" si="494"/>
        <v>---</v>
      </c>
      <c r="AV506" s="140" t="str">
        <f t="shared" si="495"/>
        <v>---</v>
      </c>
      <c r="AW506" s="140">
        <f t="shared" si="523"/>
        <v>999.99</v>
      </c>
      <c r="AX506" s="263">
        <f t="shared" si="496"/>
        <v>1</v>
      </c>
      <c r="AY506" s="140" t="str">
        <f>WORKSHEET_CONSTR!R192</f>
        <v>---</v>
      </c>
      <c r="AZ506" s="140" t="str">
        <f>WORKSHEET_CONSTR!C445</f>
        <v>---</v>
      </c>
      <c r="BA506" s="140">
        <f t="shared" si="524"/>
        <v>999.99</v>
      </c>
      <c r="BB506" s="263">
        <f t="shared" si="497"/>
        <v>1</v>
      </c>
      <c r="BC506" s="267" t="str">
        <f t="shared" si="498"/>
        <v>---</v>
      </c>
      <c r="BD506" s="140" t="str">
        <f t="shared" si="499"/>
        <v>---</v>
      </c>
      <c r="BE506" s="140">
        <f t="shared" si="500"/>
        <v>999.99</v>
      </c>
      <c r="BF506" s="263">
        <f t="shared" si="501"/>
        <v>0</v>
      </c>
      <c r="BG506" s="140" t="str">
        <f>WORKSHEET_CONSTR!D503</f>
        <v>---</v>
      </c>
      <c r="BH506" s="140" t="str">
        <f>WORKSHEET_CONSTR!C503</f>
        <v>---</v>
      </c>
      <c r="BI506" s="140">
        <f t="shared" si="502"/>
        <v>999.99</v>
      </c>
      <c r="BJ506" s="263">
        <f t="shared" si="503"/>
        <v>0</v>
      </c>
      <c r="BK506" s="140" t="str">
        <f t="shared" si="504"/>
        <v>---</v>
      </c>
      <c r="BL506" s="140" t="str">
        <f t="shared" si="505"/>
        <v>---</v>
      </c>
      <c r="BM506" s="140">
        <f t="shared" si="525"/>
        <v>999.99</v>
      </c>
      <c r="BN506" s="263">
        <f t="shared" si="506"/>
        <v>1</v>
      </c>
      <c r="BO506" s="140" t="str">
        <f>WORKSHEET_CONSTR!H503</f>
        <v>---</v>
      </c>
      <c r="BP506" s="140" t="str">
        <f>WORKSHEET_CONSTR!F503</f>
        <v>---</v>
      </c>
      <c r="BQ506" s="140">
        <f t="shared" si="526"/>
        <v>999.99</v>
      </c>
      <c r="BR506" s="263">
        <f t="shared" si="507"/>
        <v>1</v>
      </c>
      <c r="BS506" s="267" t="str">
        <f t="shared" si="508"/>
        <v>---</v>
      </c>
      <c r="BT506" s="210" t="str">
        <f t="shared" si="509"/>
        <v>---</v>
      </c>
      <c r="BU506" s="140">
        <f t="shared" si="527"/>
        <v>999.99</v>
      </c>
      <c r="BV506" s="263">
        <f t="shared" si="510"/>
        <v>1</v>
      </c>
      <c r="BW506" s="140" t="str">
        <f>WORKSHEET_CONSTR!K503</f>
        <v>---</v>
      </c>
      <c r="BX506" s="140" t="str">
        <f>WORKSHEET_CONSTR!J503</f>
        <v>---</v>
      </c>
      <c r="BY506" s="140">
        <f t="shared" si="528"/>
        <v>999.99</v>
      </c>
      <c r="BZ506" s="263">
        <f t="shared" si="511"/>
        <v>1</v>
      </c>
      <c r="CA506" s="271" t="str">
        <f t="shared" si="512"/>
        <v>---</v>
      </c>
      <c r="CB506" s="271" t="str">
        <f t="shared" si="513"/>
        <v>---</v>
      </c>
      <c r="CC506" s="140">
        <f t="shared" si="529"/>
        <v>999.99</v>
      </c>
      <c r="CD506" s="263">
        <f t="shared" si="514"/>
        <v>1</v>
      </c>
      <c r="CE506" s="140" t="str">
        <f>WORKSHEET_CONSTR!N503</f>
        <v>---</v>
      </c>
      <c r="CF506" s="140" t="str">
        <f>WORKSHEET_CONSTR!M503</f>
        <v>---</v>
      </c>
      <c r="CG506" s="140">
        <f t="shared" si="530"/>
        <v>999.99</v>
      </c>
      <c r="CH506" s="263">
        <f t="shared" si="515"/>
        <v>1</v>
      </c>
    </row>
    <row r="507" spans="1:86">
      <c r="A507" s="438" t="str">
        <f t="shared" si="475"/>
        <v>---</v>
      </c>
      <c r="B507" s="294" t="str">
        <f t="shared" si="475"/>
        <v>---</v>
      </c>
      <c r="C507" s="296" t="str">
        <f t="shared" si="476"/>
        <v>---</v>
      </c>
      <c r="D507" s="294" t="str">
        <f t="shared" si="516"/>
        <v>---</v>
      </c>
      <c r="E507" s="294" t="str">
        <f t="shared" si="477"/>
        <v>---</v>
      </c>
      <c r="F507" s="294" t="str">
        <f t="shared" si="478"/>
        <v>---</v>
      </c>
      <c r="G507" s="294" t="str">
        <f t="shared" si="479"/>
        <v>---</v>
      </c>
      <c r="H507" s="291" t="str">
        <f t="shared" si="480"/>
        <v>---</v>
      </c>
      <c r="I507" s="441" t="str">
        <f t="shared" si="481"/>
        <v>---</v>
      </c>
      <c r="J507" s="441" t="str">
        <f t="shared" si="482"/>
        <v>---</v>
      </c>
      <c r="K507" s="294" t="str">
        <f t="shared" si="517"/>
        <v>---</v>
      </c>
      <c r="L507" s="294" t="str">
        <f t="shared" si="483"/>
        <v>---</v>
      </c>
      <c r="M507" s="291" t="str">
        <f t="shared" si="518"/>
        <v>---</v>
      </c>
      <c r="N507" s="294" t="str">
        <f t="shared" si="484"/>
        <v>---</v>
      </c>
      <c r="O507" s="441" t="str">
        <f t="shared" si="485"/>
        <v>---</v>
      </c>
      <c r="AE507" s="140" t="str">
        <f t="shared" si="486"/>
        <v>---</v>
      </c>
      <c r="AF507" s="140" t="str">
        <f t="shared" si="487"/>
        <v>---</v>
      </c>
      <c r="AG507" s="140">
        <f t="shared" si="519"/>
        <v>999.99</v>
      </c>
      <c r="AH507" s="263">
        <f t="shared" si="488"/>
        <v>0</v>
      </c>
      <c r="AI507" s="140" t="str">
        <f>WORKSHEET_CONSTR!G446</f>
        <v>---</v>
      </c>
      <c r="AJ507" s="140" t="str">
        <f>WORKSHEET_CONSTR!F446</f>
        <v>---</v>
      </c>
      <c r="AK507" s="140">
        <f t="shared" si="520"/>
        <v>999.99</v>
      </c>
      <c r="AL507" s="263">
        <f t="shared" si="489"/>
        <v>0</v>
      </c>
      <c r="AM507" s="267" t="str">
        <f t="shared" si="490"/>
        <v>---</v>
      </c>
      <c r="AN507" s="140" t="str">
        <f t="shared" si="491"/>
        <v>---</v>
      </c>
      <c r="AO507" s="140">
        <f t="shared" si="521"/>
        <v>999.99</v>
      </c>
      <c r="AP507" s="263">
        <f t="shared" si="492"/>
        <v>1</v>
      </c>
      <c r="AQ507" s="140" t="str">
        <f>WORKSHEET_CONSTR!Q193</f>
        <v>---</v>
      </c>
      <c r="AR507" s="140" t="str">
        <f>WORKSHEET_CONSTR!E446</f>
        <v>---</v>
      </c>
      <c r="AS507" s="140">
        <f t="shared" si="522"/>
        <v>999.99</v>
      </c>
      <c r="AT507" s="263">
        <f t="shared" si="493"/>
        <v>1</v>
      </c>
      <c r="AU507" s="140" t="str">
        <f t="shared" si="494"/>
        <v>---</v>
      </c>
      <c r="AV507" s="140" t="str">
        <f t="shared" si="495"/>
        <v>---</v>
      </c>
      <c r="AW507" s="140">
        <f t="shared" si="523"/>
        <v>999.99</v>
      </c>
      <c r="AX507" s="263">
        <f t="shared" si="496"/>
        <v>1</v>
      </c>
      <c r="AY507" s="140" t="str">
        <f>WORKSHEET_CONSTR!R193</f>
        <v>---</v>
      </c>
      <c r="AZ507" s="140" t="str">
        <f>WORKSHEET_CONSTR!C446</f>
        <v>---</v>
      </c>
      <c r="BA507" s="140">
        <f t="shared" si="524"/>
        <v>999.99</v>
      </c>
      <c r="BB507" s="263">
        <f t="shared" si="497"/>
        <v>1</v>
      </c>
      <c r="BC507" s="267" t="str">
        <f t="shared" si="498"/>
        <v>---</v>
      </c>
      <c r="BD507" s="140" t="str">
        <f t="shared" si="499"/>
        <v>---</v>
      </c>
      <c r="BE507" s="140">
        <f t="shared" si="500"/>
        <v>999.99</v>
      </c>
      <c r="BF507" s="263">
        <f t="shared" si="501"/>
        <v>0</v>
      </c>
      <c r="BG507" s="140" t="str">
        <f>WORKSHEET_CONSTR!D504</f>
        <v>---</v>
      </c>
      <c r="BH507" s="140" t="str">
        <f>WORKSHEET_CONSTR!C504</f>
        <v>---</v>
      </c>
      <c r="BI507" s="140">
        <f t="shared" si="502"/>
        <v>999.99</v>
      </c>
      <c r="BJ507" s="263">
        <f t="shared" si="503"/>
        <v>0</v>
      </c>
      <c r="BK507" s="140" t="str">
        <f t="shared" si="504"/>
        <v>---</v>
      </c>
      <c r="BL507" s="140" t="str">
        <f t="shared" si="505"/>
        <v>---</v>
      </c>
      <c r="BM507" s="140">
        <f t="shared" si="525"/>
        <v>999.99</v>
      </c>
      <c r="BN507" s="263">
        <f t="shared" si="506"/>
        <v>1</v>
      </c>
      <c r="BO507" s="140" t="str">
        <f>WORKSHEET_CONSTR!H504</f>
        <v>---</v>
      </c>
      <c r="BP507" s="140" t="str">
        <f>WORKSHEET_CONSTR!F504</f>
        <v>---</v>
      </c>
      <c r="BQ507" s="140">
        <f t="shared" si="526"/>
        <v>999.99</v>
      </c>
      <c r="BR507" s="263">
        <f t="shared" si="507"/>
        <v>1</v>
      </c>
      <c r="BS507" s="267" t="str">
        <f t="shared" si="508"/>
        <v>---</v>
      </c>
      <c r="BT507" s="210" t="str">
        <f t="shared" si="509"/>
        <v>---</v>
      </c>
      <c r="BU507" s="140">
        <f t="shared" si="527"/>
        <v>999.99</v>
      </c>
      <c r="BV507" s="263">
        <f t="shared" si="510"/>
        <v>1</v>
      </c>
      <c r="BW507" s="140" t="str">
        <f>WORKSHEET_CONSTR!K504</f>
        <v>---</v>
      </c>
      <c r="BX507" s="140" t="str">
        <f>WORKSHEET_CONSTR!J504</f>
        <v>---</v>
      </c>
      <c r="BY507" s="140">
        <f t="shared" si="528"/>
        <v>999.99</v>
      </c>
      <c r="BZ507" s="263">
        <f t="shared" si="511"/>
        <v>1</v>
      </c>
      <c r="CA507" s="271" t="str">
        <f t="shared" si="512"/>
        <v>---</v>
      </c>
      <c r="CB507" s="271" t="str">
        <f t="shared" si="513"/>
        <v>---</v>
      </c>
      <c r="CC507" s="140">
        <f t="shared" si="529"/>
        <v>999.99</v>
      </c>
      <c r="CD507" s="263">
        <f t="shared" si="514"/>
        <v>1</v>
      </c>
      <c r="CE507" s="140" t="str">
        <f>WORKSHEET_CONSTR!N504</f>
        <v>---</v>
      </c>
      <c r="CF507" s="140" t="str">
        <f>WORKSHEET_CONSTR!M504</f>
        <v>---</v>
      </c>
      <c r="CG507" s="140">
        <f t="shared" si="530"/>
        <v>999.99</v>
      </c>
      <c r="CH507" s="263">
        <f t="shared" si="515"/>
        <v>1</v>
      </c>
    </row>
    <row r="508" spans="1:86">
      <c r="A508" s="438" t="str">
        <f t="shared" si="475"/>
        <v>---</v>
      </c>
      <c r="B508" s="294" t="str">
        <f t="shared" si="475"/>
        <v>---</v>
      </c>
      <c r="C508" s="296" t="str">
        <f t="shared" si="476"/>
        <v>---</v>
      </c>
      <c r="D508" s="294" t="str">
        <f t="shared" si="516"/>
        <v>---</v>
      </c>
      <c r="E508" s="294" t="str">
        <f t="shared" si="477"/>
        <v>---</v>
      </c>
      <c r="F508" s="294" t="str">
        <f t="shared" si="478"/>
        <v>---</v>
      </c>
      <c r="G508" s="294" t="str">
        <f t="shared" si="479"/>
        <v>---</v>
      </c>
      <c r="H508" s="291" t="str">
        <f t="shared" si="480"/>
        <v>---</v>
      </c>
      <c r="I508" s="441" t="str">
        <f t="shared" si="481"/>
        <v>---</v>
      </c>
      <c r="J508" s="441" t="str">
        <f t="shared" si="482"/>
        <v>---</v>
      </c>
      <c r="K508" s="294" t="str">
        <f t="shared" si="517"/>
        <v>---</v>
      </c>
      <c r="L508" s="294" t="str">
        <f t="shared" si="483"/>
        <v>---</v>
      </c>
      <c r="M508" s="291" t="str">
        <f t="shared" si="518"/>
        <v>---</v>
      </c>
      <c r="N508" s="294" t="str">
        <f t="shared" si="484"/>
        <v>---</v>
      </c>
      <c r="O508" s="441" t="str">
        <f t="shared" si="485"/>
        <v>---</v>
      </c>
      <c r="AE508" s="140" t="str">
        <f t="shared" si="486"/>
        <v>---</v>
      </c>
      <c r="AF508" s="140" t="str">
        <f t="shared" si="487"/>
        <v>---</v>
      </c>
      <c r="AG508" s="140">
        <f t="shared" si="519"/>
        <v>999.99</v>
      </c>
      <c r="AH508" s="263">
        <f t="shared" si="488"/>
        <v>0</v>
      </c>
      <c r="AI508" s="140" t="str">
        <f>WORKSHEET_CONSTR!G447</f>
        <v>---</v>
      </c>
      <c r="AJ508" s="140" t="str">
        <f>WORKSHEET_CONSTR!F447</f>
        <v>---</v>
      </c>
      <c r="AK508" s="140">
        <f t="shared" si="520"/>
        <v>999.99</v>
      </c>
      <c r="AL508" s="263">
        <f t="shared" si="489"/>
        <v>0</v>
      </c>
      <c r="AM508" s="267" t="str">
        <f t="shared" si="490"/>
        <v>---</v>
      </c>
      <c r="AN508" s="140" t="str">
        <f t="shared" si="491"/>
        <v>---</v>
      </c>
      <c r="AO508" s="140">
        <f t="shared" si="521"/>
        <v>999.99</v>
      </c>
      <c r="AP508" s="263">
        <f t="shared" si="492"/>
        <v>1</v>
      </c>
      <c r="AQ508" s="140" t="str">
        <f>WORKSHEET_CONSTR!Q194</f>
        <v>---</v>
      </c>
      <c r="AR508" s="140" t="str">
        <f>WORKSHEET_CONSTR!E447</f>
        <v>---</v>
      </c>
      <c r="AS508" s="140">
        <f t="shared" si="522"/>
        <v>999.99</v>
      </c>
      <c r="AT508" s="263">
        <f t="shared" si="493"/>
        <v>1</v>
      </c>
      <c r="AU508" s="140" t="str">
        <f t="shared" si="494"/>
        <v>---</v>
      </c>
      <c r="AV508" s="140" t="str">
        <f t="shared" si="495"/>
        <v>---</v>
      </c>
      <c r="AW508" s="140">
        <f t="shared" si="523"/>
        <v>999.99</v>
      </c>
      <c r="AX508" s="263">
        <f t="shared" si="496"/>
        <v>1</v>
      </c>
      <c r="AY508" s="140" t="str">
        <f>WORKSHEET_CONSTR!R194</f>
        <v>---</v>
      </c>
      <c r="AZ508" s="140" t="str">
        <f>WORKSHEET_CONSTR!C447</f>
        <v>---</v>
      </c>
      <c r="BA508" s="140">
        <f t="shared" si="524"/>
        <v>999.99</v>
      </c>
      <c r="BB508" s="263">
        <f t="shared" si="497"/>
        <v>1</v>
      </c>
      <c r="BC508" s="267" t="str">
        <f t="shared" si="498"/>
        <v>---</v>
      </c>
      <c r="BD508" s="140" t="str">
        <f t="shared" si="499"/>
        <v>---</v>
      </c>
      <c r="BE508" s="140">
        <f t="shared" si="500"/>
        <v>999.99</v>
      </c>
      <c r="BF508" s="263">
        <f t="shared" si="501"/>
        <v>0</v>
      </c>
      <c r="BG508" s="140" t="str">
        <f>WORKSHEET_CONSTR!D505</f>
        <v>---</v>
      </c>
      <c r="BH508" s="140" t="str">
        <f>WORKSHEET_CONSTR!C505</f>
        <v>---</v>
      </c>
      <c r="BI508" s="140">
        <f t="shared" si="502"/>
        <v>999.99</v>
      </c>
      <c r="BJ508" s="263">
        <f t="shared" si="503"/>
        <v>0</v>
      </c>
      <c r="BK508" s="140" t="str">
        <f t="shared" si="504"/>
        <v>---</v>
      </c>
      <c r="BL508" s="140" t="str">
        <f t="shared" si="505"/>
        <v>---</v>
      </c>
      <c r="BM508" s="140">
        <f t="shared" si="525"/>
        <v>999.99</v>
      </c>
      <c r="BN508" s="263">
        <f t="shared" si="506"/>
        <v>1</v>
      </c>
      <c r="BO508" s="140" t="str">
        <f>WORKSHEET_CONSTR!H505</f>
        <v>---</v>
      </c>
      <c r="BP508" s="140" t="str">
        <f>WORKSHEET_CONSTR!F505</f>
        <v>---</v>
      </c>
      <c r="BQ508" s="140">
        <f t="shared" si="526"/>
        <v>999.99</v>
      </c>
      <c r="BR508" s="263">
        <f t="shared" si="507"/>
        <v>1</v>
      </c>
      <c r="BS508" s="267" t="str">
        <f t="shared" si="508"/>
        <v>---</v>
      </c>
      <c r="BT508" s="210" t="str">
        <f t="shared" si="509"/>
        <v>---</v>
      </c>
      <c r="BU508" s="140">
        <f t="shared" si="527"/>
        <v>999.99</v>
      </c>
      <c r="BV508" s="263">
        <f t="shared" si="510"/>
        <v>1</v>
      </c>
      <c r="BW508" s="140" t="str">
        <f>WORKSHEET_CONSTR!K505</f>
        <v>---</v>
      </c>
      <c r="BX508" s="140" t="str">
        <f>WORKSHEET_CONSTR!J505</f>
        <v>---</v>
      </c>
      <c r="BY508" s="140">
        <f t="shared" si="528"/>
        <v>999.99</v>
      </c>
      <c r="BZ508" s="263">
        <f t="shared" si="511"/>
        <v>1</v>
      </c>
      <c r="CA508" s="271" t="str">
        <f t="shared" si="512"/>
        <v>---</v>
      </c>
      <c r="CB508" s="271" t="str">
        <f t="shared" si="513"/>
        <v>---</v>
      </c>
      <c r="CC508" s="140">
        <f t="shared" si="529"/>
        <v>999.99</v>
      </c>
      <c r="CD508" s="263">
        <f t="shared" si="514"/>
        <v>1</v>
      </c>
      <c r="CE508" s="140" t="str">
        <f>WORKSHEET_CONSTR!N505</f>
        <v>---</v>
      </c>
      <c r="CF508" s="140" t="str">
        <f>WORKSHEET_CONSTR!M505</f>
        <v>---</v>
      </c>
      <c r="CG508" s="140">
        <f t="shared" si="530"/>
        <v>999.99</v>
      </c>
      <c r="CH508" s="263">
        <f t="shared" si="515"/>
        <v>1</v>
      </c>
    </row>
    <row r="509" spans="1:86">
      <c r="A509" s="438" t="str">
        <f t="shared" si="475"/>
        <v>---</v>
      </c>
      <c r="B509" s="294" t="str">
        <f t="shared" si="475"/>
        <v>---</v>
      </c>
      <c r="C509" s="296" t="str">
        <f t="shared" si="476"/>
        <v>---</v>
      </c>
      <c r="D509" s="294" t="str">
        <f t="shared" si="516"/>
        <v>---</v>
      </c>
      <c r="E509" s="294" t="str">
        <f t="shared" si="477"/>
        <v>---</v>
      </c>
      <c r="F509" s="294" t="str">
        <f t="shared" si="478"/>
        <v>---</v>
      </c>
      <c r="G509" s="294" t="str">
        <f t="shared" si="479"/>
        <v>---</v>
      </c>
      <c r="H509" s="291" t="str">
        <f t="shared" si="480"/>
        <v>---</v>
      </c>
      <c r="I509" s="441" t="str">
        <f t="shared" si="481"/>
        <v>---</v>
      </c>
      <c r="J509" s="441" t="str">
        <f t="shared" si="482"/>
        <v>---</v>
      </c>
      <c r="K509" s="294" t="str">
        <f t="shared" si="517"/>
        <v>---</v>
      </c>
      <c r="L509" s="294" t="str">
        <f t="shared" si="483"/>
        <v>---</v>
      </c>
      <c r="M509" s="291" t="str">
        <f t="shared" si="518"/>
        <v>---</v>
      </c>
      <c r="N509" s="294" t="str">
        <f t="shared" si="484"/>
        <v>---</v>
      </c>
      <c r="O509" s="441" t="str">
        <f t="shared" si="485"/>
        <v>---</v>
      </c>
      <c r="AE509" s="140" t="str">
        <f t="shared" si="486"/>
        <v>---</v>
      </c>
      <c r="AF509" s="140" t="str">
        <f t="shared" si="487"/>
        <v>---</v>
      </c>
      <c r="AG509" s="140">
        <f t="shared" si="519"/>
        <v>999.99</v>
      </c>
      <c r="AH509" s="263">
        <f t="shared" si="488"/>
        <v>0</v>
      </c>
      <c r="AI509" s="140" t="str">
        <f>WORKSHEET_CONSTR!G448</f>
        <v>---</v>
      </c>
      <c r="AJ509" s="140" t="str">
        <f>WORKSHEET_CONSTR!F448</f>
        <v>---</v>
      </c>
      <c r="AK509" s="140">
        <f t="shared" si="520"/>
        <v>999.99</v>
      </c>
      <c r="AL509" s="263">
        <f t="shared" si="489"/>
        <v>0</v>
      </c>
      <c r="AM509" s="267" t="str">
        <f t="shared" si="490"/>
        <v>---</v>
      </c>
      <c r="AN509" s="140" t="str">
        <f t="shared" si="491"/>
        <v>---</v>
      </c>
      <c r="AO509" s="140">
        <f t="shared" si="521"/>
        <v>999.99</v>
      </c>
      <c r="AP509" s="263">
        <f t="shared" si="492"/>
        <v>1</v>
      </c>
      <c r="AQ509" s="140" t="str">
        <f>WORKSHEET_CONSTR!Q195</f>
        <v>---</v>
      </c>
      <c r="AR509" s="140" t="str">
        <f>WORKSHEET_CONSTR!E448</f>
        <v>---</v>
      </c>
      <c r="AS509" s="140">
        <f t="shared" si="522"/>
        <v>999.99</v>
      </c>
      <c r="AT509" s="263">
        <f t="shared" si="493"/>
        <v>1</v>
      </c>
      <c r="AU509" s="140" t="str">
        <f t="shared" si="494"/>
        <v>---</v>
      </c>
      <c r="AV509" s="140" t="str">
        <f t="shared" si="495"/>
        <v>---</v>
      </c>
      <c r="AW509" s="140">
        <f t="shared" si="523"/>
        <v>999.99</v>
      </c>
      <c r="AX509" s="263">
        <f t="shared" si="496"/>
        <v>1</v>
      </c>
      <c r="AY509" s="140" t="str">
        <f>WORKSHEET_CONSTR!R195</f>
        <v>---</v>
      </c>
      <c r="AZ509" s="140" t="str">
        <f>WORKSHEET_CONSTR!C448</f>
        <v>---</v>
      </c>
      <c r="BA509" s="140">
        <f t="shared" si="524"/>
        <v>999.99</v>
      </c>
      <c r="BB509" s="263">
        <f t="shared" si="497"/>
        <v>1</v>
      </c>
      <c r="BC509" s="267" t="str">
        <f t="shared" si="498"/>
        <v>---</v>
      </c>
      <c r="BD509" s="140" t="str">
        <f t="shared" si="499"/>
        <v>---</v>
      </c>
      <c r="BE509" s="140">
        <f t="shared" si="500"/>
        <v>999.99</v>
      </c>
      <c r="BF509" s="263">
        <f t="shared" si="501"/>
        <v>0</v>
      </c>
      <c r="BG509" s="140" t="str">
        <f>WORKSHEET_CONSTR!D506</f>
        <v>---</v>
      </c>
      <c r="BH509" s="140" t="str">
        <f>WORKSHEET_CONSTR!C506</f>
        <v>---</v>
      </c>
      <c r="BI509" s="140">
        <f t="shared" si="502"/>
        <v>999.99</v>
      </c>
      <c r="BJ509" s="263">
        <f t="shared" si="503"/>
        <v>0</v>
      </c>
      <c r="BK509" s="140" t="str">
        <f t="shared" si="504"/>
        <v>---</v>
      </c>
      <c r="BL509" s="140" t="str">
        <f t="shared" si="505"/>
        <v>---</v>
      </c>
      <c r="BM509" s="140">
        <f t="shared" si="525"/>
        <v>999.99</v>
      </c>
      <c r="BN509" s="263">
        <f t="shared" si="506"/>
        <v>1</v>
      </c>
      <c r="BO509" s="140" t="str">
        <f>WORKSHEET_CONSTR!H506</f>
        <v>---</v>
      </c>
      <c r="BP509" s="140" t="str">
        <f>WORKSHEET_CONSTR!F506</f>
        <v>---</v>
      </c>
      <c r="BQ509" s="140">
        <f t="shared" si="526"/>
        <v>999.99</v>
      </c>
      <c r="BR509" s="263">
        <f t="shared" si="507"/>
        <v>1</v>
      </c>
      <c r="BS509" s="267" t="str">
        <f t="shared" si="508"/>
        <v>---</v>
      </c>
      <c r="BT509" s="210" t="str">
        <f t="shared" si="509"/>
        <v>---</v>
      </c>
      <c r="BU509" s="140">
        <f t="shared" si="527"/>
        <v>999.99</v>
      </c>
      <c r="BV509" s="263">
        <f t="shared" si="510"/>
        <v>1</v>
      </c>
      <c r="BW509" s="140" t="str">
        <f>WORKSHEET_CONSTR!K506</f>
        <v>---</v>
      </c>
      <c r="BX509" s="140" t="str">
        <f>WORKSHEET_CONSTR!J506</f>
        <v>---</v>
      </c>
      <c r="BY509" s="140">
        <f t="shared" si="528"/>
        <v>999.99</v>
      </c>
      <c r="BZ509" s="263">
        <f t="shared" si="511"/>
        <v>1</v>
      </c>
      <c r="CA509" s="271" t="str">
        <f t="shared" si="512"/>
        <v>---</v>
      </c>
      <c r="CB509" s="271" t="str">
        <f t="shared" si="513"/>
        <v>---</v>
      </c>
      <c r="CC509" s="140">
        <f t="shared" si="529"/>
        <v>999.99</v>
      </c>
      <c r="CD509" s="263">
        <f t="shared" si="514"/>
        <v>1</v>
      </c>
      <c r="CE509" s="140" t="str">
        <f>WORKSHEET_CONSTR!N506</f>
        <v>---</v>
      </c>
      <c r="CF509" s="140" t="str">
        <f>WORKSHEET_CONSTR!M506</f>
        <v>---</v>
      </c>
      <c r="CG509" s="140">
        <f t="shared" si="530"/>
        <v>999.99</v>
      </c>
      <c r="CH509" s="263">
        <f t="shared" si="515"/>
        <v>1</v>
      </c>
    </row>
    <row r="510" spans="1:86">
      <c r="A510" s="438" t="str">
        <f t="shared" si="475"/>
        <v>---</v>
      </c>
      <c r="B510" s="294" t="str">
        <f t="shared" si="475"/>
        <v>---</v>
      </c>
      <c r="C510" s="296" t="str">
        <f t="shared" si="476"/>
        <v>---</v>
      </c>
      <c r="D510" s="294" t="str">
        <f t="shared" si="516"/>
        <v>---</v>
      </c>
      <c r="E510" s="294" t="str">
        <f t="shared" si="477"/>
        <v>---</v>
      </c>
      <c r="F510" s="294" t="str">
        <f t="shared" si="478"/>
        <v>---</v>
      </c>
      <c r="G510" s="294" t="str">
        <f t="shared" si="479"/>
        <v>---</v>
      </c>
      <c r="H510" s="291" t="str">
        <f t="shared" si="480"/>
        <v>---</v>
      </c>
      <c r="I510" s="441" t="str">
        <f t="shared" si="481"/>
        <v>---</v>
      </c>
      <c r="J510" s="441" t="str">
        <f t="shared" si="482"/>
        <v>---</v>
      </c>
      <c r="K510" s="294" t="str">
        <f t="shared" si="517"/>
        <v>---</v>
      </c>
      <c r="L510" s="294" t="str">
        <f t="shared" si="483"/>
        <v>---</v>
      </c>
      <c r="M510" s="291" t="str">
        <f t="shared" si="518"/>
        <v>---</v>
      </c>
      <c r="N510" s="294" t="str">
        <f t="shared" si="484"/>
        <v>---</v>
      </c>
      <c r="O510" s="441" t="str">
        <f t="shared" si="485"/>
        <v>---</v>
      </c>
      <c r="AE510" s="140" t="str">
        <f t="shared" si="486"/>
        <v>---</v>
      </c>
      <c r="AF510" s="140" t="str">
        <f t="shared" si="487"/>
        <v>---</v>
      </c>
      <c r="AG510" s="140">
        <f t="shared" si="519"/>
        <v>999.99</v>
      </c>
      <c r="AH510" s="263">
        <f t="shared" si="488"/>
        <v>0</v>
      </c>
      <c r="AI510" s="140" t="str">
        <f>WORKSHEET_CONSTR!G449</f>
        <v>---</v>
      </c>
      <c r="AJ510" s="140" t="str">
        <f>WORKSHEET_CONSTR!F449</f>
        <v>---</v>
      </c>
      <c r="AK510" s="140">
        <f t="shared" si="520"/>
        <v>999.99</v>
      </c>
      <c r="AL510" s="263">
        <f t="shared" si="489"/>
        <v>0</v>
      </c>
      <c r="AM510" s="267" t="str">
        <f t="shared" si="490"/>
        <v>---</v>
      </c>
      <c r="AN510" s="140" t="str">
        <f t="shared" si="491"/>
        <v>---</v>
      </c>
      <c r="AO510" s="140">
        <f t="shared" si="521"/>
        <v>999.99</v>
      </c>
      <c r="AP510" s="263">
        <f t="shared" si="492"/>
        <v>1</v>
      </c>
      <c r="AQ510" s="140" t="str">
        <f>WORKSHEET_CONSTR!Q196</f>
        <v>---</v>
      </c>
      <c r="AR510" s="140" t="str">
        <f>WORKSHEET_CONSTR!E449</f>
        <v>---</v>
      </c>
      <c r="AS510" s="140">
        <f t="shared" si="522"/>
        <v>999.99</v>
      </c>
      <c r="AT510" s="263">
        <f t="shared" si="493"/>
        <v>1</v>
      </c>
      <c r="AU510" s="140" t="str">
        <f t="shared" si="494"/>
        <v>---</v>
      </c>
      <c r="AV510" s="140" t="str">
        <f t="shared" si="495"/>
        <v>---</v>
      </c>
      <c r="AW510" s="140">
        <f t="shared" si="523"/>
        <v>999.99</v>
      </c>
      <c r="AX510" s="263">
        <f t="shared" si="496"/>
        <v>1</v>
      </c>
      <c r="AY510" s="140" t="str">
        <f>WORKSHEET_CONSTR!R196</f>
        <v>---</v>
      </c>
      <c r="AZ510" s="140" t="str">
        <f>WORKSHEET_CONSTR!C449</f>
        <v>---</v>
      </c>
      <c r="BA510" s="140">
        <f t="shared" si="524"/>
        <v>999.99</v>
      </c>
      <c r="BB510" s="263">
        <f t="shared" si="497"/>
        <v>1</v>
      </c>
      <c r="BC510" s="267" t="str">
        <f t="shared" si="498"/>
        <v>---</v>
      </c>
      <c r="BD510" s="140" t="str">
        <f t="shared" si="499"/>
        <v>---</v>
      </c>
      <c r="BE510" s="140">
        <f t="shared" si="500"/>
        <v>999.99</v>
      </c>
      <c r="BF510" s="263">
        <f t="shared" si="501"/>
        <v>0</v>
      </c>
      <c r="BG510" s="140" t="str">
        <f>WORKSHEET_CONSTR!D507</f>
        <v>---</v>
      </c>
      <c r="BH510" s="140" t="str">
        <f>WORKSHEET_CONSTR!C507</f>
        <v>---</v>
      </c>
      <c r="BI510" s="140">
        <f t="shared" si="502"/>
        <v>999.99</v>
      </c>
      <c r="BJ510" s="263">
        <f t="shared" si="503"/>
        <v>0</v>
      </c>
      <c r="BK510" s="140" t="str">
        <f t="shared" si="504"/>
        <v>---</v>
      </c>
      <c r="BL510" s="140" t="str">
        <f t="shared" si="505"/>
        <v>---</v>
      </c>
      <c r="BM510" s="140">
        <f t="shared" si="525"/>
        <v>999.99</v>
      </c>
      <c r="BN510" s="263">
        <f t="shared" si="506"/>
        <v>1</v>
      </c>
      <c r="BO510" s="140" t="str">
        <f>WORKSHEET_CONSTR!H507</f>
        <v>---</v>
      </c>
      <c r="BP510" s="140" t="str">
        <f>WORKSHEET_CONSTR!F507</f>
        <v>---</v>
      </c>
      <c r="BQ510" s="140">
        <f t="shared" si="526"/>
        <v>999.99</v>
      </c>
      <c r="BR510" s="263">
        <f t="shared" si="507"/>
        <v>1</v>
      </c>
      <c r="BS510" s="267" t="str">
        <f t="shared" si="508"/>
        <v>---</v>
      </c>
      <c r="BT510" s="210" t="str">
        <f t="shared" si="509"/>
        <v>---</v>
      </c>
      <c r="BU510" s="140">
        <f t="shared" si="527"/>
        <v>999.99</v>
      </c>
      <c r="BV510" s="263">
        <f t="shared" si="510"/>
        <v>1</v>
      </c>
      <c r="BW510" s="140" t="str">
        <f>WORKSHEET_CONSTR!K507</f>
        <v>---</v>
      </c>
      <c r="BX510" s="140" t="str">
        <f>WORKSHEET_CONSTR!J507</f>
        <v>---</v>
      </c>
      <c r="BY510" s="140">
        <f t="shared" si="528"/>
        <v>999.99</v>
      </c>
      <c r="BZ510" s="263">
        <f t="shared" si="511"/>
        <v>1</v>
      </c>
      <c r="CA510" s="271" t="str">
        <f t="shared" si="512"/>
        <v>---</v>
      </c>
      <c r="CB510" s="271" t="str">
        <f t="shared" si="513"/>
        <v>---</v>
      </c>
      <c r="CC510" s="140">
        <f t="shared" si="529"/>
        <v>999.99</v>
      </c>
      <c r="CD510" s="263">
        <f t="shared" si="514"/>
        <v>1</v>
      </c>
      <c r="CE510" s="140" t="str">
        <f>WORKSHEET_CONSTR!N507</f>
        <v>---</v>
      </c>
      <c r="CF510" s="140" t="str">
        <f>WORKSHEET_CONSTR!M507</f>
        <v>---</v>
      </c>
      <c r="CG510" s="140">
        <f t="shared" si="530"/>
        <v>999.99</v>
      </c>
      <c r="CH510" s="263">
        <f t="shared" si="515"/>
        <v>1</v>
      </c>
    </row>
    <row r="511" spans="1:86">
      <c r="A511" s="438" t="str">
        <f t="shared" si="475"/>
        <v>---</v>
      </c>
      <c r="B511" s="294" t="str">
        <f t="shared" si="475"/>
        <v>---</v>
      </c>
      <c r="C511" s="296" t="str">
        <f t="shared" si="476"/>
        <v>---</v>
      </c>
      <c r="D511" s="294" t="str">
        <f t="shared" si="516"/>
        <v>---</v>
      </c>
      <c r="E511" s="294" t="str">
        <f t="shared" si="477"/>
        <v>---</v>
      </c>
      <c r="F511" s="294" t="str">
        <f t="shared" si="478"/>
        <v>---</v>
      </c>
      <c r="G511" s="294" t="str">
        <f t="shared" si="479"/>
        <v>---</v>
      </c>
      <c r="H511" s="291" t="str">
        <f t="shared" si="480"/>
        <v>---</v>
      </c>
      <c r="I511" s="441" t="str">
        <f t="shared" si="481"/>
        <v>---</v>
      </c>
      <c r="J511" s="441" t="str">
        <f t="shared" si="482"/>
        <v>---</v>
      </c>
      <c r="K511" s="294" t="str">
        <f t="shared" si="517"/>
        <v>---</v>
      </c>
      <c r="L511" s="294" t="str">
        <f t="shared" si="483"/>
        <v>---</v>
      </c>
      <c r="M511" s="291" t="str">
        <f t="shared" si="518"/>
        <v>---</v>
      </c>
      <c r="N511" s="294" t="str">
        <f t="shared" si="484"/>
        <v>---</v>
      </c>
      <c r="O511" s="441" t="str">
        <f t="shared" si="485"/>
        <v>---</v>
      </c>
      <c r="AE511" s="140" t="str">
        <f t="shared" si="486"/>
        <v>---</v>
      </c>
      <c r="AF511" s="140" t="str">
        <f t="shared" si="487"/>
        <v>---</v>
      </c>
      <c r="AG511" s="140">
        <f t="shared" si="519"/>
        <v>999.99</v>
      </c>
      <c r="AH511" s="263">
        <f t="shared" si="488"/>
        <v>0</v>
      </c>
      <c r="AI511" s="140" t="str">
        <f>WORKSHEET_CONSTR!G450</f>
        <v>---</v>
      </c>
      <c r="AJ511" s="140" t="str">
        <f>WORKSHEET_CONSTR!F450</f>
        <v>---</v>
      </c>
      <c r="AK511" s="140">
        <f t="shared" si="520"/>
        <v>999.99</v>
      </c>
      <c r="AL511" s="263">
        <f t="shared" si="489"/>
        <v>0</v>
      </c>
      <c r="AM511" s="267" t="str">
        <f t="shared" si="490"/>
        <v>---</v>
      </c>
      <c r="AN511" s="140" t="str">
        <f t="shared" si="491"/>
        <v>---</v>
      </c>
      <c r="AO511" s="140">
        <f t="shared" si="521"/>
        <v>999.99</v>
      </c>
      <c r="AP511" s="263">
        <f t="shared" si="492"/>
        <v>1</v>
      </c>
      <c r="AQ511" s="140" t="str">
        <f>WORKSHEET_CONSTR!Q197</f>
        <v>---</v>
      </c>
      <c r="AR511" s="140" t="str">
        <f>WORKSHEET_CONSTR!E450</f>
        <v>---</v>
      </c>
      <c r="AS511" s="140">
        <f t="shared" si="522"/>
        <v>999.99</v>
      </c>
      <c r="AT511" s="263">
        <f t="shared" si="493"/>
        <v>1</v>
      </c>
      <c r="AU511" s="140" t="str">
        <f t="shared" si="494"/>
        <v>---</v>
      </c>
      <c r="AV511" s="140" t="str">
        <f t="shared" si="495"/>
        <v>---</v>
      </c>
      <c r="AW511" s="140">
        <f t="shared" si="523"/>
        <v>999.99</v>
      </c>
      <c r="AX511" s="263">
        <f t="shared" si="496"/>
        <v>1</v>
      </c>
      <c r="AY511" s="140" t="str">
        <f>WORKSHEET_CONSTR!R197</f>
        <v>---</v>
      </c>
      <c r="AZ511" s="140" t="str">
        <f>WORKSHEET_CONSTR!C450</f>
        <v>---</v>
      </c>
      <c r="BA511" s="140">
        <f t="shared" si="524"/>
        <v>999.99</v>
      </c>
      <c r="BB511" s="263">
        <f t="shared" si="497"/>
        <v>1</v>
      </c>
      <c r="BC511" s="267" t="str">
        <f t="shared" si="498"/>
        <v>---</v>
      </c>
      <c r="BD511" s="140" t="str">
        <f t="shared" si="499"/>
        <v>---</v>
      </c>
      <c r="BE511" s="140">
        <f t="shared" si="500"/>
        <v>999.99</v>
      </c>
      <c r="BF511" s="263">
        <f t="shared" si="501"/>
        <v>0</v>
      </c>
      <c r="BG511" s="140" t="str">
        <f>WORKSHEET_CONSTR!D508</f>
        <v>---</v>
      </c>
      <c r="BH511" s="140" t="str">
        <f>WORKSHEET_CONSTR!C508</f>
        <v>---</v>
      </c>
      <c r="BI511" s="140">
        <f t="shared" si="502"/>
        <v>999.99</v>
      </c>
      <c r="BJ511" s="263">
        <f t="shared" si="503"/>
        <v>0</v>
      </c>
      <c r="BK511" s="140" t="str">
        <f t="shared" si="504"/>
        <v>---</v>
      </c>
      <c r="BL511" s="140" t="str">
        <f t="shared" si="505"/>
        <v>---</v>
      </c>
      <c r="BM511" s="140">
        <f t="shared" si="525"/>
        <v>999.99</v>
      </c>
      <c r="BN511" s="263">
        <f t="shared" si="506"/>
        <v>1</v>
      </c>
      <c r="BO511" s="140" t="str">
        <f>WORKSHEET_CONSTR!H508</f>
        <v>---</v>
      </c>
      <c r="BP511" s="140" t="str">
        <f>WORKSHEET_CONSTR!F508</f>
        <v>---</v>
      </c>
      <c r="BQ511" s="140">
        <f t="shared" si="526"/>
        <v>999.99</v>
      </c>
      <c r="BR511" s="263">
        <f t="shared" si="507"/>
        <v>1</v>
      </c>
      <c r="BS511" s="267" t="str">
        <f t="shared" si="508"/>
        <v>---</v>
      </c>
      <c r="BT511" s="210" t="str">
        <f t="shared" si="509"/>
        <v>---</v>
      </c>
      <c r="BU511" s="140">
        <f t="shared" si="527"/>
        <v>999.99</v>
      </c>
      <c r="BV511" s="263">
        <f t="shared" si="510"/>
        <v>1</v>
      </c>
      <c r="BW511" s="140" t="str">
        <f>WORKSHEET_CONSTR!K508</f>
        <v>---</v>
      </c>
      <c r="BX511" s="140" t="str">
        <f>WORKSHEET_CONSTR!J508</f>
        <v>---</v>
      </c>
      <c r="BY511" s="140">
        <f t="shared" si="528"/>
        <v>999.99</v>
      </c>
      <c r="BZ511" s="263">
        <f t="shared" si="511"/>
        <v>1</v>
      </c>
      <c r="CA511" s="271" t="str">
        <f t="shared" si="512"/>
        <v>---</v>
      </c>
      <c r="CB511" s="271" t="str">
        <f t="shared" si="513"/>
        <v>---</v>
      </c>
      <c r="CC511" s="140">
        <f t="shared" si="529"/>
        <v>999.99</v>
      </c>
      <c r="CD511" s="263">
        <f t="shared" si="514"/>
        <v>1</v>
      </c>
      <c r="CE511" s="140" t="str">
        <f>WORKSHEET_CONSTR!N508</f>
        <v>---</v>
      </c>
      <c r="CF511" s="140" t="str">
        <f>WORKSHEET_CONSTR!M508</f>
        <v>---</v>
      </c>
      <c r="CG511" s="140">
        <f t="shared" si="530"/>
        <v>999.99</v>
      </c>
      <c r="CH511" s="263">
        <f t="shared" si="515"/>
        <v>1</v>
      </c>
    </row>
    <row r="512" spans="1:86">
      <c r="A512" s="438" t="str">
        <f t="shared" ref="A512:B531" si="531">A318</f>
        <v>---</v>
      </c>
      <c r="B512" s="294" t="str">
        <f t="shared" si="531"/>
        <v>---</v>
      </c>
      <c r="C512" s="296" t="str">
        <f t="shared" si="476"/>
        <v>---</v>
      </c>
      <c r="D512" s="294" t="str">
        <f t="shared" si="516"/>
        <v>---</v>
      </c>
      <c r="E512" s="294" t="str">
        <f t="shared" si="477"/>
        <v>---</v>
      </c>
      <c r="F512" s="294" t="str">
        <f t="shared" si="478"/>
        <v>---</v>
      </c>
      <c r="G512" s="294" t="str">
        <f t="shared" si="479"/>
        <v>---</v>
      </c>
      <c r="H512" s="291" t="str">
        <f t="shared" si="480"/>
        <v>---</v>
      </c>
      <c r="I512" s="441" t="str">
        <f t="shared" si="481"/>
        <v>---</v>
      </c>
      <c r="J512" s="441" t="str">
        <f t="shared" si="482"/>
        <v>---</v>
      </c>
      <c r="K512" s="294" t="str">
        <f t="shared" si="517"/>
        <v>---</v>
      </c>
      <c r="L512" s="294" t="str">
        <f t="shared" si="483"/>
        <v>---</v>
      </c>
      <c r="M512" s="291" t="str">
        <f t="shared" si="518"/>
        <v>---</v>
      </c>
      <c r="N512" s="294" t="str">
        <f t="shared" si="484"/>
        <v>---</v>
      </c>
      <c r="O512" s="441" t="str">
        <f t="shared" si="485"/>
        <v>---</v>
      </c>
      <c r="AE512" s="140" t="str">
        <f t="shared" si="486"/>
        <v>---</v>
      </c>
      <c r="AF512" s="140" t="str">
        <f t="shared" si="487"/>
        <v>---</v>
      </c>
      <c r="AG512" s="140">
        <f t="shared" si="519"/>
        <v>999.99</v>
      </c>
      <c r="AH512" s="263">
        <f t="shared" si="488"/>
        <v>0</v>
      </c>
      <c r="AI512" s="140" t="str">
        <f>WORKSHEET_CONSTR!G451</f>
        <v>---</v>
      </c>
      <c r="AJ512" s="140" t="str">
        <f>WORKSHEET_CONSTR!F451</f>
        <v>---</v>
      </c>
      <c r="AK512" s="140">
        <f t="shared" si="520"/>
        <v>999.99</v>
      </c>
      <c r="AL512" s="263">
        <f t="shared" si="489"/>
        <v>0</v>
      </c>
      <c r="AM512" s="267" t="str">
        <f t="shared" si="490"/>
        <v>---</v>
      </c>
      <c r="AN512" s="140" t="str">
        <f t="shared" si="491"/>
        <v>---</v>
      </c>
      <c r="AO512" s="140">
        <f t="shared" si="521"/>
        <v>999.99</v>
      </c>
      <c r="AP512" s="263">
        <f t="shared" si="492"/>
        <v>1</v>
      </c>
      <c r="AQ512" s="140" t="str">
        <f>WORKSHEET_CONSTR!Q198</f>
        <v>---</v>
      </c>
      <c r="AR512" s="140" t="str">
        <f>WORKSHEET_CONSTR!E451</f>
        <v>---</v>
      </c>
      <c r="AS512" s="140">
        <f t="shared" si="522"/>
        <v>999.99</v>
      </c>
      <c r="AT512" s="263">
        <f t="shared" si="493"/>
        <v>1</v>
      </c>
      <c r="AU512" s="140" t="str">
        <f t="shared" si="494"/>
        <v>---</v>
      </c>
      <c r="AV512" s="140" t="str">
        <f t="shared" si="495"/>
        <v>---</v>
      </c>
      <c r="AW512" s="140">
        <f t="shared" si="523"/>
        <v>999.99</v>
      </c>
      <c r="AX512" s="263">
        <f t="shared" si="496"/>
        <v>1</v>
      </c>
      <c r="AY512" s="140" t="str">
        <f>WORKSHEET_CONSTR!R198</f>
        <v>---</v>
      </c>
      <c r="AZ512" s="140" t="str">
        <f>WORKSHEET_CONSTR!C451</f>
        <v>---</v>
      </c>
      <c r="BA512" s="140">
        <f t="shared" si="524"/>
        <v>999.99</v>
      </c>
      <c r="BB512" s="263">
        <f t="shared" si="497"/>
        <v>1</v>
      </c>
      <c r="BC512" s="267" t="str">
        <f t="shared" si="498"/>
        <v>---</v>
      </c>
      <c r="BD512" s="140" t="str">
        <f t="shared" si="499"/>
        <v>---</v>
      </c>
      <c r="BE512" s="140">
        <f t="shared" si="500"/>
        <v>999.99</v>
      </c>
      <c r="BF512" s="263">
        <f t="shared" si="501"/>
        <v>0</v>
      </c>
      <c r="BG512" s="140" t="str">
        <f>WORKSHEET_CONSTR!D509</f>
        <v>---</v>
      </c>
      <c r="BH512" s="140" t="str">
        <f>WORKSHEET_CONSTR!C509</f>
        <v>---</v>
      </c>
      <c r="BI512" s="140">
        <f t="shared" si="502"/>
        <v>999.99</v>
      </c>
      <c r="BJ512" s="263">
        <f t="shared" si="503"/>
        <v>0</v>
      </c>
      <c r="BK512" s="140" t="str">
        <f t="shared" si="504"/>
        <v>---</v>
      </c>
      <c r="BL512" s="140" t="str">
        <f t="shared" si="505"/>
        <v>---</v>
      </c>
      <c r="BM512" s="140">
        <f t="shared" si="525"/>
        <v>999.99</v>
      </c>
      <c r="BN512" s="263">
        <f t="shared" si="506"/>
        <v>1</v>
      </c>
      <c r="BO512" s="140" t="str">
        <f>WORKSHEET_CONSTR!H509</f>
        <v>---</v>
      </c>
      <c r="BP512" s="140" t="str">
        <f>WORKSHEET_CONSTR!F509</f>
        <v>---</v>
      </c>
      <c r="BQ512" s="140">
        <f t="shared" si="526"/>
        <v>999.99</v>
      </c>
      <c r="BR512" s="263">
        <f t="shared" si="507"/>
        <v>1</v>
      </c>
      <c r="BS512" s="267" t="str">
        <f t="shared" si="508"/>
        <v>---</v>
      </c>
      <c r="BT512" s="210" t="str">
        <f t="shared" si="509"/>
        <v>---</v>
      </c>
      <c r="BU512" s="140">
        <f t="shared" si="527"/>
        <v>999.99</v>
      </c>
      <c r="BV512" s="263">
        <f t="shared" si="510"/>
        <v>1</v>
      </c>
      <c r="BW512" s="140" t="str">
        <f>WORKSHEET_CONSTR!K509</f>
        <v>---</v>
      </c>
      <c r="BX512" s="140" t="str">
        <f>WORKSHEET_CONSTR!J509</f>
        <v>---</v>
      </c>
      <c r="BY512" s="140">
        <f t="shared" si="528"/>
        <v>999.99</v>
      </c>
      <c r="BZ512" s="263">
        <f t="shared" si="511"/>
        <v>1</v>
      </c>
      <c r="CA512" s="271" t="str">
        <f t="shared" si="512"/>
        <v>---</v>
      </c>
      <c r="CB512" s="271" t="str">
        <f t="shared" si="513"/>
        <v>---</v>
      </c>
      <c r="CC512" s="140">
        <f t="shared" si="529"/>
        <v>999.99</v>
      </c>
      <c r="CD512" s="263">
        <f t="shared" si="514"/>
        <v>1</v>
      </c>
      <c r="CE512" s="140" t="str">
        <f>WORKSHEET_CONSTR!N509</f>
        <v>---</v>
      </c>
      <c r="CF512" s="140" t="str">
        <f>WORKSHEET_CONSTR!M509</f>
        <v>---</v>
      </c>
      <c r="CG512" s="140">
        <f t="shared" si="530"/>
        <v>999.99</v>
      </c>
      <c r="CH512" s="263">
        <f t="shared" si="515"/>
        <v>1</v>
      </c>
    </row>
    <row r="513" spans="1:86">
      <c r="A513" s="438" t="str">
        <f t="shared" si="531"/>
        <v>---</v>
      </c>
      <c r="B513" s="294" t="str">
        <f t="shared" si="531"/>
        <v>---</v>
      </c>
      <c r="C513" s="296" t="str">
        <f t="shared" si="476"/>
        <v>---</v>
      </c>
      <c r="D513" s="294" t="str">
        <f t="shared" si="516"/>
        <v>---</v>
      </c>
      <c r="E513" s="294" t="str">
        <f t="shared" si="477"/>
        <v>---</v>
      </c>
      <c r="F513" s="294" t="str">
        <f t="shared" si="478"/>
        <v>---</v>
      </c>
      <c r="G513" s="294" t="str">
        <f t="shared" si="479"/>
        <v>---</v>
      </c>
      <c r="H513" s="291" t="str">
        <f t="shared" si="480"/>
        <v>---</v>
      </c>
      <c r="I513" s="441" t="str">
        <f t="shared" si="481"/>
        <v>---</v>
      </c>
      <c r="J513" s="441" t="str">
        <f t="shared" si="482"/>
        <v>---</v>
      </c>
      <c r="K513" s="294" t="str">
        <f t="shared" si="517"/>
        <v>---</v>
      </c>
      <c r="L513" s="294" t="str">
        <f t="shared" si="483"/>
        <v>---</v>
      </c>
      <c r="M513" s="291" t="str">
        <f t="shared" si="518"/>
        <v>---</v>
      </c>
      <c r="N513" s="294" t="str">
        <f t="shared" si="484"/>
        <v>---</v>
      </c>
      <c r="O513" s="441" t="str">
        <f t="shared" si="485"/>
        <v>---</v>
      </c>
      <c r="AE513" s="140" t="str">
        <f t="shared" si="486"/>
        <v>---</v>
      </c>
      <c r="AF513" s="140" t="str">
        <f t="shared" si="487"/>
        <v>---</v>
      </c>
      <c r="AG513" s="140">
        <f t="shared" si="519"/>
        <v>999.99</v>
      </c>
      <c r="AH513" s="263">
        <f t="shared" si="488"/>
        <v>0</v>
      </c>
      <c r="AI513" s="140" t="str">
        <f>WORKSHEET_CONSTR!G452</f>
        <v>---</v>
      </c>
      <c r="AJ513" s="140" t="str">
        <f>WORKSHEET_CONSTR!F452</f>
        <v>---</v>
      </c>
      <c r="AK513" s="140">
        <f t="shared" si="520"/>
        <v>999.99</v>
      </c>
      <c r="AL513" s="263">
        <f t="shared" si="489"/>
        <v>0</v>
      </c>
      <c r="AM513" s="267" t="str">
        <f t="shared" si="490"/>
        <v>---</v>
      </c>
      <c r="AN513" s="140" t="str">
        <f t="shared" si="491"/>
        <v>---</v>
      </c>
      <c r="AO513" s="140">
        <f t="shared" si="521"/>
        <v>999.99</v>
      </c>
      <c r="AP513" s="263">
        <f t="shared" si="492"/>
        <v>1</v>
      </c>
      <c r="AQ513" s="140" t="str">
        <f>WORKSHEET_CONSTR!Q199</f>
        <v>---</v>
      </c>
      <c r="AR513" s="140" t="str">
        <f>WORKSHEET_CONSTR!E452</f>
        <v>---</v>
      </c>
      <c r="AS513" s="140">
        <f t="shared" si="522"/>
        <v>999.99</v>
      </c>
      <c r="AT513" s="263">
        <f t="shared" si="493"/>
        <v>1</v>
      </c>
      <c r="AU513" s="140" t="str">
        <f t="shared" si="494"/>
        <v>---</v>
      </c>
      <c r="AV513" s="140" t="str">
        <f t="shared" si="495"/>
        <v>---</v>
      </c>
      <c r="AW513" s="140">
        <f t="shared" si="523"/>
        <v>999.99</v>
      </c>
      <c r="AX513" s="263">
        <f t="shared" si="496"/>
        <v>1</v>
      </c>
      <c r="AY513" s="140" t="str">
        <f>WORKSHEET_CONSTR!R199</f>
        <v>---</v>
      </c>
      <c r="AZ513" s="140" t="str">
        <f>WORKSHEET_CONSTR!C452</f>
        <v>---</v>
      </c>
      <c r="BA513" s="140">
        <f t="shared" si="524"/>
        <v>999.99</v>
      </c>
      <c r="BB513" s="263">
        <f t="shared" si="497"/>
        <v>1</v>
      </c>
      <c r="BC513" s="267" t="str">
        <f t="shared" si="498"/>
        <v>---</v>
      </c>
      <c r="BD513" s="140" t="str">
        <f t="shared" si="499"/>
        <v>---</v>
      </c>
      <c r="BE513" s="140">
        <f t="shared" si="500"/>
        <v>999.99</v>
      </c>
      <c r="BF513" s="263">
        <f t="shared" si="501"/>
        <v>0</v>
      </c>
      <c r="BG513" s="140" t="str">
        <f>WORKSHEET_CONSTR!D510</f>
        <v>---</v>
      </c>
      <c r="BH513" s="140" t="str">
        <f>WORKSHEET_CONSTR!C510</f>
        <v>---</v>
      </c>
      <c r="BI513" s="140">
        <f t="shared" si="502"/>
        <v>999.99</v>
      </c>
      <c r="BJ513" s="263">
        <f t="shared" si="503"/>
        <v>0</v>
      </c>
      <c r="BK513" s="140" t="str">
        <f t="shared" si="504"/>
        <v>---</v>
      </c>
      <c r="BL513" s="140" t="str">
        <f t="shared" si="505"/>
        <v>---</v>
      </c>
      <c r="BM513" s="140">
        <f t="shared" si="525"/>
        <v>999.99</v>
      </c>
      <c r="BN513" s="263">
        <f t="shared" si="506"/>
        <v>1</v>
      </c>
      <c r="BO513" s="140" t="str">
        <f>WORKSHEET_CONSTR!H510</f>
        <v>---</v>
      </c>
      <c r="BP513" s="140" t="str">
        <f>WORKSHEET_CONSTR!F510</f>
        <v>---</v>
      </c>
      <c r="BQ513" s="140">
        <f t="shared" si="526"/>
        <v>999.99</v>
      </c>
      <c r="BR513" s="263">
        <f t="shared" si="507"/>
        <v>1</v>
      </c>
      <c r="BS513" s="267" t="str">
        <f t="shared" si="508"/>
        <v>---</v>
      </c>
      <c r="BT513" s="210" t="str">
        <f t="shared" si="509"/>
        <v>---</v>
      </c>
      <c r="BU513" s="140">
        <f t="shared" si="527"/>
        <v>999.99</v>
      </c>
      <c r="BV513" s="263">
        <f t="shared" si="510"/>
        <v>1</v>
      </c>
      <c r="BW513" s="140" t="str">
        <f>WORKSHEET_CONSTR!K510</f>
        <v>---</v>
      </c>
      <c r="BX513" s="140" t="str">
        <f>WORKSHEET_CONSTR!J510</f>
        <v>---</v>
      </c>
      <c r="BY513" s="140">
        <f t="shared" si="528"/>
        <v>999.99</v>
      </c>
      <c r="BZ513" s="263">
        <f t="shared" si="511"/>
        <v>1</v>
      </c>
      <c r="CA513" s="271" t="str">
        <f t="shared" si="512"/>
        <v>---</v>
      </c>
      <c r="CB513" s="271" t="str">
        <f t="shared" si="513"/>
        <v>---</v>
      </c>
      <c r="CC513" s="140">
        <f t="shared" si="529"/>
        <v>999.99</v>
      </c>
      <c r="CD513" s="263">
        <f t="shared" si="514"/>
        <v>1</v>
      </c>
      <c r="CE513" s="140" t="str">
        <f>WORKSHEET_CONSTR!N510</f>
        <v>---</v>
      </c>
      <c r="CF513" s="140" t="str">
        <f>WORKSHEET_CONSTR!M510</f>
        <v>---</v>
      </c>
      <c r="CG513" s="140">
        <f t="shared" si="530"/>
        <v>999.99</v>
      </c>
      <c r="CH513" s="263">
        <f t="shared" si="515"/>
        <v>1</v>
      </c>
    </row>
    <row r="514" spans="1:86">
      <c r="A514" s="438" t="str">
        <f t="shared" si="531"/>
        <v>---</v>
      </c>
      <c r="B514" s="294" t="str">
        <f t="shared" si="531"/>
        <v>---</v>
      </c>
      <c r="C514" s="296" t="str">
        <f t="shared" si="476"/>
        <v>---</v>
      </c>
      <c r="D514" s="294" t="str">
        <f t="shared" si="516"/>
        <v>---</v>
      </c>
      <c r="E514" s="294" t="str">
        <f t="shared" si="477"/>
        <v>---</v>
      </c>
      <c r="F514" s="294" t="str">
        <f t="shared" si="478"/>
        <v>---</v>
      </c>
      <c r="G514" s="294" t="str">
        <f t="shared" si="479"/>
        <v>---</v>
      </c>
      <c r="H514" s="291" t="str">
        <f t="shared" si="480"/>
        <v>---</v>
      </c>
      <c r="I514" s="441" t="str">
        <f t="shared" si="481"/>
        <v>---</v>
      </c>
      <c r="J514" s="441" t="str">
        <f t="shared" si="482"/>
        <v>---</v>
      </c>
      <c r="K514" s="294" t="str">
        <f t="shared" si="517"/>
        <v>---</v>
      </c>
      <c r="L514" s="294" t="str">
        <f t="shared" si="483"/>
        <v>---</v>
      </c>
      <c r="M514" s="291" t="str">
        <f t="shared" si="518"/>
        <v>---</v>
      </c>
      <c r="N514" s="294" t="str">
        <f t="shared" si="484"/>
        <v>---</v>
      </c>
      <c r="O514" s="441" t="str">
        <f t="shared" si="485"/>
        <v>---</v>
      </c>
      <c r="AE514" s="140" t="str">
        <f t="shared" si="486"/>
        <v>---</v>
      </c>
      <c r="AF514" s="140" t="str">
        <f t="shared" si="487"/>
        <v>---</v>
      </c>
      <c r="AG514" s="140">
        <f t="shared" si="519"/>
        <v>999.99</v>
      </c>
      <c r="AH514" s="263">
        <f t="shared" si="488"/>
        <v>0</v>
      </c>
      <c r="AI514" s="140" t="str">
        <f>WORKSHEET_CONSTR!G453</f>
        <v>---</v>
      </c>
      <c r="AJ514" s="140" t="str">
        <f>WORKSHEET_CONSTR!F453</f>
        <v>---</v>
      </c>
      <c r="AK514" s="140">
        <f t="shared" si="520"/>
        <v>999.99</v>
      </c>
      <c r="AL514" s="263">
        <f t="shared" si="489"/>
        <v>0</v>
      </c>
      <c r="AM514" s="267" t="str">
        <f t="shared" si="490"/>
        <v>---</v>
      </c>
      <c r="AN514" s="140" t="str">
        <f t="shared" si="491"/>
        <v>---</v>
      </c>
      <c r="AO514" s="140">
        <f t="shared" si="521"/>
        <v>999.99</v>
      </c>
      <c r="AP514" s="263">
        <f t="shared" si="492"/>
        <v>1</v>
      </c>
      <c r="AQ514" s="140" t="str">
        <f>WORKSHEET_CONSTR!Q200</f>
        <v>---</v>
      </c>
      <c r="AR514" s="140" t="str">
        <f>WORKSHEET_CONSTR!E453</f>
        <v>---</v>
      </c>
      <c r="AS514" s="140">
        <f t="shared" si="522"/>
        <v>999.99</v>
      </c>
      <c r="AT514" s="263">
        <f t="shared" si="493"/>
        <v>1</v>
      </c>
      <c r="AU514" s="140" t="str">
        <f t="shared" si="494"/>
        <v>---</v>
      </c>
      <c r="AV514" s="140" t="str">
        <f t="shared" si="495"/>
        <v>---</v>
      </c>
      <c r="AW514" s="140">
        <f t="shared" si="523"/>
        <v>999.99</v>
      </c>
      <c r="AX514" s="263">
        <f t="shared" si="496"/>
        <v>1</v>
      </c>
      <c r="AY514" s="140" t="str">
        <f>WORKSHEET_CONSTR!R200</f>
        <v>---</v>
      </c>
      <c r="AZ514" s="140" t="str">
        <f>WORKSHEET_CONSTR!C453</f>
        <v>---</v>
      </c>
      <c r="BA514" s="140">
        <f t="shared" si="524"/>
        <v>999.99</v>
      </c>
      <c r="BB514" s="263">
        <f t="shared" si="497"/>
        <v>1</v>
      </c>
      <c r="BC514" s="267" t="str">
        <f t="shared" si="498"/>
        <v>---</v>
      </c>
      <c r="BD514" s="140" t="str">
        <f t="shared" si="499"/>
        <v>---</v>
      </c>
      <c r="BE514" s="140">
        <f t="shared" si="500"/>
        <v>999.99</v>
      </c>
      <c r="BF514" s="263">
        <f t="shared" si="501"/>
        <v>0</v>
      </c>
      <c r="BG514" s="140" t="str">
        <f>WORKSHEET_CONSTR!D511</f>
        <v>---</v>
      </c>
      <c r="BH514" s="140" t="str">
        <f>WORKSHEET_CONSTR!C511</f>
        <v>---</v>
      </c>
      <c r="BI514" s="140">
        <f t="shared" si="502"/>
        <v>999.99</v>
      </c>
      <c r="BJ514" s="263">
        <f t="shared" si="503"/>
        <v>0</v>
      </c>
      <c r="BK514" s="140" t="str">
        <f t="shared" si="504"/>
        <v>---</v>
      </c>
      <c r="BL514" s="140" t="str">
        <f t="shared" si="505"/>
        <v>---</v>
      </c>
      <c r="BM514" s="140">
        <f t="shared" si="525"/>
        <v>999.99</v>
      </c>
      <c r="BN514" s="263">
        <f t="shared" si="506"/>
        <v>1</v>
      </c>
      <c r="BO514" s="140" t="str">
        <f>WORKSHEET_CONSTR!H511</f>
        <v>---</v>
      </c>
      <c r="BP514" s="140" t="str">
        <f>WORKSHEET_CONSTR!F511</f>
        <v>---</v>
      </c>
      <c r="BQ514" s="140">
        <f t="shared" si="526"/>
        <v>999.99</v>
      </c>
      <c r="BR514" s="263">
        <f t="shared" si="507"/>
        <v>1</v>
      </c>
      <c r="BS514" s="267" t="str">
        <f t="shared" si="508"/>
        <v>---</v>
      </c>
      <c r="BT514" s="210" t="str">
        <f t="shared" si="509"/>
        <v>---</v>
      </c>
      <c r="BU514" s="140">
        <f t="shared" si="527"/>
        <v>999.99</v>
      </c>
      <c r="BV514" s="263">
        <f t="shared" si="510"/>
        <v>1</v>
      </c>
      <c r="BW514" s="140" t="str">
        <f>WORKSHEET_CONSTR!K511</f>
        <v>---</v>
      </c>
      <c r="BX514" s="140" t="str">
        <f>WORKSHEET_CONSTR!J511</f>
        <v>---</v>
      </c>
      <c r="BY514" s="140">
        <f t="shared" si="528"/>
        <v>999.99</v>
      </c>
      <c r="BZ514" s="263">
        <f t="shared" si="511"/>
        <v>1</v>
      </c>
      <c r="CA514" s="271" t="str">
        <f t="shared" si="512"/>
        <v>---</v>
      </c>
      <c r="CB514" s="271" t="str">
        <f t="shared" si="513"/>
        <v>---</v>
      </c>
      <c r="CC514" s="140">
        <f t="shared" si="529"/>
        <v>999.99</v>
      </c>
      <c r="CD514" s="263">
        <f t="shared" si="514"/>
        <v>1</v>
      </c>
      <c r="CE514" s="140" t="str">
        <f>WORKSHEET_CONSTR!N511</f>
        <v>---</v>
      </c>
      <c r="CF514" s="140" t="str">
        <f>WORKSHEET_CONSTR!M511</f>
        <v>---</v>
      </c>
      <c r="CG514" s="140">
        <f t="shared" si="530"/>
        <v>999.99</v>
      </c>
      <c r="CH514" s="263">
        <f t="shared" si="515"/>
        <v>1</v>
      </c>
    </row>
    <row r="515" spans="1:86">
      <c r="A515" s="438" t="str">
        <f t="shared" si="531"/>
        <v>---</v>
      </c>
      <c r="B515" s="294" t="str">
        <f t="shared" si="531"/>
        <v>---</v>
      </c>
      <c r="C515" s="296" t="str">
        <f t="shared" si="476"/>
        <v>---</v>
      </c>
      <c r="D515" s="294" t="str">
        <f t="shared" si="516"/>
        <v>---</v>
      </c>
      <c r="E515" s="294" t="str">
        <f t="shared" si="477"/>
        <v>---</v>
      </c>
      <c r="F515" s="294" t="str">
        <f t="shared" si="478"/>
        <v>---</v>
      </c>
      <c r="G515" s="294" t="str">
        <f t="shared" si="479"/>
        <v>---</v>
      </c>
      <c r="H515" s="291" t="str">
        <f t="shared" si="480"/>
        <v>---</v>
      </c>
      <c r="I515" s="441" t="str">
        <f t="shared" si="481"/>
        <v>---</v>
      </c>
      <c r="J515" s="441" t="str">
        <f t="shared" si="482"/>
        <v>---</v>
      </c>
      <c r="K515" s="294" t="str">
        <f t="shared" si="517"/>
        <v>---</v>
      </c>
      <c r="L515" s="294" t="str">
        <f t="shared" si="483"/>
        <v>---</v>
      </c>
      <c r="M515" s="291" t="str">
        <f t="shared" si="518"/>
        <v>---</v>
      </c>
      <c r="N515" s="294" t="str">
        <f t="shared" si="484"/>
        <v>---</v>
      </c>
      <c r="O515" s="441" t="str">
        <f t="shared" si="485"/>
        <v>---</v>
      </c>
      <c r="AE515" s="140" t="str">
        <f t="shared" si="486"/>
        <v>---</v>
      </c>
      <c r="AF515" s="140" t="str">
        <f t="shared" si="487"/>
        <v>---</v>
      </c>
      <c r="AG515" s="140">
        <f t="shared" si="519"/>
        <v>999.99</v>
      </c>
      <c r="AH515" s="263">
        <f t="shared" si="488"/>
        <v>0</v>
      </c>
      <c r="AI515" s="140" t="str">
        <f>WORKSHEET_CONSTR!G454</f>
        <v>---</v>
      </c>
      <c r="AJ515" s="140" t="str">
        <f>WORKSHEET_CONSTR!F454</f>
        <v>---</v>
      </c>
      <c r="AK515" s="140">
        <f t="shared" si="520"/>
        <v>999.99</v>
      </c>
      <c r="AL515" s="263">
        <f t="shared" si="489"/>
        <v>0</v>
      </c>
      <c r="AM515" s="267" t="str">
        <f t="shared" si="490"/>
        <v>---</v>
      </c>
      <c r="AN515" s="140" t="str">
        <f t="shared" si="491"/>
        <v>---</v>
      </c>
      <c r="AO515" s="140">
        <f t="shared" si="521"/>
        <v>999.99</v>
      </c>
      <c r="AP515" s="263">
        <f t="shared" si="492"/>
        <v>1</v>
      </c>
      <c r="AQ515" s="140" t="str">
        <f>WORKSHEET_CONSTR!Q201</f>
        <v>---</v>
      </c>
      <c r="AR515" s="140" t="str">
        <f>WORKSHEET_CONSTR!E454</f>
        <v>---</v>
      </c>
      <c r="AS515" s="140">
        <f t="shared" si="522"/>
        <v>999.99</v>
      </c>
      <c r="AT515" s="263">
        <f t="shared" si="493"/>
        <v>1</v>
      </c>
      <c r="AU515" s="140" t="str">
        <f t="shared" si="494"/>
        <v>---</v>
      </c>
      <c r="AV515" s="140" t="str">
        <f t="shared" si="495"/>
        <v>---</v>
      </c>
      <c r="AW515" s="140">
        <f t="shared" si="523"/>
        <v>999.99</v>
      </c>
      <c r="AX515" s="263">
        <f t="shared" si="496"/>
        <v>1</v>
      </c>
      <c r="AY515" s="140" t="str">
        <f>WORKSHEET_CONSTR!R201</f>
        <v>---</v>
      </c>
      <c r="AZ515" s="140" t="str">
        <f>WORKSHEET_CONSTR!C454</f>
        <v>---</v>
      </c>
      <c r="BA515" s="140">
        <f t="shared" si="524"/>
        <v>999.99</v>
      </c>
      <c r="BB515" s="263">
        <f t="shared" si="497"/>
        <v>1</v>
      </c>
      <c r="BC515" s="267" t="str">
        <f t="shared" si="498"/>
        <v>---</v>
      </c>
      <c r="BD515" s="140" t="str">
        <f t="shared" si="499"/>
        <v>---</v>
      </c>
      <c r="BE515" s="140">
        <f t="shared" si="500"/>
        <v>999.99</v>
      </c>
      <c r="BF515" s="263">
        <f t="shared" si="501"/>
        <v>0</v>
      </c>
      <c r="BG515" s="140" t="str">
        <f>WORKSHEET_CONSTR!D512</f>
        <v>---</v>
      </c>
      <c r="BH515" s="140" t="str">
        <f>WORKSHEET_CONSTR!C512</f>
        <v>---</v>
      </c>
      <c r="BI515" s="140">
        <f t="shared" si="502"/>
        <v>999.99</v>
      </c>
      <c r="BJ515" s="263">
        <f t="shared" si="503"/>
        <v>0</v>
      </c>
      <c r="BK515" s="140" t="str">
        <f t="shared" si="504"/>
        <v>---</v>
      </c>
      <c r="BL515" s="140" t="str">
        <f t="shared" si="505"/>
        <v>---</v>
      </c>
      <c r="BM515" s="140">
        <f t="shared" si="525"/>
        <v>999.99</v>
      </c>
      <c r="BN515" s="263">
        <f t="shared" si="506"/>
        <v>1</v>
      </c>
      <c r="BO515" s="140" t="str">
        <f>WORKSHEET_CONSTR!H512</f>
        <v>---</v>
      </c>
      <c r="BP515" s="140" t="str">
        <f>WORKSHEET_CONSTR!F512</f>
        <v>---</v>
      </c>
      <c r="BQ515" s="140">
        <f t="shared" si="526"/>
        <v>999.99</v>
      </c>
      <c r="BR515" s="263">
        <f t="shared" si="507"/>
        <v>1</v>
      </c>
      <c r="BS515" s="267" t="str">
        <f t="shared" si="508"/>
        <v>---</v>
      </c>
      <c r="BT515" s="210" t="str">
        <f t="shared" si="509"/>
        <v>---</v>
      </c>
      <c r="BU515" s="140">
        <f t="shared" si="527"/>
        <v>999.99</v>
      </c>
      <c r="BV515" s="263">
        <f t="shared" si="510"/>
        <v>1</v>
      </c>
      <c r="BW515" s="140" t="str">
        <f>WORKSHEET_CONSTR!K512</f>
        <v>---</v>
      </c>
      <c r="BX515" s="140" t="str">
        <f>WORKSHEET_CONSTR!J512</f>
        <v>---</v>
      </c>
      <c r="BY515" s="140">
        <f t="shared" si="528"/>
        <v>999.99</v>
      </c>
      <c r="BZ515" s="263">
        <f t="shared" si="511"/>
        <v>1</v>
      </c>
      <c r="CA515" s="271" t="str">
        <f t="shared" si="512"/>
        <v>---</v>
      </c>
      <c r="CB515" s="271" t="str">
        <f t="shared" si="513"/>
        <v>---</v>
      </c>
      <c r="CC515" s="140">
        <f t="shared" si="529"/>
        <v>999.99</v>
      </c>
      <c r="CD515" s="263">
        <f t="shared" si="514"/>
        <v>1</v>
      </c>
      <c r="CE515" s="140" t="str">
        <f>WORKSHEET_CONSTR!N512</f>
        <v>---</v>
      </c>
      <c r="CF515" s="140" t="str">
        <f>WORKSHEET_CONSTR!M512</f>
        <v>---</v>
      </c>
      <c r="CG515" s="140">
        <f t="shared" si="530"/>
        <v>999.99</v>
      </c>
      <c r="CH515" s="263">
        <f t="shared" si="515"/>
        <v>1</v>
      </c>
    </row>
    <row r="516" spans="1:86">
      <c r="A516" s="438" t="str">
        <f t="shared" si="531"/>
        <v>---</v>
      </c>
      <c r="B516" s="294" t="str">
        <f t="shared" si="531"/>
        <v>---</v>
      </c>
      <c r="C516" s="296" t="str">
        <f t="shared" si="476"/>
        <v>---</v>
      </c>
      <c r="D516" s="294" t="str">
        <f t="shared" si="516"/>
        <v>---</v>
      </c>
      <c r="E516" s="294" t="str">
        <f t="shared" si="477"/>
        <v>---</v>
      </c>
      <c r="F516" s="294" t="str">
        <f t="shared" si="478"/>
        <v>---</v>
      </c>
      <c r="G516" s="294" t="str">
        <f t="shared" si="479"/>
        <v>---</v>
      </c>
      <c r="H516" s="291" t="str">
        <f t="shared" si="480"/>
        <v>---</v>
      </c>
      <c r="I516" s="441" t="str">
        <f t="shared" si="481"/>
        <v>---</v>
      </c>
      <c r="J516" s="441" t="str">
        <f t="shared" si="482"/>
        <v>---</v>
      </c>
      <c r="K516" s="294" t="str">
        <f t="shared" si="517"/>
        <v>---</v>
      </c>
      <c r="L516" s="294" t="str">
        <f t="shared" si="483"/>
        <v>---</v>
      </c>
      <c r="M516" s="291" t="str">
        <f t="shared" si="518"/>
        <v>---</v>
      </c>
      <c r="N516" s="294" t="str">
        <f t="shared" si="484"/>
        <v>---</v>
      </c>
      <c r="O516" s="441" t="str">
        <f t="shared" si="485"/>
        <v>---</v>
      </c>
      <c r="AE516" s="140" t="str">
        <f t="shared" si="486"/>
        <v>---</v>
      </c>
      <c r="AF516" s="140" t="str">
        <f t="shared" si="487"/>
        <v>---</v>
      </c>
      <c r="AG516" s="140">
        <f t="shared" si="519"/>
        <v>999.99</v>
      </c>
      <c r="AH516" s="263">
        <f t="shared" si="488"/>
        <v>0</v>
      </c>
      <c r="AI516" s="140" t="str">
        <f>WORKSHEET_CONSTR!G455</f>
        <v>---</v>
      </c>
      <c r="AJ516" s="140" t="str">
        <f>WORKSHEET_CONSTR!F455</f>
        <v>---</v>
      </c>
      <c r="AK516" s="140">
        <f t="shared" si="520"/>
        <v>999.99</v>
      </c>
      <c r="AL516" s="263">
        <f t="shared" si="489"/>
        <v>0</v>
      </c>
      <c r="AM516" s="267" t="str">
        <f t="shared" si="490"/>
        <v>---</v>
      </c>
      <c r="AN516" s="140" t="str">
        <f t="shared" si="491"/>
        <v>---</v>
      </c>
      <c r="AO516" s="140">
        <f t="shared" si="521"/>
        <v>999.99</v>
      </c>
      <c r="AP516" s="263">
        <f t="shared" si="492"/>
        <v>1</v>
      </c>
      <c r="AQ516" s="140" t="str">
        <f>WORKSHEET_CONSTR!Q202</f>
        <v>---</v>
      </c>
      <c r="AR516" s="140" t="str">
        <f>WORKSHEET_CONSTR!E455</f>
        <v>---</v>
      </c>
      <c r="AS516" s="140">
        <f t="shared" si="522"/>
        <v>999.99</v>
      </c>
      <c r="AT516" s="263">
        <f t="shared" si="493"/>
        <v>1</v>
      </c>
      <c r="AU516" s="140" t="str">
        <f t="shared" si="494"/>
        <v>---</v>
      </c>
      <c r="AV516" s="140" t="str">
        <f t="shared" si="495"/>
        <v>---</v>
      </c>
      <c r="AW516" s="140">
        <f t="shared" si="523"/>
        <v>999.99</v>
      </c>
      <c r="AX516" s="263">
        <f t="shared" si="496"/>
        <v>1</v>
      </c>
      <c r="AY516" s="140" t="str">
        <f>WORKSHEET_CONSTR!R202</f>
        <v>---</v>
      </c>
      <c r="AZ516" s="140" t="str">
        <f>WORKSHEET_CONSTR!C455</f>
        <v>---</v>
      </c>
      <c r="BA516" s="140">
        <f t="shared" si="524"/>
        <v>999.99</v>
      </c>
      <c r="BB516" s="263">
        <f t="shared" si="497"/>
        <v>1</v>
      </c>
      <c r="BC516" s="267" t="str">
        <f t="shared" si="498"/>
        <v>---</v>
      </c>
      <c r="BD516" s="140" t="str">
        <f t="shared" si="499"/>
        <v>---</v>
      </c>
      <c r="BE516" s="140">
        <f t="shared" si="500"/>
        <v>999.99</v>
      </c>
      <c r="BF516" s="263">
        <f t="shared" si="501"/>
        <v>0</v>
      </c>
      <c r="BG516" s="140" t="str">
        <f>WORKSHEET_CONSTR!D513</f>
        <v>---</v>
      </c>
      <c r="BH516" s="140" t="str">
        <f>WORKSHEET_CONSTR!C513</f>
        <v>---</v>
      </c>
      <c r="BI516" s="140">
        <f t="shared" si="502"/>
        <v>999.99</v>
      </c>
      <c r="BJ516" s="263">
        <f t="shared" si="503"/>
        <v>0</v>
      </c>
      <c r="BK516" s="140" t="str">
        <f t="shared" si="504"/>
        <v>---</v>
      </c>
      <c r="BL516" s="140" t="str">
        <f t="shared" si="505"/>
        <v>---</v>
      </c>
      <c r="BM516" s="140">
        <f t="shared" si="525"/>
        <v>999.99</v>
      </c>
      <c r="BN516" s="263">
        <f t="shared" si="506"/>
        <v>1</v>
      </c>
      <c r="BO516" s="140" t="str">
        <f>WORKSHEET_CONSTR!H513</f>
        <v>---</v>
      </c>
      <c r="BP516" s="140" t="str">
        <f>WORKSHEET_CONSTR!F513</f>
        <v>---</v>
      </c>
      <c r="BQ516" s="140">
        <f t="shared" si="526"/>
        <v>999.99</v>
      </c>
      <c r="BR516" s="263">
        <f t="shared" si="507"/>
        <v>1</v>
      </c>
      <c r="BS516" s="267" t="str">
        <f t="shared" si="508"/>
        <v>---</v>
      </c>
      <c r="BT516" s="210" t="str">
        <f t="shared" si="509"/>
        <v>---</v>
      </c>
      <c r="BU516" s="140">
        <f t="shared" si="527"/>
        <v>999.99</v>
      </c>
      <c r="BV516" s="263">
        <f t="shared" si="510"/>
        <v>1</v>
      </c>
      <c r="BW516" s="140" t="str">
        <f>WORKSHEET_CONSTR!K513</f>
        <v>---</v>
      </c>
      <c r="BX516" s="140" t="str">
        <f>WORKSHEET_CONSTR!J513</f>
        <v>---</v>
      </c>
      <c r="BY516" s="140">
        <f t="shared" si="528"/>
        <v>999.99</v>
      </c>
      <c r="BZ516" s="263">
        <f t="shared" si="511"/>
        <v>1</v>
      </c>
      <c r="CA516" s="271" t="str">
        <f t="shared" si="512"/>
        <v>---</v>
      </c>
      <c r="CB516" s="271" t="str">
        <f t="shared" si="513"/>
        <v>---</v>
      </c>
      <c r="CC516" s="140">
        <f t="shared" si="529"/>
        <v>999.99</v>
      </c>
      <c r="CD516" s="263">
        <f t="shared" si="514"/>
        <v>1</v>
      </c>
      <c r="CE516" s="140" t="str">
        <f>WORKSHEET_CONSTR!N513</f>
        <v>---</v>
      </c>
      <c r="CF516" s="140" t="str">
        <f>WORKSHEET_CONSTR!M513</f>
        <v>---</v>
      </c>
      <c r="CG516" s="140">
        <f t="shared" si="530"/>
        <v>999.99</v>
      </c>
      <c r="CH516" s="263">
        <f t="shared" si="515"/>
        <v>1</v>
      </c>
    </row>
    <row r="517" spans="1:86">
      <c r="A517" s="438" t="str">
        <f t="shared" si="531"/>
        <v>---</v>
      </c>
      <c r="B517" s="294" t="str">
        <f t="shared" si="531"/>
        <v>---</v>
      </c>
      <c r="C517" s="296" t="str">
        <f t="shared" si="476"/>
        <v>---</v>
      </c>
      <c r="D517" s="294" t="str">
        <f t="shared" si="516"/>
        <v>---</v>
      </c>
      <c r="E517" s="294" t="str">
        <f t="shared" si="477"/>
        <v>---</v>
      </c>
      <c r="F517" s="294" t="str">
        <f t="shared" si="478"/>
        <v>---</v>
      </c>
      <c r="G517" s="294" t="str">
        <f t="shared" si="479"/>
        <v>---</v>
      </c>
      <c r="H517" s="291" t="str">
        <f t="shared" si="480"/>
        <v>---</v>
      </c>
      <c r="I517" s="441" t="str">
        <f t="shared" si="481"/>
        <v>---</v>
      </c>
      <c r="J517" s="441" t="str">
        <f t="shared" si="482"/>
        <v>---</v>
      </c>
      <c r="K517" s="294" t="str">
        <f t="shared" si="517"/>
        <v>---</v>
      </c>
      <c r="L517" s="294" t="str">
        <f t="shared" si="483"/>
        <v>---</v>
      </c>
      <c r="M517" s="291" t="str">
        <f t="shared" si="518"/>
        <v>---</v>
      </c>
      <c r="N517" s="294" t="str">
        <f t="shared" si="484"/>
        <v>---</v>
      </c>
      <c r="O517" s="441" t="str">
        <f t="shared" si="485"/>
        <v>---</v>
      </c>
      <c r="AE517" s="140" t="str">
        <f t="shared" si="486"/>
        <v>---</v>
      </c>
      <c r="AF517" s="140" t="str">
        <f t="shared" si="487"/>
        <v>---</v>
      </c>
      <c r="AG517" s="140">
        <f t="shared" si="519"/>
        <v>999.99</v>
      </c>
      <c r="AH517" s="263">
        <f t="shared" si="488"/>
        <v>0</v>
      </c>
      <c r="AI517" s="140" t="str">
        <f>WORKSHEET_CONSTR!G456</f>
        <v>---</v>
      </c>
      <c r="AJ517" s="140" t="str">
        <f>WORKSHEET_CONSTR!F456</f>
        <v>---</v>
      </c>
      <c r="AK517" s="140">
        <f t="shared" si="520"/>
        <v>999.99</v>
      </c>
      <c r="AL517" s="263">
        <f t="shared" si="489"/>
        <v>0</v>
      </c>
      <c r="AM517" s="267" t="str">
        <f t="shared" si="490"/>
        <v>---</v>
      </c>
      <c r="AN517" s="140" t="str">
        <f t="shared" si="491"/>
        <v>---</v>
      </c>
      <c r="AO517" s="140">
        <f t="shared" si="521"/>
        <v>999.99</v>
      </c>
      <c r="AP517" s="263">
        <f t="shared" si="492"/>
        <v>1</v>
      </c>
      <c r="AQ517" s="140" t="str">
        <f>WORKSHEET_CONSTR!Q203</f>
        <v>---</v>
      </c>
      <c r="AR517" s="140" t="str">
        <f>WORKSHEET_CONSTR!E456</f>
        <v>---</v>
      </c>
      <c r="AS517" s="140">
        <f t="shared" si="522"/>
        <v>999.99</v>
      </c>
      <c r="AT517" s="263">
        <f t="shared" si="493"/>
        <v>1</v>
      </c>
      <c r="AU517" s="140" t="str">
        <f t="shared" si="494"/>
        <v>---</v>
      </c>
      <c r="AV517" s="140" t="str">
        <f t="shared" si="495"/>
        <v>---</v>
      </c>
      <c r="AW517" s="140">
        <f t="shared" si="523"/>
        <v>999.99</v>
      </c>
      <c r="AX517" s="263">
        <f t="shared" si="496"/>
        <v>1</v>
      </c>
      <c r="AY517" s="140" t="str">
        <f>WORKSHEET_CONSTR!R203</f>
        <v>---</v>
      </c>
      <c r="AZ517" s="140" t="str">
        <f>WORKSHEET_CONSTR!C456</f>
        <v>---</v>
      </c>
      <c r="BA517" s="140">
        <f t="shared" si="524"/>
        <v>999.99</v>
      </c>
      <c r="BB517" s="263">
        <f t="shared" si="497"/>
        <v>1</v>
      </c>
      <c r="BC517" s="267" t="str">
        <f t="shared" si="498"/>
        <v>---</v>
      </c>
      <c r="BD517" s="140" t="str">
        <f t="shared" si="499"/>
        <v>---</v>
      </c>
      <c r="BE517" s="140">
        <f t="shared" si="500"/>
        <v>999.99</v>
      </c>
      <c r="BF517" s="263">
        <f t="shared" si="501"/>
        <v>0</v>
      </c>
      <c r="BG517" s="140" t="str">
        <f>WORKSHEET_CONSTR!D514</f>
        <v>---</v>
      </c>
      <c r="BH517" s="140" t="str">
        <f>WORKSHEET_CONSTR!C514</f>
        <v>---</v>
      </c>
      <c r="BI517" s="140">
        <f t="shared" si="502"/>
        <v>999.99</v>
      </c>
      <c r="BJ517" s="263">
        <f t="shared" si="503"/>
        <v>0</v>
      </c>
      <c r="BK517" s="140" t="str">
        <f t="shared" si="504"/>
        <v>---</v>
      </c>
      <c r="BL517" s="140" t="str">
        <f t="shared" si="505"/>
        <v>---</v>
      </c>
      <c r="BM517" s="140">
        <f t="shared" si="525"/>
        <v>999.99</v>
      </c>
      <c r="BN517" s="263">
        <f t="shared" si="506"/>
        <v>1</v>
      </c>
      <c r="BO517" s="140" t="str">
        <f>WORKSHEET_CONSTR!H514</f>
        <v>---</v>
      </c>
      <c r="BP517" s="140" t="str">
        <f>WORKSHEET_CONSTR!F514</f>
        <v>---</v>
      </c>
      <c r="BQ517" s="140">
        <f t="shared" si="526"/>
        <v>999.99</v>
      </c>
      <c r="BR517" s="263">
        <f t="shared" si="507"/>
        <v>1</v>
      </c>
      <c r="BS517" s="267" t="str">
        <f t="shared" si="508"/>
        <v>---</v>
      </c>
      <c r="BT517" s="210" t="str">
        <f t="shared" si="509"/>
        <v>---</v>
      </c>
      <c r="BU517" s="140">
        <f t="shared" si="527"/>
        <v>999.99</v>
      </c>
      <c r="BV517" s="263">
        <f t="shared" si="510"/>
        <v>1</v>
      </c>
      <c r="BW517" s="140" t="str">
        <f>WORKSHEET_CONSTR!K514</f>
        <v>---</v>
      </c>
      <c r="BX517" s="140" t="str">
        <f>WORKSHEET_CONSTR!J514</f>
        <v>---</v>
      </c>
      <c r="BY517" s="140">
        <f t="shared" si="528"/>
        <v>999.99</v>
      </c>
      <c r="BZ517" s="263">
        <f t="shared" si="511"/>
        <v>1</v>
      </c>
      <c r="CA517" s="271" t="str">
        <f t="shared" si="512"/>
        <v>---</v>
      </c>
      <c r="CB517" s="271" t="str">
        <f t="shared" si="513"/>
        <v>---</v>
      </c>
      <c r="CC517" s="140">
        <f t="shared" si="529"/>
        <v>999.99</v>
      </c>
      <c r="CD517" s="263">
        <f t="shared" si="514"/>
        <v>1</v>
      </c>
      <c r="CE517" s="140" t="str">
        <f>WORKSHEET_CONSTR!N514</f>
        <v>---</v>
      </c>
      <c r="CF517" s="140" t="str">
        <f>WORKSHEET_CONSTR!M514</f>
        <v>---</v>
      </c>
      <c r="CG517" s="140">
        <f t="shared" si="530"/>
        <v>999.99</v>
      </c>
      <c r="CH517" s="263">
        <f t="shared" si="515"/>
        <v>1</v>
      </c>
    </row>
    <row r="518" spans="1:86">
      <c r="A518" s="438" t="str">
        <f t="shared" si="531"/>
        <v>---</v>
      </c>
      <c r="B518" s="294" t="str">
        <f t="shared" si="531"/>
        <v>---</v>
      </c>
      <c r="C518" s="296" t="str">
        <f t="shared" si="476"/>
        <v>---</v>
      </c>
      <c r="D518" s="294" t="str">
        <f t="shared" si="516"/>
        <v>---</v>
      </c>
      <c r="E518" s="294" t="str">
        <f t="shared" si="477"/>
        <v>---</v>
      </c>
      <c r="F518" s="294" t="str">
        <f t="shared" si="478"/>
        <v>---</v>
      </c>
      <c r="G518" s="294" t="str">
        <f t="shared" si="479"/>
        <v>---</v>
      </c>
      <c r="H518" s="291" t="str">
        <f t="shared" si="480"/>
        <v>---</v>
      </c>
      <c r="I518" s="441" t="str">
        <f t="shared" si="481"/>
        <v>---</v>
      </c>
      <c r="J518" s="441" t="str">
        <f t="shared" si="482"/>
        <v>---</v>
      </c>
      <c r="K518" s="294" t="str">
        <f t="shared" si="517"/>
        <v>---</v>
      </c>
      <c r="L518" s="294" t="str">
        <f t="shared" si="483"/>
        <v>---</v>
      </c>
      <c r="M518" s="291" t="str">
        <f t="shared" si="518"/>
        <v>---</v>
      </c>
      <c r="N518" s="294" t="str">
        <f t="shared" si="484"/>
        <v>---</v>
      </c>
      <c r="O518" s="441" t="str">
        <f t="shared" si="485"/>
        <v>---</v>
      </c>
      <c r="AE518" s="140" t="str">
        <f t="shared" si="486"/>
        <v>---</v>
      </c>
      <c r="AF518" s="140" t="str">
        <f t="shared" si="487"/>
        <v>---</v>
      </c>
      <c r="AG518" s="140">
        <f t="shared" si="519"/>
        <v>999.99</v>
      </c>
      <c r="AH518" s="263">
        <f t="shared" si="488"/>
        <v>0</v>
      </c>
      <c r="AI518" s="140" t="str">
        <f>WORKSHEET_CONSTR!G457</f>
        <v>---</v>
      </c>
      <c r="AJ518" s="140" t="str">
        <f>WORKSHEET_CONSTR!F457</f>
        <v>---</v>
      </c>
      <c r="AK518" s="140">
        <f t="shared" si="520"/>
        <v>999.99</v>
      </c>
      <c r="AL518" s="263">
        <f t="shared" si="489"/>
        <v>0</v>
      </c>
      <c r="AM518" s="267" t="str">
        <f t="shared" si="490"/>
        <v>---</v>
      </c>
      <c r="AN518" s="140" t="str">
        <f t="shared" si="491"/>
        <v>---</v>
      </c>
      <c r="AO518" s="140">
        <f t="shared" si="521"/>
        <v>999.99</v>
      </c>
      <c r="AP518" s="263">
        <f t="shared" si="492"/>
        <v>1</v>
      </c>
      <c r="AQ518" s="140" t="str">
        <f>WORKSHEET_CONSTR!Q204</f>
        <v>---</v>
      </c>
      <c r="AR518" s="140" t="str">
        <f>WORKSHEET_CONSTR!E457</f>
        <v>---</v>
      </c>
      <c r="AS518" s="140">
        <f t="shared" si="522"/>
        <v>999.99</v>
      </c>
      <c r="AT518" s="263">
        <f t="shared" si="493"/>
        <v>1</v>
      </c>
      <c r="AU518" s="140" t="str">
        <f t="shared" si="494"/>
        <v>---</v>
      </c>
      <c r="AV518" s="140" t="str">
        <f t="shared" si="495"/>
        <v>---</v>
      </c>
      <c r="AW518" s="140">
        <f t="shared" si="523"/>
        <v>999.99</v>
      </c>
      <c r="AX518" s="263">
        <f t="shared" si="496"/>
        <v>1</v>
      </c>
      <c r="AY518" s="140" t="str">
        <f>WORKSHEET_CONSTR!R204</f>
        <v>---</v>
      </c>
      <c r="AZ518" s="140" t="str">
        <f>WORKSHEET_CONSTR!C457</f>
        <v>---</v>
      </c>
      <c r="BA518" s="140">
        <f t="shared" si="524"/>
        <v>999.99</v>
      </c>
      <c r="BB518" s="263">
        <f t="shared" si="497"/>
        <v>1</v>
      </c>
      <c r="BC518" s="267" t="str">
        <f t="shared" si="498"/>
        <v>---</v>
      </c>
      <c r="BD518" s="140" t="str">
        <f t="shared" si="499"/>
        <v>---</v>
      </c>
      <c r="BE518" s="140">
        <f t="shared" si="500"/>
        <v>999.99</v>
      </c>
      <c r="BF518" s="263">
        <f t="shared" si="501"/>
        <v>0</v>
      </c>
      <c r="BG518" s="140" t="str">
        <f>WORKSHEET_CONSTR!D515</f>
        <v>---</v>
      </c>
      <c r="BH518" s="140" t="str">
        <f>WORKSHEET_CONSTR!C515</f>
        <v>---</v>
      </c>
      <c r="BI518" s="140">
        <f t="shared" si="502"/>
        <v>999.99</v>
      </c>
      <c r="BJ518" s="263">
        <f t="shared" si="503"/>
        <v>0</v>
      </c>
      <c r="BK518" s="140" t="str">
        <f t="shared" si="504"/>
        <v>---</v>
      </c>
      <c r="BL518" s="140" t="str">
        <f t="shared" si="505"/>
        <v>---</v>
      </c>
      <c r="BM518" s="140">
        <f t="shared" si="525"/>
        <v>999.99</v>
      </c>
      <c r="BN518" s="263">
        <f t="shared" si="506"/>
        <v>1</v>
      </c>
      <c r="BO518" s="140" t="str">
        <f>WORKSHEET_CONSTR!H515</f>
        <v>---</v>
      </c>
      <c r="BP518" s="140" t="str">
        <f>WORKSHEET_CONSTR!F515</f>
        <v>---</v>
      </c>
      <c r="BQ518" s="140">
        <f t="shared" si="526"/>
        <v>999.99</v>
      </c>
      <c r="BR518" s="263">
        <f t="shared" si="507"/>
        <v>1</v>
      </c>
      <c r="BS518" s="267" t="str">
        <f t="shared" si="508"/>
        <v>---</v>
      </c>
      <c r="BT518" s="210" t="str">
        <f t="shared" si="509"/>
        <v>---</v>
      </c>
      <c r="BU518" s="140">
        <f t="shared" si="527"/>
        <v>999.99</v>
      </c>
      <c r="BV518" s="263">
        <f t="shared" si="510"/>
        <v>1</v>
      </c>
      <c r="BW518" s="140" t="str">
        <f>WORKSHEET_CONSTR!K515</f>
        <v>---</v>
      </c>
      <c r="BX518" s="140" t="str">
        <f>WORKSHEET_CONSTR!J515</f>
        <v>---</v>
      </c>
      <c r="BY518" s="140">
        <f t="shared" si="528"/>
        <v>999.99</v>
      </c>
      <c r="BZ518" s="263">
        <f t="shared" si="511"/>
        <v>1</v>
      </c>
      <c r="CA518" s="271" t="str">
        <f t="shared" si="512"/>
        <v>---</v>
      </c>
      <c r="CB518" s="271" t="str">
        <f t="shared" si="513"/>
        <v>---</v>
      </c>
      <c r="CC518" s="140">
        <f t="shared" si="529"/>
        <v>999.99</v>
      </c>
      <c r="CD518" s="263">
        <f t="shared" si="514"/>
        <v>1</v>
      </c>
      <c r="CE518" s="140" t="str">
        <f>WORKSHEET_CONSTR!N515</f>
        <v>---</v>
      </c>
      <c r="CF518" s="140" t="str">
        <f>WORKSHEET_CONSTR!M515</f>
        <v>---</v>
      </c>
      <c r="CG518" s="140">
        <f t="shared" si="530"/>
        <v>999.99</v>
      </c>
      <c r="CH518" s="263">
        <f t="shared" si="515"/>
        <v>1</v>
      </c>
    </row>
    <row r="519" spans="1:86">
      <c r="A519" s="438" t="str">
        <f t="shared" si="531"/>
        <v>---</v>
      </c>
      <c r="B519" s="294" t="str">
        <f t="shared" si="531"/>
        <v>---</v>
      </c>
      <c r="C519" s="296" t="str">
        <f t="shared" si="476"/>
        <v>---</v>
      </c>
      <c r="D519" s="294" t="str">
        <f t="shared" si="516"/>
        <v>---</v>
      </c>
      <c r="E519" s="294" t="str">
        <f t="shared" si="477"/>
        <v>---</v>
      </c>
      <c r="F519" s="294" t="str">
        <f t="shared" si="478"/>
        <v>---</v>
      </c>
      <c r="G519" s="294" t="str">
        <f t="shared" si="479"/>
        <v>---</v>
      </c>
      <c r="H519" s="291" t="str">
        <f t="shared" si="480"/>
        <v>---</v>
      </c>
      <c r="I519" s="441" t="str">
        <f t="shared" si="481"/>
        <v>---</v>
      </c>
      <c r="J519" s="441" t="str">
        <f t="shared" si="482"/>
        <v>---</v>
      </c>
      <c r="K519" s="294" t="str">
        <f t="shared" si="517"/>
        <v>---</v>
      </c>
      <c r="L519" s="294" t="str">
        <f t="shared" si="483"/>
        <v>---</v>
      </c>
      <c r="M519" s="291" t="str">
        <f t="shared" si="518"/>
        <v>---</v>
      </c>
      <c r="N519" s="294" t="str">
        <f t="shared" si="484"/>
        <v>---</v>
      </c>
      <c r="O519" s="441" t="str">
        <f t="shared" si="485"/>
        <v>---</v>
      </c>
      <c r="AE519" s="140" t="str">
        <f t="shared" si="486"/>
        <v>---</v>
      </c>
      <c r="AF519" s="140" t="str">
        <f t="shared" si="487"/>
        <v>---</v>
      </c>
      <c r="AG519" s="140">
        <f t="shared" si="519"/>
        <v>999.99</v>
      </c>
      <c r="AH519" s="263">
        <f t="shared" si="488"/>
        <v>0</v>
      </c>
      <c r="AI519" s="140" t="str">
        <f>WORKSHEET_CONSTR!G458</f>
        <v>---</v>
      </c>
      <c r="AJ519" s="140" t="str">
        <f>WORKSHEET_CONSTR!F458</f>
        <v>---</v>
      </c>
      <c r="AK519" s="140">
        <f t="shared" si="520"/>
        <v>999.99</v>
      </c>
      <c r="AL519" s="263">
        <f t="shared" si="489"/>
        <v>0</v>
      </c>
      <c r="AM519" s="267" t="str">
        <f t="shared" si="490"/>
        <v>---</v>
      </c>
      <c r="AN519" s="140" t="str">
        <f t="shared" si="491"/>
        <v>---</v>
      </c>
      <c r="AO519" s="140">
        <f t="shared" si="521"/>
        <v>999.99</v>
      </c>
      <c r="AP519" s="263">
        <f t="shared" si="492"/>
        <v>1</v>
      </c>
      <c r="AQ519" s="140" t="str">
        <f>WORKSHEET_CONSTR!Q205</f>
        <v>---</v>
      </c>
      <c r="AR519" s="140" t="str">
        <f>WORKSHEET_CONSTR!E458</f>
        <v>---</v>
      </c>
      <c r="AS519" s="140">
        <f t="shared" si="522"/>
        <v>999.99</v>
      </c>
      <c r="AT519" s="263">
        <f t="shared" si="493"/>
        <v>1</v>
      </c>
      <c r="AU519" s="140" t="str">
        <f t="shared" si="494"/>
        <v>---</v>
      </c>
      <c r="AV519" s="140" t="str">
        <f t="shared" si="495"/>
        <v>---</v>
      </c>
      <c r="AW519" s="140">
        <f t="shared" si="523"/>
        <v>999.99</v>
      </c>
      <c r="AX519" s="263">
        <f t="shared" si="496"/>
        <v>1</v>
      </c>
      <c r="AY519" s="140" t="str">
        <f>WORKSHEET_CONSTR!R205</f>
        <v>---</v>
      </c>
      <c r="AZ519" s="140" t="str">
        <f>WORKSHEET_CONSTR!C458</f>
        <v>---</v>
      </c>
      <c r="BA519" s="140">
        <f t="shared" si="524"/>
        <v>999.99</v>
      </c>
      <c r="BB519" s="263">
        <f t="shared" si="497"/>
        <v>1</v>
      </c>
      <c r="BC519" s="267" t="str">
        <f t="shared" si="498"/>
        <v>---</v>
      </c>
      <c r="BD519" s="140" t="str">
        <f t="shared" si="499"/>
        <v>---</v>
      </c>
      <c r="BE519" s="140">
        <f t="shared" si="500"/>
        <v>999.99</v>
      </c>
      <c r="BF519" s="263">
        <f t="shared" si="501"/>
        <v>0</v>
      </c>
      <c r="BG519" s="140" t="str">
        <f>WORKSHEET_CONSTR!D516</f>
        <v>---</v>
      </c>
      <c r="BH519" s="140" t="str">
        <f>WORKSHEET_CONSTR!C516</f>
        <v>---</v>
      </c>
      <c r="BI519" s="140">
        <f t="shared" si="502"/>
        <v>999.99</v>
      </c>
      <c r="BJ519" s="263">
        <f t="shared" si="503"/>
        <v>0</v>
      </c>
      <c r="BK519" s="140" t="str">
        <f t="shared" si="504"/>
        <v>---</v>
      </c>
      <c r="BL519" s="140" t="str">
        <f t="shared" si="505"/>
        <v>---</v>
      </c>
      <c r="BM519" s="140">
        <f t="shared" si="525"/>
        <v>999.99</v>
      </c>
      <c r="BN519" s="263">
        <f t="shared" si="506"/>
        <v>1</v>
      </c>
      <c r="BO519" s="140" t="str">
        <f>WORKSHEET_CONSTR!H516</f>
        <v>---</v>
      </c>
      <c r="BP519" s="140" t="str">
        <f>WORKSHEET_CONSTR!F516</f>
        <v>---</v>
      </c>
      <c r="BQ519" s="140">
        <f t="shared" si="526"/>
        <v>999.99</v>
      </c>
      <c r="BR519" s="263">
        <f t="shared" si="507"/>
        <v>1</v>
      </c>
      <c r="BS519" s="267" t="str">
        <f t="shared" si="508"/>
        <v>---</v>
      </c>
      <c r="BT519" s="210" t="str">
        <f t="shared" si="509"/>
        <v>---</v>
      </c>
      <c r="BU519" s="140">
        <f t="shared" si="527"/>
        <v>999.99</v>
      </c>
      <c r="BV519" s="263">
        <f t="shared" si="510"/>
        <v>1</v>
      </c>
      <c r="BW519" s="140" t="str">
        <f>WORKSHEET_CONSTR!K516</f>
        <v>---</v>
      </c>
      <c r="BX519" s="140" t="str">
        <f>WORKSHEET_CONSTR!J516</f>
        <v>---</v>
      </c>
      <c r="BY519" s="140">
        <f t="shared" si="528"/>
        <v>999.99</v>
      </c>
      <c r="BZ519" s="263">
        <f t="shared" si="511"/>
        <v>1</v>
      </c>
      <c r="CA519" s="271" t="str">
        <f t="shared" si="512"/>
        <v>---</v>
      </c>
      <c r="CB519" s="271" t="str">
        <f t="shared" si="513"/>
        <v>---</v>
      </c>
      <c r="CC519" s="140">
        <f t="shared" si="529"/>
        <v>999.99</v>
      </c>
      <c r="CD519" s="263">
        <f t="shared" si="514"/>
        <v>1</v>
      </c>
      <c r="CE519" s="140" t="str">
        <f>WORKSHEET_CONSTR!N516</f>
        <v>---</v>
      </c>
      <c r="CF519" s="140" t="str">
        <f>WORKSHEET_CONSTR!M516</f>
        <v>---</v>
      </c>
      <c r="CG519" s="140">
        <f t="shared" si="530"/>
        <v>999.99</v>
      </c>
      <c r="CH519" s="263">
        <f t="shared" si="515"/>
        <v>1</v>
      </c>
    </row>
    <row r="520" spans="1:86">
      <c r="A520" s="438" t="str">
        <f t="shared" si="531"/>
        <v>---</v>
      </c>
      <c r="B520" s="294" t="str">
        <f t="shared" si="531"/>
        <v>---</v>
      </c>
      <c r="C520" s="296" t="str">
        <f t="shared" si="476"/>
        <v>---</v>
      </c>
      <c r="D520" s="294" t="str">
        <f t="shared" si="516"/>
        <v>---</v>
      </c>
      <c r="E520" s="294" t="str">
        <f t="shared" si="477"/>
        <v>---</v>
      </c>
      <c r="F520" s="294" t="str">
        <f t="shared" si="478"/>
        <v>---</v>
      </c>
      <c r="G520" s="294" t="str">
        <f t="shared" si="479"/>
        <v>---</v>
      </c>
      <c r="H520" s="291" t="str">
        <f t="shared" si="480"/>
        <v>---</v>
      </c>
      <c r="I520" s="441" t="str">
        <f t="shared" si="481"/>
        <v>---</v>
      </c>
      <c r="J520" s="441" t="str">
        <f t="shared" si="482"/>
        <v>---</v>
      </c>
      <c r="K520" s="294" t="str">
        <f t="shared" si="517"/>
        <v>---</v>
      </c>
      <c r="L520" s="294" t="str">
        <f t="shared" si="483"/>
        <v>---</v>
      </c>
      <c r="M520" s="291" t="str">
        <f t="shared" si="518"/>
        <v>---</v>
      </c>
      <c r="N520" s="294" t="str">
        <f t="shared" si="484"/>
        <v>---</v>
      </c>
      <c r="O520" s="441" t="str">
        <f t="shared" si="485"/>
        <v>---</v>
      </c>
      <c r="AE520" s="140" t="str">
        <f t="shared" si="486"/>
        <v>---</v>
      </c>
      <c r="AF520" s="140" t="str">
        <f t="shared" si="487"/>
        <v>---</v>
      </c>
      <c r="AG520" s="140">
        <f t="shared" si="519"/>
        <v>999.99</v>
      </c>
      <c r="AH520" s="263">
        <f t="shared" si="488"/>
        <v>0</v>
      </c>
      <c r="AI520" s="140" t="str">
        <f>WORKSHEET_CONSTR!G459</f>
        <v>---</v>
      </c>
      <c r="AJ520" s="140" t="str">
        <f>WORKSHEET_CONSTR!F459</f>
        <v>---</v>
      </c>
      <c r="AK520" s="140">
        <f t="shared" si="520"/>
        <v>999.99</v>
      </c>
      <c r="AL520" s="263">
        <f t="shared" si="489"/>
        <v>0</v>
      </c>
      <c r="AM520" s="267" t="str">
        <f t="shared" si="490"/>
        <v>---</v>
      </c>
      <c r="AN520" s="140" t="str">
        <f t="shared" si="491"/>
        <v>---</v>
      </c>
      <c r="AO520" s="140">
        <f t="shared" si="521"/>
        <v>999.99</v>
      </c>
      <c r="AP520" s="263">
        <f t="shared" si="492"/>
        <v>1</v>
      </c>
      <c r="AQ520" s="140" t="str">
        <f>WORKSHEET_CONSTR!Q206</f>
        <v>---</v>
      </c>
      <c r="AR520" s="140" t="str">
        <f>WORKSHEET_CONSTR!E459</f>
        <v>---</v>
      </c>
      <c r="AS520" s="140">
        <f t="shared" si="522"/>
        <v>999.99</v>
      </c>
      <c r="AT520" s="263">
        <f t="shared" si="493"/>
        <v>1</v>
      </c>
      <c r="AU520" s="140" t="str">
        <f t="shared" si="494"/>
        <v>---</v>
      </c>
      <c r="AV520" s="140" t="str">
        <f t="shared" si="495"/>
        <v>---</v>
      </c>
      <c r="AW520" s="140">
        <f t="shared" si="523"/>
        <v>999.99</v>
      </c>
      <c r="AX520" s="263">
        <f t="shared" si="496"/>
        <v>1</v>
      </c>
      <c r="AY520" s="140" t="str">
        <f>WORKSHEET_CONSTR!R206</f>
        <v>---</v>
      </c>
      <c r="AZ520" s="140" t="str">
        <f>WORKSHEET_CONSTR!C459</f>
        <v>---</v>
      </c>
      <c r="BA520" s="140">
        <f t="shared" si="524"/>
        <v>999.99</v>
      </c>
      <c r="BB520" s="263">
        <f t="shared" si="497"/>
        <v>1</v>
      </c>
      <c r="BC520" s="267" t="str">
        <f t="shared" si="498"/>
        <v>---</v>
      </c>
      <c r="BD520" s="140" t="str">
        <f t="shared" si="499"/>
        <v>---</v>
      </c>
      <c r="BE520" s="140">
        <f t="shared" si="500"/>
        <v>999.99</v>
      </c>
      <c r="BF520" s="263">
        <f t="shared" si="501"/>
        <v>0</v>
      </c>
      <c r="BG520" s="140" t="str">
        <f>WORKSHEET_CONSTR!D517</f>
        <v>---</v>
      </c>
      <c r="BH520" s="140" t="str">
        <f>WORKSHEET_CONSTR!C517</f>
        <v>---</v>
      </c>
      <c r="BI520" s="140">
        <f t="shared" si="502"/>
        <v>999.99</v>
      </c>
      <c r="BJ520" s="263">
        <f t="shared" si="503"/>
        <v>0</v>
      </c>
      <c r="BK520" s="140" t="str">
        <f t="shared" si="504"/>
        <v>---</v>
      </c>
      <c r="BL520" s="140" t="str">
        <f t="shared" si="505"/>
        <v>---</v>
      </c>
      <c r="BM520" s="140">
        <f t="shared" si="525"/>
        <v>999.99</v>
      </c>
      <c r="BN520" s="263">
        <f t="shared" si="506"/>
        <v>1</v>
      </c>
      <c r="BO520" s="140" t="str">
        <f>WORKSHEET_CONSTR!H517</f>
        <v>---</v>
      </c>
      <c r="BP520" s="140" t="str">
        <f>WORKSHEET_CONSTR!F517</f>
        <v>---</v>
      </c>
      <c r="BQ520" s="140">
        <f t="shared" si="526"/>
        <v>999.99</v>
      </c>
      <c r="BR520" s="263">
        <f t="shared" si="507"/>
        <v>1</v>
      </c>
      <c r="BS520" s="267" t="str">
        <f t="shared" si="508"/>
        <v>---</v>
      </c>
      <c r="BT520" s="210" t="str">
        <f t="shared" si="509"/>
        <v>---</v>
      </c>
      <c r="BU520" s="140">
        <f t="shared" si="527"/>
        <v>999.99</v>
      </c>
      <c r="BV520" s="263">
        <f t="shared" si="510"/>
        <v>1</v>
      </c>
      <c r="BW520" s="140" t="str">
        <f>WORKSHEET_CONSTR!K517</f>
        <v>---</v>
      </c>
      <c r="BX520" s="140" t="str">
        <f>WORKSHEET_CONSTR!J517</f>
        <v>---</v>
      </c>
      <c r="BY520" s="140">
        <f t="shared" si="528"/>
        <v>999.99</v>
      </c>
      <c r="BZ520" s="263">
        <f t="shared" si="511"/>
        <v>1</v>
      </c>
      <c r="CA520" s="271" t="str">
        <f t="shared" si="512"/>
        <v>---</v>
      </c>
      <c r="CB520" s="271" t="str">
        <f t="shared" si="513"/>
        <v>---</v>
      </c>
      <c r="CC520" s="140">
        <f t="shared" si="529"/>
        <v>999.99</v>
      </c>
      <c r="CD520" s="263">
        <f t="shared" si="514"/>
        <v>1</v>
      </c>
      <c r="CE520" s="140" t="str">
        <f>WORKSHEET_CONSTR!N517</f>
        <v>---</v>
      </c>
      <c r="CF520" s="140" t="str">
        <f>WORKSHEET_CONSTR!M517</f>
        <v>---</v>
      </c>
      <c r="CG520" s="140">
        <f t="shared" si="530"/>
        <v>999.99</v>
      </c>
      <c r="CH520" s="263">
        <f t="shared" si="515"/>
        <v>1</v>
      </c>
    </row>
    <row r="521" spans="1:86">
      <c r="A521" s="438" t="str">
        <f t="shared" si="531"/>
        <v>---</v>
      </c>
      <c r="B521" s="294" t="str">
        <f t="shared" si="531"/>
        <v>---</v>
      </c>
      <c r="C521" s="296" t="str">
        <f t="shared" si="476"/>
        <v>---</v>
      </c>
      <c r="D521" s="294" t="str">
        <f t="shared" si="516"/>
        <v>---</v>
      </c>
      <c r="E521" s="294" t="str">
        <f t="shared" si="477"/>
        <v>---</v>
      </c>
      <c r="F521" s="294" t="str">
        <f t="shared" si="478"/>
        <v>---</v>
      </c>
      <c r="G521" s="294" t="str">
        <f t="shared" si="479"/>
        <v>---</v>
      </c>
      <c r="H521" s="291" t="str">
        <f t="shared" si="480"/>
        <v>---</v>
      </c>
      <c r="I521" s="441" t="str">
        <f t="shared" si="481"/>
        <v>---</v>
      </c>
      <c r="J521" s="441" t="str">
        <f t="shared" si="482"/>
        <v>---</v>
      </c>
      <c r="K521" s="294" t="str">
        <f t="shared" si="517"/>
        <v>---</v>
      </c>
      <c r="L521" s="294" t="str">
        <f t="shared" si="483"/>
        <v>---</v>
      </c>
      <c r="M521" s="291" t="str">
        <f t="shared" si="518"/>
        <v>---</v>
      </c>
      <c r="N521" s="294" t="str">
        <f t="shared" si="484"/>
        <v>---</v>
      </c>
      <c r="O521" s="441" t="str">
        <f t="shared" si="485"/>
        <v>---</v>
      </c>
      <c r="AE521" s="140" t="str">
        <f t="shared" si="486"/>
        <v>---</v>
      </c>
      <c r="AF521" s="140" t="str">
        <f t="shared" si="487"/>
        <v>---</v>
      </c>
      <c r="AG521" s="140">
        <f t="shared" si="519"/>
        <v>999.99</v>
      </c>
      <c r="AH521" s="263">
        <f t="shared" si="488"/>
        <v>0</v>
      </c>
      <c r="AI521" s="140" t="str">
        <f>WORKSHEET_CONSTR!G460</f>
        <v>---</v>
      </c>
      <c r="AJ521" s="140" t="str">
        <f>WORKSHEET_CONSTR!F460</f>
        <v>---</v>
      </c>
      <c r="AK521" s="140">
        <f t="shared" si="520"/>
        <v>999.99</v>
      </c>
      <c r="AL521" s="263">
        <f t="shared" si="489"/>
        <v>0</v>
      </c>
      <c r="AM521" s="267" t="str">
        <f t="shared" si="490"/>
        <v>---</v>
      </c>
      <c r="AN521" s="140" t="str">
        <f t="shared" si="491"/>
        <v>---</v>
      </c>
      <c r="AO521" s="140">
        <f t="shared" si="521"/>
        <v>999.99</v>
      </c>
      <c r="AP521" s="263">
        <f t="shared" si="492"/>
        <v>1</v>
      </c>
      <c r="AQ521" s="140" t="str">
        <f>WORKSHEET_CONSTR!Q207</f>
        <v>---</v>
      </c>
      <c r="AR521" s="140" t="str">
        <f>WORKSHEET_CONSTR!E460</f>
        <v>---</v>
      </c>
      <c r="AS521" s="140">
        <f t="shared" si="522"/>
        <v>999.99</v>
      </c>
      <c r="AT521" s="263">
        <f t="shared" si="493"/>
        <v>1</v>
      </c>
      <c r="AU521" s="140" t="str">
        <f t="shared" si="494"/>
        <v>---</v>
      </c>
      <c r="AV521" s="140" t="str">
        <f t="shared" si="495"/>
        <v>---</v>
      </c>
      <c r="AW521" s="140">
        <f t="shared" si="523"/>
        <v>999.99</v>
      </c>
      <c r="AX521" s="263">
        <f t="shared" si="496"/>
        <v>1</v>
      </c>
      <c r="AY521" s="140" t="str">
        <f>WORKSHEET_CONSTR!R207</f>
        <v>---</v>
      </c>
      <c r="AZ521" s="140" t="str">
        <f>WORKSHEET_CONSTR!C460</f>
        <v>---</v>
      </c>
      <c r="BA521" s="140">
        <f t="shared" si="524"/>
        <v>999.99</v>
      </c>
      <c r="BB521" s="263">
        <f t="shared" si="497"/>
        <v>1</v>
      </c>
      <c r="BC521" s="267" t="str">
        <f t="shared" si="498"/>
        <v>---</v>
      </c>
      <c r="BD521" s="140" t="str">
        <f t="shared" si="499"/>
        <v>---</v>
      </c>
      <c r="BE521" s="140">
        <f t="shared" si="500"/>
        <v>999.99</v>
      </c>
      <c r="BF521" s="263">
        <f t="shared" si="501"/>
        <v>0</v>
      </c>
      <c r="BG521" s="140" t="str">
        <f>WORKSHEET_CONSTR!D518</f>
        <v>---</v>
      </c>
      <c r="BH521" s="140" t="str">
        <f>WORKSHEET_CONSTR!C518</f>
        <v>---</v>
      </c>
      <c r="BI521" s="140">
        <f t="shared" si="502"/>
        <v>999.99</v>
      </c>
      <c r="BJ521" s="263">
        <f t="shared" si="503"/>
        <v>0</v>
      </c>
      <c r="BK521" s="140" t="str">
        <f t="shared" si="504"/>
        <v>---</v>
      </c>
      <c r="BL521" s="140" t="str">
        <f t="shared" si="505"/>
        <v>---</v>
      </c>
      <c r="BM521" s="140">
        <f t="shared" si="525"/>
        <v>999.99</v>
      </c>
      <c r="BN521" s="263">
        <f t="shared" si="506"/>
        <v>1</v>
      </c>
      <c r="BO521" s="140" t="str">
        <f>WORKSHEET_CONSTR!H518</f>
        <v>---</v>
      </c>
      <c r="BP521" s="140" t="str">
        <f>WORKSHEET_CONSTR!F518</f>
        <v>---</v>
      </c>
      <c r="BQ521" s="140">
        <f t="shared" si="526"/>
        <v>999.99</v>
      </c>
      <c r="BR521" s="263">
        <f t="shared" si="507"/>
        <v>1</v>
      </c>
      <c r="BS521" s="267" t="str">
        <f t="shared" si="508"/>
        <v>---</v>
      </c>
      <c r="BT521" s="210" t="str">
        <f t="shared" si="509"/>
        <v>---</v>
      </c>
      <c r="BU521" s="140">
        <f t="shared" si="527"/>
        <v>999.99</v>
      </c>
      <c r="BV521" s="263">
        <f t="shared" si="510"/>
        <v>1</v>
      </c>
      <c r="BW521" s="140" t="str">
        <f>WORKSHEET_CONSTR!K518</f>
        <v>---</v>
      </c>
      <c r="BX521" s="140" t="str">
        <f>WORKSHEET_CONSTR!J518</f>
        <v>---</v>
      </c>
      <c r="BY521" s="140">
        <f t="shared" si="528"/>
        <v>999.99</v>
      </c>
      <c r="BZ521" s="263">
        <f t="shared" si="511"/>
        <v>1</v>
      </c>
      <c r="CA521" s="271" t="str">
        <f t="shared" si="512"/>
        <v>---</v>
      </c>
      <c r="CB521" s="271" t="str">
        <f t="shared" si="513"/>
        <v>---</v>
      </c>
      <c r="CC521" s="140">
        <f t="shared" si="529"/>
        <v>999.99</v>
      </c>
      <c r="CD521" s="263">
        <f t="shared" si="514"/>
        <v>1</v>
      </c>
      <c r="CE521" s="140" t="str">
        <f>WORKSHEET_CONSTR!N518</f>
        <v>---</v>
      </c>
      <c r="CF521" s="140" t="str">
        <f>WORKSHEET_CONSTR!M518</f>
        <v>---</v>
      </c>
      <c r="CG521" s="140">
        <f t="shared" si="530"/>
        <v>999.99</v>
      </c>
      <c r="CH521" s="263">
        <f t="shared" si="515"/>
        <v>1</v>
      </c>
    </row>
    <row r="522" spans="1:86">
      <c r="A522" s="438" t="str">
        <f t="shared" si="531"/>
        <v>---</v>
      </c>
      <c r="B522" s="294" t="str">
        <f t="shared" si="531"/>
        <v>---</v>
      </c>
      <c r="C522" s="296" t="str">
        <f t="shared" si="476"/>
        <v>---</v>
      </c>
      <c r="D522" s="294" t="str">
        <f t="shared" si="516"/>
        <v>---</v>
      </c>
      <c r="E522" s="294" t="str">
        <f t="shared" si="477"/>
        <v>---</v>
      </c>
      <c r="F522" s="294" t="str">
        <f t="shared" si="478"/>
        <v>---</v>
      </c>
      <c r="G522" s="294" t="str">
        <f t="shared" si="479"/>
        <v>---</v>
      </c>
      <c r="H522" s="291" t="str">
        <f t="shared" si="480"/>
        <v>---</v>
      </c>
      <c r="I522" s="441" t="str">
        <f t="shared" si="481"/>
        <v>---</v>
      </c>
      <c r="J522" s="441" t="str">
        <f t="shared" si="482"/>
        <v>---</v>
      </c>
      <c r="K522" s="294" t="str">
        <f t="shared" si="517"/>
        <v>---</v>
      </c>
      <c r="L522" s="294" t="str">
        <f t="shared" si="483"/>
        <v>---</v>
      </c>
      <c r="M522" s="291" t="str">
        <f t="shared" si="518"/>
        <v>---</v>
      </c>
      <c r="N522" s="294" t="str">
        <f t="shared" si="484"/>
        <v>---</v>
      </c>
      <c r="O522" s="441" t="str">
        <f t="shared" si="485"/>
        <v>---</v>
      </c>
      <c r="AE522" s="140" t="str">
        <f t="shared" si="486"/>
        <v>---</v>
      </c>
      <c r="AF522" s="140" t="str">
        <f t="shared" si="487"/>
        <v>---</v>
      </c>
      <c r="AG522" s="140">
        <f t="shared" si="519"/>
        <v>999.99</v>
      </c>
      <c r="AH522" s="263">
        <f t="shared" si="488"/>
        <v>0</v>
      </c>
      <c r="AI522" s="140" t="str">
        <f>WORKSHEET_CONSTR!G461</f>
        <v>---</v>
      </c>
      <c r="AJ522" s="140" t="str">
        <f>WORKSHEET_CONSTR!F461</f>
        <v>---</v>
      </c>
      <c r="AK522" s="140">
        <f t="shared" si="520"/>
        <v>999.99</v>
      </c>
      <c r="AL522" s="263">
        <f t="shared" si="489"/>
        <v>0</v>
      </c>
      <c r="AM522" s="267" t="str">
        <f t="shared" si="490"/>
        <v>---</v>
      </c>
      <c r="AN522" s="140" t="str">
        <f t="shared" si="491"/>
        <v>---</v>
      </c>
      <c r="AO522" s="140">
        <f t="shared" si="521"/>
        <v>999.99</v>
      </c>
      <c r="AP522" s="263">
        <f t="shared" si="492"/>
        <v>1</v>
      </c>
      <c r="AQ522" s="140" t="str">
        <f>WORKSHEET_CONSTR!Q208</f>
        <v>---</v>
      </c>
      <c r="AR522" s="140" t="str">
        <f>WORKSHEET_CONSTR!E461</f>
        <v>---</v>
      </c>
      <c r="AS522" s="140">
        <f t="shared" si="522"/>
        <v>999.99</v>
      </c>
      <c r="AT522" s="263">
        <f t="shared" si="493"/>
        <v>1</v>
      </c>
      <c r="AU522" s="140" t="str">
        <f t="shared" si="494"/>
        <v>---</v>
      </c>
      <c r="AV522" s="140" t="str">
        <f t="shared" si="495"/>
        <v>---</v>
      </c>
      <c r="AW522" s="140">
        <f t="shared" si="523"/>
        <v>999.99</v>
      </c>
      <c r="AX522" s="263">
        <f t="shared" si="496"/>
        <v>1</v>
      </c>
      <c r="AY522" s="140" t="str">
        <f>WORKSHEET_CONSTR!R208</f>
        <v>---</v>
      </c>
      <c r="AZ522" s="140" t="str">
        <f>WORKSHEET_CONSTR!C461</f>
        <v>---</v>
      </c>
      <c r="BA522" s="140">
        <f t="shared" si="524"/>
        <v>999.99</v>
      </c>
      <c r="BB522" s="263">
        <f t="shared" si="497"/>
        <v>1</v>
      </c>
      <c r="BC522" s="267" t="str">
        <f t="shared" si="498"/>
        <v>---</v>
      </c>
      <c r="BD522" s="140" t="str">
        <f t="shared" si="499"/>
        <v>---</v>
      </c>
      <c r="BE522" s="140">
        <f t="shared" si="500"/>
        <v>999.99</v>
      </c>
      <c r="BF522" s="263">
        <f t="shared" si="501"/>
        <v>0</v>
      </c>
      <c r="BG522" s="140" t="str">
        <f>WORKSHEET_CONSTR!D519</f>
        <v>---</v>
      </c>
      <c r="BH522" s="140" t="str">
        <f>WORKSHEET_CONSTR!C519</f>
        <v>---</v>
      </c>
      <c r="BI522" s="140">
        <f t="shared" si="502"/>
        <v>999.99</v>
      </c>
      <c r="BJ522" s="263">
        <f t="shared" si="503"/>
        <v>0</v>
      </c>
      <c r="BK522" s="140" t="str">
        <f t="shared" si="504"/>
        <v>---</v>
      </c>
      <c r="BL522" s="140" t="str">
        <f t="shared" si="505"/>
        <v>---</v>
      </c>
      <c r="BM522" s="140">
        <f t="shared" si="525"/>
        <v>999.99</v>
      </c>
      <c r="BN522" s="263">
        <f t="shared" si="506"/>
        <v>1</v>
      </c>
      <c r="BO522" s="140" t="str">
        <f>WORKSHEET_CONSTR!H519</f>
        <v>---</v>
      </c>
      <c r="BP522" s="140" t="str">
        <f>WORKSHEET_CONSTR!F519</f>
        <v>---</v>
      </c>
      <c r="BQ522" s="140">
        <f t="shared" si="526"/>
        <v>999.99</v>
      </c>
      <c r="BR522" s="263">
        <f t="shared" si="507"/>
        <v>1</v>
      </c>
      <c r="BS522" s="267" t="str">
        <f t="shared" si="508"/>
        <v>---</v>
      </c>
      <c r="BT522" s="210" t="str">
        <f t="shared" si="509"/>
        <v>---</v>
      </c>
      <c r="BU522" s="140">
        <f t="shared" si="527"/>
        <v>999.99</v>
      </c>
      <c r="BV522" s="263">
        <f t="shared" si="510"/>
        <v>1</v>
      </c>
      <c r="BW522" s="140" t="str">
        <f>WORKSHEET_CONSTR!K519</f>
        <v>---</v>
      </c>
      <c r="BX522" s="140" t="str">
        <f>WORKSHEET_CONSTR!J519</f>
        <v>---</v>
      </c>
      <c r="BY522" s="140">
        <f t="shared" si="528"/>
        <v>999.99</v>
      </c>
      <c r="BZ522" s="263">
        <f t="shared" si="511"/>
        <v>1</v>
      </c>
      <c r="CA522" s="271" t="str">
        <f t="shared" si="512"/>
        <v>---</v>
      </c>
      <c r="CB522" s="271" t="str">
        <f t="shared" si="513"/>
        <v>---</v>
      </c>
      <c r="CC522" s="140">
        <f t="shared" si="529"/>
        <v>999.99</v>
      </c>
      <c r="CD522" s="263">
        <f t="shared" si="514"/>
        <v>1</v>
      </c>
      <c r="CE522" s="140" t="str">
        <f>WORKSHEET_CONSTR!N519</f>
        <v>---</v>
      </c>
      <c r="CF522" s="140" t="str">
        <f>WORKSHEET_CONSTR!M519</f>
        <v>---</v>
      </c>
      <c r="CG522" s="140">
        <f t="shared" si="530"/>
        <v>999.99</v>
      </c>
      <c r="CH522" s="263">
        <f t="shared" si="515"/>
        <v>1</v>
      </c>
    </row>
    <row r="523" spans="1:86">
      <c r="A523" s="438" t="str">
        <f t="shared" si="531"/>
        <v>---</v>
      </c>
      <c r="B523" s="294" t="str">
        <f t="shared" si="531"/>
        <v>---</v>
      </c>
      <c r="C523" s="296" t="str">
        <f t="shared" si="476"/>
        <v>---</v>
      </c>
      <c r="D523" s="294" t="str">
        <f t="shared" si="516"/>
        <v>---</v>
      </c>
      <c r="E523" s="294" t="str">
        <f t="shared" si="477"/>
        <v>---</v>
      </c>
      <c r="F523" s="294" t="str">
        <f t="shared" si="478"/>
        <v>---</v>
      </c>
      <c r="G523" s="294" t="str">
        <f t="shared" si="479"/>
        <v>---</v>
      </c>
      <c r="H523" s="291" t="str">
        <f t="shared" si="480"/>
        <v>---</v>
      </c>
      <c r="I523" s="441" t="str">
        <f t="shared" si="481"/>
        <v>---</v>
      </c>
      <c r="J523" s="441" t="str">
        <f t="shared" si="482"/>
        <v>---</v>
      </c>
      <c r="K523" s="294" t="str">
        <f t="shared" si="517"/>
        <v>---</v>
      </c>
      <c r="L523" s="294" t="str">
        <f t="shared" si="483"/>
        <v>---</v>
      </c>
      <c r="M523" s="291" t="str">
        <f t="shared" si="518"/>
        <v>---</v>
      </c>
      <c r="N523" s="294" t="str">
        <f t="shared" si="484"/>
        <v>---</v>
      </c>
      <c r="O523" s="441" t="str">
        <f t="shared" si="485"/>
        <v>---</v>
      </c>
      <c r="AE523" s="140" t="str">
        <f t="shared" si="486"/>
        <v>---</v>
      </c>
      <c r="AF523" s="140" t="str">
        <f t="shared" si="487"/>
        <v>---</v>
      </c>
      <c r="AG523" s="140">
        <f t="shared" si="519"/>
        <v>999.99</v>
      </c>
      <c r="AH523" s="263">
        <f t="shared" si="488"/>
        <v>0</v>
      </c>
      <c r="AI523" s="140" t="str">
        <f>WORKSHEET_CONSTR!G462</f>
        <v>---</v>
      </c>
      <c r="AJ523" s="140" t="str">
        <f>WORKSHEET_CONSTR!F462</f>
        <v>---</v>
      </c>
      <c r="AK523" s="140">
        <f t="shared" si="520"/>
        <v>999.99</v>
      </c>
      <c r="AL523" s="263">
        <f t="shared" si="489"/>
        <v>0</v>
      </c>
      <c r="AM523" s="267" t="str">
        <f t="shared" si="490"/>
        <v>---</v>
      </c>
      <c r="AN523" s="140" t="str">
        <f t="shared" si="491"/>
        <v>---</v>
      </c>
      <c r="AO523" s="140">
        <f t="shared" si="521"/>
        <v>999.99</v>
      </c>
      <c r="AP523" s="263">
        <f t="shared" si="492"/>
        <v>1</v>
      </c>
      <c r="AQ523" s="140" t="str">
        <f>WORKSHEET_CONSTR!Q209</f>
        <v>---</v>
      </c>
      <c r="AR523" s="140" t="str">
        <f>WORKSHEET_CONSTR!E462</f>
        <v>---</v>
      </c>
      <c r="AS523" s="140">
        <f t="shared" si="522"/>
        <v>999.99</v>
      </c>
      <c r="AT523" s="263">
        <f t="shared" si="493"/>
        <v>1</v>
      </c>
      <c r="AU523" s="140" t="str">
        <f t="shared" si="494"/>
        <v>---</v>
      </c>
      <c r="AV523" s="140" t="str">
        <f t="shared" si="495"/>
        <v>---</v>
      </c>
      <c r="AW523" s="140">
        <f t="shared" si="523"/>
        <v>999.99</v>
      </c>
      <c r="AX523" s="263">
        <f t="shared" si="496"/>
        <v>1</v>
      </c>
      <c r="AY523" s="140" t="str">
        <f>WORKSHEET_CONSTR!R209</f>
        <v>---</v>
      </c>
      <c r="AZ523" s="140" t="str">
        <f>WORKSHEET_CONSTR!C462</f>
        <v>---</v>
      </c>
      <c r="BA523" s="140">
        <f t="shared" si="524"/>
        <v>999.99</v>
      </c>
      <c r="BB523" s="263">
        <f t="shared" si="497"/>
        <v>1</v>
      </c>
      <c r="BC523" s="267" t="str">
        <f t="shared" si="498"/>
        <v>---</v>
      </c>
      <c r="BD523" s="140" t="str">
        <f t="shared" si="499"/>
        <v>---</v>
      </c>
      <c r="BE523" s="140">
        <f t="shared" si="500"/>
        <v>999.99</v>
      </c>
      <c r="BF523" s="263">
        <f t="shared" si="501"/>
        <v>0</v>
      </c>
      <c r="BG523" s="140" t="str">
        <f>WORKSHEET_CONSTR!D520</f>
        <v>---</v>
      </c>
      <c r="BH523" s="140" t="str">
        <f>WORKSHEET_CONSTR!C520</f>
        <v>---</v>
      </c>
      <c r="BI523" s="140">
        <f t="shared" si="502"/>
        <v>999.99</v>
      </c>
      <c r="BJ523" s="263">
        <f t="shared" si="503"/>
        <v>0</v>
      </c>
      <c r="BK523" s="140" t="str">
        <f t="shared" si="504"/>
        <v>---</v>
      </c>
      <c r="BL523" s="140" t="str">
        <f t="shared" si="505"/>
        <v>---</v>
      </c>
      <c r="BM523" s="140">
        <f t="shared" si="525"/>
        <v>999.99</v>
      </c>
      <c r="BN523" s="263">
        <f t="shared" si="506"/>
        <v>1</v>
      </c>
      <c r="BO523" s="140" t="str">
        <f>WORKSHEET_CONSTR!H520</f>
        <v>---</v>
      </c>
      <c r="BP523" s="140" t="str">
        <f>WORKSHEET_CONSTR!F520</f>
        <v>---</v>
      </c>
      <c r="BQ523" s="140">
        <f t="shared" si="526"/>
        <v>999.99</v>
      </c>
      <c r="BR523" s="263">
        <f t="shared" si="507"/>
        <v>1</v>
      </c>
      <c r="BS523" s="267" t="str">
        <f t="shared" si="508"/>
        <v>---</v>
      </c>
      <c r="BT523" s="210" t="str">
        <f t="shared" si="509"/>
        <v>---</v>
      </c>
      <c r="BU523" s="140">
        <f t="shared" si="527"/>
        <v>999.99</v>
      </c>
      <c r="BV523" s="263">
        <f t="shared" si="510"/>
        <v>1</v>
      </c>
      <c r="BW523" s="140" t="str">
        <f>WORKSHEET_CONSTR!K520</f>
        <v>---</v>
      </c>
      <c r="BX523" s="140" t="str">
        <f>WORKSHEET_CONSTR!J520</f>
        <v>---</v>
      </c>
      <c r="BY523" s="140">
        <f t="shared" si="528"/>
        <v>999.99</v>
      </c>
      <c r="BZ523" s="263">
        <f t="shared" si="511"/>
        <v>1</v>
      </c>
      <c r="CA523" s="271" t="str">
        <f t="shared" si="512"/>
        <v>---</v>
      </c>
      <c r="CB523" s="271" t="str">
        <f t="shared" si="513"/>
        <v>---</v>
      </c>
      <c r="CC523" s="140">
        <f t="shared" si="529"/>
        <v>999.99</v>
      </c>
      <c r="CD523" s="263">
        <f t="shared" si="514"/>
        <v>1</v>
      </c>
      <c r="CE523" s="140" t="str">
        <f>WORKSHEET_CONSTR!N520</f>
        <v>---</v>
      </c>
      <c r="CF523" s="140" t="str">
        <f>WORKSHEET_CONSTR!M520</f>
        <v>---</v>
      </c>
      <c r="CG523" s="140">
        <f t="shared" si="530"/>
        <v>999.99</v>
      </c>
      <c r="CH523" s="263">
        <f t="shared" si="515"/>
        <v>1</v>
      </c>
    </row>
    <row r="524" spans="1:86">
      <c r="A524" s="438" t="str">
        <f t="shared" si="531"/>
        <v>---</v>
      </c>
      <c r="B524" s="294" t="str">
        <f t="shared" si="531"/>
        <v>---</v>
      </c>
      <c r="C524" s="296" t="str">
        <f t="shared" ref="C524:C541" si="532">IF(A330="---","---",$C$484*$C$485*F460/$C$486)</f>
        <v>---</v>
      </c>
      <c r="D524" s="294" t="str">
        <f t="shared" ref="D524:D541" si="533">IF(A524="---","---",gamma_P*(V330*G330+W330))</f>
        <v>---</v>
      </c>
      <c r="E524" s="294" t="str">
        <f t="shared" ref="E524:E541" si="534">IF(A330="---","---",D524*C330)</f>
        <v>---</v>
      </c>
      <c r="F524" s="294" t="str">
        <f t="shared" ref="F524:F541" si="535">IF(A330="---","---",E524+C524)</f>
        <v>---</v>
      </c>
      <c r="G524" s="294" t="str">
        <f t="shared" ref="G524:G541" si="536">IF(A330="---","---",phi_Tensile_Combined*I268*IF(Type_Reinf="g",L268,J268))</f>
        <v>---</v>
      </c>
      <c r="H524" s="291" t="str">
        <f t="shared" ref="H524:H541" si="537">IF(A330="---","---",IF(G524&gt;=F524,"OK","NG!"))</f>
        <v>---</v>
      </c>
      <c r="I524" s="441" t="str">
        <f t="shared" ref="I524:I541" si="538">IF(A330="---","---",IF(Type_Reinf="g",IF(T268&gt;=E524,"OK","NG!"),"---"))</f>
        <v>---</v>
      </c>
      <c r="J524" s="441" t="str">
        <f t="shared" ref="J524:J541" si="539">IF(A330="---","---",IF(Type_Reinf="g",IF(U268&gt;=C524,"OK","NG!"),"---"))</f>
        <v>---</v>
      </c>
      <c r="K524" s="294" t="str">
        <f t="shared" ref="K524:K541" si="540">IF(A524="---","---",gamma_P*(V330*H460+W330))</f>
        <v>---</v>
      </c>
      <c r="L524" s="294" t="str">
        <f t="shared" ref="L524:L541" si="541">IF(A524="---","---",K524*C330)</f>
        <v>---</v>
      </c>
      <c r="M524" s="291" t="str">
        <f t="shared" si="518"/>
        <v>---</v>
      </c>
      <c r="N524" s="294" t="str">
        <f t="shared" ref="N524:N541" si="542">IF(A460="---","---",MAX(3,M524/(phi_Pullout_Combined*0.8*G460*alpha*N460*C_surf_geo*I268)))</f>
        <v>---</v>
      </c>
      <c r="O524" s="441" t="str">
        <f t="shared" ref="O524:O541" si="543">IF(A460="---","---",IF(N524&gt;F460,"NG!","OK"))</f>
        <v>---</v>
      </c>
      <c r="AE524" s="140" t="str">
        <f t="shared" ref="AE524:AE541" si="544">G524</f>
        <v>---</v>
      </c>
      <c r="AF524" s="140" t="str">
        <f t="shared" ref="AF524:AF541" si="545">F524</f>
        <v>---</v>
      </c>
      <c r="AG524" s="140">
        <f t="shared" si="519"/>
        <v>999.99</v>
      </c>
      <c r="AH524" s="263">
        <f t="shared" ref="AH524:AH541" si="546">IF(AG524=MIN($AG$492:$AG$541,$AK$492:$AK$541),1,0)</f>
        <v>0</v>
      </c>
      <c r="AI524" s="140" t="str">
        <f>WORKSHEET_CONSTR!G463</f>
        <v>---</v>
      </c>
      <c r="AJ524" s="140" t="str">
        <f>WORKSHEET_CONSTR!F463</f>
        <v>---</v>
      </c>
      <c r="AK524" s="140">
        <f t="shared" si="520"/>
        <v>999.99</v>
      </c>
      <c r="AL524" s="263">
        <f t="shared" ref="AL524:AL541" si="547">IF(AK524=MIN($AG$492:$AG$541,$AK$492:$AK$541),1,0)</f>
        <v>0</v>
      </c>
      <c r="AM524" s="267" t="str">
        <f t="shared" ref="AM524:AM541" si="548">T268</f>
        <v>---</v>
      </c>
      <c r="AN524" s="140" t="str">
        <f t="shared" ref="AN524:AN541" si="549">E524</f>
        <v>---</v>
      </c>
      <c r="AO524" s="140">
        <f t="shared" si="521"/>
        <v>999.99</v>
      </c>
      <c r="AP524" s="263">
        <f t="shared" ref="AP524:AP541" si="550">IF(AO524=MIN($AO$492:$AO$541,$AS$492:$AS$541),1,0)</f>
        <v>1</v>
      </c>
      <c r="AQ524" s="140" t="str">
        <f>WORKSHEET_CONSTR!Q210</f>
        <v>---</v>
      </c>
      <c r="AR524" s="140" t="str">
        <f>WORKSHEET_CONSTR!E463</f>
        <v>---</v>
      </c>
      <c r="AS524" s="140">
        <f t="shared" si="522"/>
        <v>999.99</v>
      </c>
      <c r="AT524" s="263">
        <f t="shared" ref="AT524:AT541" si="551">IF(AS524=MIN($AO$492:$AO$541,$AS$492:$AS$541),1,0)</f>
        <v>1</v>
      </c>
      <c r="AU524" s="140" t="str">
        <f t="shared" ref="AU524:AU541" si="552">U268</f>
        <v>---</v>
      </c>
      <c r="AV524" s="140" t="str">
        <f t="shared" ref="AV524:AV541" si="553">C524</f>
        <v>---</v>
      </c>
      <c r="AW524" s="140">
        <f t="shared" si="523"/>
        <v>999.99</v>
      </c>
      <c r="AX524" s="263">
        <f t="shared" ref="AX524:AX541" si="554">IF(AW524=MIN($AW$492:$AW$541,$BA$492:$BA$541),1,0)</f>
        <v>1</v>
      </c>
      <c r="AY524" s="140" t="str">
        <f>WORKSHEET_CONSTR!R210</f>
        <v>---</v>
      </c>
      <c r="AZ524" s="140" t="str">
        <f>WORKSHEET_CONSTR!C463</f>
        <v>---</v>
      </c>
      <c r="BA524" s="140">
        <f t="shared" si="524"/>
        <v>999.99</v>
      </c>
      <c r="BB524" s="263">
        <f t="shared" ref="BB524:BB541" si="555">IF(BA524=MIN($AW$492:$AW$541,$BA$492:$BA$541),1,0)</f>
        <v>1</v>
      </c>
      <c r="BC524" s="267" t="str">
        <f t="shared" ref="BC524:BC541" si="556">D582</f>
        <v>---</v>
      </c>
      <c r="BD524" s="140" t="str">
        <f t="shared" ref="BD524:BD541" si="557">C582</f>
        <v>---</v>
      </c>
      <c r="BE524" s="140">
        <f t="shared" ref="BE524:BE541" si="558">IF(BC524="---",999.99,BC524/BD524)</f>
        <v>999.99</v>
      </c>
      <c r="BF524" s="263">
        <f t="shared" ref="BF524:BF541" si="559">IF(BE524=MIN($BE$492:$BE$541,$BI$492:$BI$541),1,0)</f>
        <v>0</v>
      </c>
      <c r="BG524" s="140" t="str">
        <f>WORKSHEET_CONSTR!D521</f>
        <v>---</v>
      </c>
      <c r="BH524" s="140" t="str">
        <f>WORKSHEET_CONSTR!C521</f>
        <v>---</v>
      </c>
      <c r="BI524" s="140">
        <f t="shared" ref="BI524:BI541" si="560">IF(BG524="---",999.99,BG524/BH524)</f>
        <v>999.99</v>
      </c>
      <c r="BJ524" s="263">
        <f t="shared" ref="BJ524:BJ541" si="561">IF(BI524=MIN($BE$492:$BE$541,$BI$492:$BI$541),1,0)</f>
        <v>0</v>
      </c>
      <c r="BK524" s="140" t="str">
        <f t="shared" ref="BK524:BK541" si="562">H582</f>
        <v>---</v>
      </c>
      <c r="BL524" s="140" t="str">
        <f t="shared" ref="BL524:BL541" si="563">F582</f>
        <v>---</v>
      </c>
      <c r="BM524" s="140">
        <f t="shared" si="525"/>
        <v>999.99</v>
      </c>
      <c r="BN524" s="263">
        <f t="shared" ref="BN524:BN541" si="564">IF(BM524=MIN($BM$492:$BM$541,$BQ$492:$BQ$541),1,0)</f>
        <v>1</v>
      </c>
      <c r="BO524" s="140" t="str">
        <f>WORKSHEET_CONSTR!H521</f>
        <v>---</v>
      </c>
      <c r="BP524" s="140" t="str">
        <f>WORKSHEET_CONSTR!F521</f>
        <v>---</v>
      </c>
      <c r="BQ524" s="140">
        <f t="shared" si="526"/>
        <v>999.99</v>
      </c>
      <c r="BR524" s="263">
        <f t="shared" ref="BR524:BR541" si="565">IF(BQ524=MIN($BM$492:$BM$541,$BQ$492:$BQ$541),1,0)</f>
        <v>1</v>
      </c>
      <c r="BS524" s="267" t="str">
        <f t="shared" ref="BS524:BS541" si="566">K582</f>
        <v>---</v>
      </c>
      <c r="BT524" s="210" t="str">
        <f t="shared" ref="BT524:BT541" si="567">E524</f>
        <v>---</v>
      </c>
      <c r="BU524" s="140">
        <f t="shared" si="527"/>
        <v>999.99</v>
      </c>
      <c r="BV524" s="263">
        <f t="shared" ref="BV524:BV541" si="568">IF(BU524=MIN($BU$492:$BU$541,$BY$492:$BY$541),1,0)</f>
        <v>1</v>
      </c>
      <c r="BW524" s="140" t="str">
        <f>WORKSHEET_CONSTR!K521</f>
        <v>---</v>
      </c>
      <c r="BX524" s="140" t="str">
        <f>WORKSHEET_CONSTR!J521</f>
        <v>---</v>
      </c>
      <c r="BY524" s="140">
        <f t="shared" si="528"/>
        <v>999.99</v>
      </c>
      <c r="BZ524" s="263">
        <f t="shared" ref="BZ524:BZ541" si="569">IF(BY524=MIN($BU$492:$BU$541,$BY$492:$BY$541),1,0)</f>
        <v>1</v>
      </c>
      <c r="CA524" s="271" t="str">
        <f t="shared" ref="CA524:CA541" si="570">N582</f>
        <v>---</v>
      </c>
      <c r="CB524" s="271" t="str">
        <f t="shared" ref="CB524:CB541" si="571">C524</f>
        <v>---</v>
      </c>
      <c r="CC524" s="140">
        <f t="shared" si="529"/>
        <v>999.99</v>
      </c>
      <c r="CD524" s="263">
        <f t="shared" ref="CD524:CD541" si="572">IF(CC524=MIN($CC$492:$CC$541,$CG$492:$CG$541),1,0)</f>
        <v>1</v>
      </c>
      <c r="CE524" s="140" t="str">
        <f>WORKSHEET_CONSTR!N521</f>
        <v>---</v>
      </c>
      <c r="CF524" s="140" t="str">
        <f>WORKSHEET_CONSTR!M521</f>
        <v>---</v>
      </c>
      <c r="CG524" s="140">
        <f t="shared" si="530"/>
        <v>999.99</v>
      </c>
      <c r="CH524" s="263">
        <f t="shared" ref="CH524:CH541" si="573">IF(CG524=MIN($CC$492:$CC$541,$CG$492:$CG$541),1,0)</f>
        <v>1</v>
      </c>
    </row>
    <row r="525" spans="1:86">
      <c r="A525" s="438" t="str">
        <f t="shared" si="531"/>
        <v>---</v>
      </c>
      <c r="B525" s="294" t="str">
        <f t="shared" si="531"/>
        <v>---</v>
      </c>
      <c r="C525" s="296" t="str">
        <f t="shared" si="532"/>
        <v>---</v>
      </c>
      <c r="D525" s="294" t="str">
        <f t="shared" si="533"/>
        <v>---</v>
      </c>
      <c r="E525" s="294" t="str">
        <f t="shared" si="534"/>
        <v>---</v>
      </c>
      <c r="F525" s="294" t="str">
        <f t="shared" si="535"/>
        <v>---</v>
      </c>
      <c r="G525" s="294" t="str">
        <f t="shared" si="536"/>
        <v>---</v>
      </c>
      <c r="H525" s="291" t="str">
        <f t="shared" si="537"/>
        <v>---</v>
      </c>
      <c r="I525" s="441" t="str">
        <f t="shared" si="538"/>
        <v>---</v>
      </c>
      <c r="J525" s="441" t="str">
        <f t="shared" si="539"/>
        <v>---</v>
      </c>
      <c r="K525" s="294" t="str">
        <f t="shared" si="540"/>
        <v>---</v>
      </c>
      <c r="L525" s="294" t="str">
        <f t="shared" si="541"/>
        <v>---</v>
      </c>
      <c r="M525" s="291" t="str">
        <f t="shared" si="518"/>
        <v>---</v>
      </c>
      <c r="N525" s="294" t="str">
        <f t="shared" si="542"/>
        <v>---</v>
      </c>
      <c r="O525" s="441" t="str">
        <f t="shared" si="543"/>
        <v>---</v>
      </c>
      <c r="AE525" s="140" t="str">
        <f t="shared" si="544"/>
        <v>---</v>
      </c>
      <c r="AF525" s="140" t="str">
        <f t="shared" si="545"/>
        <v>---</v>
      </c>
      <c r="AG525" s="140">
        <f t="shared" si="519"/>
        <v>999.99</v>
      </c>
      <c r="AH525" s="263">
        <f t="shared" si="546"/>
        <v>0</v>
      </c>
      <c r="AI525" s="140" t="str">
        <f>WORKSHEET_CONSTR!G464</f>
        <v>---</v>
      </c>
      <c r="AJ525" s="140" t="str">
        <f>WORKSHEET_CONSTR!F464</f>
        <v>---</v>
      </c>
      <c r="AK525" s="140">
        <f t="shared" si="520"/>
        <v>999.99</v>
      </c>
      <c r="AL525" s="263">
        <f t="shared" si="547"/>
        <v>0</v>
      </c>
      <c r="AM525" s="267" t="str">
        <f t="shared" si="548"/>
        <v>---</v>
      </c>
      <c r="AN525" s="140" t="str">
        <f t="shared" si="549"/>
        <v>---</v>
      </c>
      <c r="AO525" s="140">
        <f t="shared" si="521"/>
        <v>999.99</v>
      </c>
      <c r="AP525" s="263">
        <f t="shared" si="550"/>
        <v>1</v>
      </c>
      <c r="AQ525" s="140" t="str">
        <f>WORKSHEET_CONSTR!Q211</f>
        <v>---</v>
      </c>
      <c r="AR525" s="140" t="str">
        <f>WORKSHEET_CONSTR!E464</f>
        <v>---</v>
      </c>
      <c r="AS525" s="140">
        <f t="shared" si="522"/>
        <v>999.99</v>
      </c>
      <c r="AT525" s="263">
        <f t="shared" si="551"/>
        <v>1</v>
      </c>
      <c r="AU525" s="140" t="str">
        <f t="shared" si="552"/>
        <v>---</v>
      </c>
      <c r="AV525" s="140" t="str">
        <f t="shared" si="553"/>
        <v>---</v>
      </c>
      <c r="AW525" s="140">
        <f t="shared" si="523"/>
        <v>999.99</v>
      </c>
      <c r="AX525" s="263">
        <f t="shared" si="554"/>
        <v>1</v>
      </c>
      <c r="AY525" s="140" t="str">
        <f>WORKSHEET_CONSTR!R211</f>
        <v>---</v>
      </c>
      <c r="AZ525" s="140" t="str">
        <f>WORKSHEET_CONSTR!C464</f>
        <v>---</v>
      </c>
      <c r="BA525" s="140">
        <f t="shared" si="524"/>
        <v>999.99</v>
      </c>
      <c r="BB525" s="263">
        <f t="shared" si="555"/>
        <v>1</v>
      </c>
      <c r="BC525" s="267" t="str">
        <f t="shared" si="556"/>
        <v>---</v>
      </c>
      <c r="BD525" s="140" t="str">
        <f t="shared" si="557"/>
        <v>---</v>
      </c>
      <c r="BE525" s="140">
        <f t="shared" si="558"/>
        <v>999.99</v>
      </c>
      <c r="BF525" s="263">
        <f t="shared" si="559"/>
        <v>0</v>
      </c>
      <c r="BG525" s="140" t="str">
        <f>WORKSHEET_CONSTR!D522</f>
        <v>---</v>
      </c>
      <c r="BH525" s="140" t="str">
        <f>WORKSHEET_CONSTR!C522</f>
        <v>---</v>
      </c>
      <c r="BI525" s="140">
        <f t="shared" si="560"/>
        <v>999.99</v>
      </c>
      <c r="BJ525" s="263">
        <f t="shared" si="561"/>
        <v>0</v>
      </c>
      <c r="BK525" s="140" t="str">
        <f t="shared" si="562"/>
        <v>---</v>
      </c>
      <c r="BL525" s="140" t="str">
        <f t="shared" si="563"/>
        <v>---</v>
      </c>
      <c r="BM525" s="140">
        <f t="shared" si="525"/>
        <v>999.99</v>
      </c>
      <c r="BN525" s="263">
        <f t="shared" si="564"/>
        <v>1</v>
      </c>
      <c r="BO525" s="140" t="str">
        <f>WORKSHEET_CONSTR!H522</f>
        <v>---</v>
      </c>
      <c r="BP525" s="140" t="str">
        <f>WORKSHEET_CONSTR!F522</f>
        <v>---</v>
      </c>
      <c r="BQ525" s="140">
        <f t="shared" si="526"/>
        <v>999.99</v>
      </c>
      <c r="BR525" s="263">
        <f t="shared" si="565"/>
        <v>1</v>
      </c>
      <c r="BS525" s="267" t="str">
        <f t="shared" si="566"/>
        <v>---</v>
      </c>
      <c r="BT525" s="210" t="str">
        <f t="shared" si="567"/>
        <v>---</v>
      </c>
      <c r="BU525" s="140">
        <f t="shared" si="527"/>
        <v>999.99</v>
      </c>
      <c r="BV525" s="263">
        <f t="shared" si="568"/>
        <v>1</v>
      </c>
      <c r="BW525" s="140" t="str">
        <f>WORKSHEET_CONSTR!K522</f>
        <v>---</v>
      </c>
      <c r="BX525" s="140" t="str">
        <f>WORKSHEET_CONSTR!J522</f>
        <v>---</v>
      </c>
      <c r="BY525" s="140">
        <f t="shared" si="528"/>
        <v>999.99</v>
      </c>
      <c r="BZ525" s="263">
        <f t="shared" si="569"/>
        <v>1</v>
      </c>
      <c r="CA525" s="271" t="str">
        <f t="shared" si="570"/>
        <v>---</v>
      </c>
      <c r="CB525" s="271" t="str">
        <f t="shared" si="571"/>
        <v>---</v>
      </c>
      <c r="CC525" s="140">
        <f t="shared" si="529"/>
        <v>999.99</v>
      </c>
      <c r="CD525" s="263">
        <f t="shared" si="572"/>
        <v>1</v>
      </c>
      <c r="CE525" s="140" t="str">
        <f>WORKSHEET_CONSTR!N522</f>
        <v>---</v>
      </c>
      <c r="CF525" s="140" t="str">
        <f>WORKSHEET_CONSTR!M522</f>
        <v>---</v>
      </c>
      <c r="CG525" s="140">
        <f t="shared" si="530"/>
        <v>999.99</v>
      </c>
      <c r="CH525" s="263">
        <f t="shared" si="573"/>
        <v>1</v>
      </c>
    </row>
    <row r="526" spans="1:86">
      <c r="A526" s="438" t="str">
        <f t="shared" si="531"/>
        <v>---</v>
      </c>
      <c r="B526" s="294" t="str">
        <f t="shared" si="531"/>
        <v>---</v>
      </c>
      <c r="C526" s="296" t="str">
        <f t="shared" si="532"/>
        <v>---</v>
      </c>
      <c r="D526" s="294" t="str">
        <f t="shared" si="533"/>
        <v>---</v>
      </c>
      <c r="E526" s="294" t="str">
        <f t="shared" si="534"/>
        <v>---</v>
      </c>
      <c r="F526" s="294" t="str">
        <f t="shared" si="535"/>
        <v>---</v>
      </c>
      <c r="G526" s="294" t="str">
        <f t="shared" si="536"/>
        <v>---</v>
      </c>
      <c r="H526" s="291" t="str">
        <f t="shared" si="537"/>
        <v>---</v>
      </c>
      <c r="I526" s="441" t="str">
        <f t="shared" si="538"/>
        <v>---</v>
      </c>
      <c r="J526" s="441" t="str">
        <f t="shared" si="539"/>
        <v>---</v>
      </c>
      <c r="K526" s="294" t="str">
        <f t="shared" si="540"/>
        <v>---</v>
      </c>
      <c r="L526" s="294" t="str">
        <f t="shared" si="541"/>
        <v>---</v>
      </c>
      <c r="M526" s="291" t="str">
        <f t="shared" si="518"/>
        <v>---</v>
      </c>
      <c r="N526" s="294" t="str">
        <f t="shared" si="542"/>
        <v>---</v>
      </c>
      <c r="O526" s="441" t="str">
        <f t="shared" si="543"/>
        <v>---</v>
      </c>
      <c r="AE526" s="140" t="str">
        <f t="shared" si="544"/>
        <v>---</v>
      </c>
      <c r="AF526" s="140" t="str">
        <f t="shared" si="545"/>
        <v>---</v>
      </c>
      <c r="AG526" s="140">
        <f t="shared" si="519"/>
        <v>999.99</v>
      </c>
      <c r="AH526" s="263">
        <f t="shared" si="546"/>
        <v>0</v>
      </c>
      <c r="AI526" s="140" t="str">
        <f>WORKSHEET_CONSTR!G465</f>
        <v>---</v>
      </c>
      <c r="AJ526" s="140" t="str">
        <f>WORKSHEET_CONSTR!F465</f>
        <v>---</v>
      </c>
      <c r="AK526" s="140">
        <f t="shared" si="520"/>
        <v>999.99</v>
      </c>
      <c r="AL526" s="263">
        <f t="shared" si="547"/>
        <v>0</v>
      </c>
      <c r="AM526" s="267" t="str">
        <f t="shared" si="548"/>
        <v>---</v>
      </c>
      <c r="AN526" s="140" t="str">
        <f t="shared" si="549"/>
        <v>---</v>
      </c>
      <c r="AO526" s="140">
        <f t="shared" si="521"/>
        <v>999.99</v>
      </c>
      <c r="AP526" s="263">
        <f t="shared" si="550"/>
        <v>1</v>
      </c>
      <c r="AQ526" s="140" t="str">
        <f>WORKSHEET_CONSTR!Q212</f>
        <v>---</v>
      </c>
      <c r="AR526" s="140" t="str">
        <f>WORKSHEET_CONSTR!E465</f>
        <v>---</v>
      </c>
      <c r="AS526" s="140">
        <f t="shared" si="522"/>
        <v>999.99</v>
      </c>
      <c r="AT526" s="263">
        <f t="shared" si="551"/>
        <v>1</v>
      </c>
      <c r="AU526" s="140" t="str">
        <f t="shared" si="552"/>
        <v>---</v>
      </c>
      <c r="AV526" s="140" t="str">
        <f t="shared" si="553"/>
        <v>---</v>
      </c>
      <c r="AW526" s="140">
        <f t="shared" si="523"/>
        <v>999.99</v>
      </c>
      <c r="AX526" s="263">
        <f t="shared" si="554"/>
        <v>1</v>
      </c>
      <c r="AY526" s="140" t="str">
        <f>WORKSHEET_CONSTR!R212</f>
        <v>---</v>
      </c>
      <c r="AZ526" s="140" t="str">
        <f>WORKSHEET_CONSTR!C465</f>
        <v>---</v>
      </c>
      <c r="BA526" s="140">
        <f t="shared" si="524"/>
        <v>999.99</v>
      </c>
      <c r="BB526" s="263">
        <f t="shared" si="555"/>
        <v>1</v>
      </c>
      <c r="BC526" s="267" t="str">
        <f t="shared" si="556"/>
        <v>---</v>
      </c>
      <c r="BD526" s="140" t="str">
        <f t="shared" si="557"/>
        <v>---</v>
      </c>
      <c r="BE526" s="140">
        <f t="shared" si="558"/>
        <v>999.99</v>
      </c>
      <c r="BF526" s="263">
        <f t="shared" si="559"/>
        <v>0</v>
      </c>
      <c r="BG526" s="140" t="str">
        <f>WORKSHEET_CONSTR!D523</f>
        <v>---</v>
      </c>
      <c r="BH526" s="140" t="str">
        <f>WORKSHEET_CONSTR!C523</f>
        <v>---</v>
      </c>
      <c r="BI526" s="140">
        <f t="shared" si="560"/>
        <v>999.99</v>
      </c>
      <c r="BJ526" s="263">
        <f t="shared" si="561"/>
        <v>0</v>
      </c>
      <c r="BK526" s="140" t="str">
        <f t="shared" si="562"/>
        <v>---</v>
      </c>
      <c r="BL526" s="140" t="str">
        <f t="shared" si="563"/>
        <v>---</v>
      </c>
      <c r="BM526" s="140">
        <f t="shared" si="525"/>
        <v>999.99</v>
      </c>
      <c r="BN526" s="263">
        <f t="shared" si="564"/>
        <v>1</v>
      </c>
      <c r="BO526" s="140" t="str">
        <f>WORKSHEET_CONSTR!H523</f>
        <v>---</v>
      </c>
      <c r="BP526" s="140" t="str">
        <f>WORKSHEET_CONSTR!F523</f>
        <v>---</v>
      </c>
      <c r="BQ526" s="140">
        <f t="shared" si="526"/>
        <v>999.99</v>
      </c>
      <c r="BR526" s="263">
        <f t="shared" si="565"/>
        <v>1</v>
      </c>
      <c r="BS526" s="267" t="str">
        <f t="shared" si="566"/>
        <v>---</v>
      </c>
      <c r="BT526" s="210" t="str">
        <f t="shared" si="567"/>
        <v>---</v>
      </c>
      <c r="BU526" s="140">
        <f t="shared" si="527"/>
        <v>999.99</v>
      </c>
      <c r="BV526" s="263">
        <f t="shared" si="568"/>
        <v>1</v>
      </c>
      <c r="BW526" s="140" t="str">
        <f>WORKSHEET_CONSTR!K523</f>
        <v>---</v>
      </c>
      <c r="BX526" s="140" t="str">
        <f>WORKSHEET_CONSTR!J523</f>
        <v>---</v>
      </c>
      <c r="BY526" s="140">
        <f t="shared" si="528"/>
        <v>999.99</v>
      </c>
      <c r="BZ526" s="263">
        <f t="shared" si="569"/>
        <v>1</v>
      </c>
      <c r="CA526" s="271" t="str">
        <f t="shared" si="570"/>
        <v>---</v>
      </c>
      <c r="CB526" s="271" t="str">
        <f t="shared" si="571"/>
        <v>---</v>
      </c>
      <c r="CC526" s="140">
        <f t="shared" si="529"/>
        <v>999.99</v>
      </c>
      <c r="CD526" s="263">
        <f t="shared" si="572"/>
        <v>1</v>
      </c>
      <c r="CE526" s="140" t="str">
        <f>WORKSHEET_CONSTR!N523</f>
        <v>---</v>
      </c>
      <c r="CF526" s="140" t="str">
        <f>WORKSHEET_CONSTR!M523</f>
        <v>---</v>
      </c>
      <c r="CG526" s="140">
        <f t="shared" si="530"/>
        <v>999.99</v>
      </c>
      <c r="CH526" s="263">
        <f t="shared" si="573"/>
        <v>1</v>
      </c>
    </row>
    <row r="527" spans="1:86">
      <c r="A527" s="438" t="str">
        <f t="shared" si="531"/>
        <v>---</v>
      </c>
      <c r="B527" s="294" t="str">
        <f t="shared" si="531"/>
        <v>---</v>
      </c>
      <c r="C527" s="296" t="str">
        <f t="shared" si="532"/>
        <v>---</v>
      </c>
      <c r="D527" s="294" t="str">
        <f t="shared" si="533"/>
        <v>---</v>
      </c>
      <c r="E527" s="294" t="str">
        <f t="shared" si="534"/>
        <v>---</v>
      </c>
      <c r="F527" s="294" t="str">
        <f t="shared" si="535"/>
        <v>---</v>
      </c>
      <c r="G527" s="294" t="str">
        <f t="shared" si="536"/>
        <v>---</v>
      </c>
      <c r="H527" s="291" t="str">
        <f t="shared" si="537"/>
        <v>---</v>
      </c>
      <c r="I527" s="441" t="str">
        <f t="shared" si="538"/>
        <v>---</v>
      </c>
      <c r="J527" s="441" t="str">
        <f t="shared" si="539"/>
        <v>---</v>
      </c>
      <c r="K527" s="294" t="str">
        <f t="shared" si="540"/>
        <v>---</v>
      </c>
      <c r="L527" s="294" t="str">
        <f t="shared" si="541"/>
        <v>---</v>
      </c>
      <c r="M527" s="291" t="str">
        <f t="shared" si="518"/>
        <v>---</v>
      </c>
      <c r="N527" s="294" t="str">
        <f t="shared" si="542"/>
        <v>---</v>
      </c>
      <c r="O527" s="441" t="str">
        <f t="shared" si="543"/>
        <v>---</v>
      </c>
      <c r="AE527" s="140" t="str">
        <f t="shared" si="544"/>
        <v>---</v>
      </c>
      <c r="AF527" s="140" t="str">
        <f t="shared" si="545"/>
        <v>---</v>
      </c>
      <c r="AG527" s="140">
        <f t="shared" si="519"/>
        <v>999.99</v>
      </c>
      <c r="AH527" s="263">
        <f t="shared" si="546"/>
        <v>0</v>
      </c>
      <c r="AI527" s="140" t="str">
        <f>WORKSHEET_CONSTR!G466</f>
        <v>---</v>
      </c>
      <c r="AJ527" s="140" t="str">
        <f>WORKSHEET_CONSTR!F466</f>
        <v>---</v>
      </c>
      <c r="AK527" s="140">
        <f t="shared" si="520"/>
        <v>999.99</v>
      </c>
      <c r="AL527" s="263">
        <f t="shared" si="547"/>
        <v>0</v>
      </c>
      <c r="AM527" s="267" t="str">
        <f t="shared" si="548"/>
        <v>---</v>
      </c>
      <c r="AN527" s="140" t="str">
        <f t="shared" si="549"/>
        <v>---</v>
      </c>
      <c r="AO527" s="140">
        <f t="shared" si="521"/>
        <v>999.99</v>
      </c>
      <c r="AP527" s="263">
        <f t="shared" si="550"/>
        <v>1</v>
      </c>
      <c r="AQ527" s="140" t="str">
        <f>WORKSHEET_CONSTR!Q213</f>
        <v>---</v>
      </c>
      <c r="AR527" s="140" t="str">
        <f>WORKSHEET_CONSTR!E466</f>
        <v>---</v>
      </c>
      <c r="AS527" s="140">
        <f t="shared" si="522"/>
        <v>999.99</v>
      </c>
      <c r="AT527" s="263">
        <f t="shared" si="551"/>
        <v>1</v>
      </c>
      <c r="AU527" s="140" t="str">
        <f t="shared" si="552"/>
        <v>---</v>
      </c>
      <c r="AV527" s="140" t="str">
        <f t="shared" si="553"/>
        <v>---</v>
      </c>
      <c r="AW527" s="140">
        <f t="shared" si="523"/>
        <v>999.99</v>
      </c>
      <c r="AX527" s="263">
        <f t="shared" si="554"/>
        <v>1</v>
      </c>
      <c r="AY527" s="140" t="str">
        <f>WORKSHEET_CONSTR!R213</f>
        <v>---</v>
      </c>
      <c r="AZ527" s="140" t="str">
        <f>WORKSHEET_CONSTR!C466</f>
        <v>---</v>
      </c>
      <c r="BA527" s="140">
        <f t="shared" si="524"/>
        <v>999.99</v>
      </c>
      <c r="BB527" s="263">
        <f t="shared" si="555"/>
        <v>1</v>
      </c>
      <c r="BC527" s="267" t="str">
        <f t="shared" si="556"/>
        <v>---</v>
      </c>
      <c r="BD527" s="140" t="str">
        <f t="shared" si="557"/>
        <v>---</v>
      </c>
      <c r="BE527" s="140">
        <f t="shared" si="558"/>
        <v>999.99</v>
      </c>
      <c r="BF527" s="263">
        <f t="shared" si="559"/>
        <v>0</v>
      </c>
      <c r="BG527" s="140" t="str">
        <f>WORKSHEET_CONSTR!D524</f>
        <v>---</v>
      </c>
      <c r="BH527" s="140" t="str">
        <f>WORKSHEET_CONSTR!C524</f>
        <v>---</v>
      </c>
      <c r="BI527" s="140">
        <f t="shared" si="560"/>
        <v>999.99</v>
      </c>
      <c r="BJ527" s="263">
        <f t="shared" si="561"/>
        <v>0</v>
      </c>
      <c r="BK527" s="140" t="str">
        <f t="shared" si="562"/>
        <v>---</v>
      </c>
      <c r="BL527" s="140" t="str">
        <f t="shared" si="563"/>
        <v>---</v>
      </c>
      <c r="BM527" s="140">
        <f t="shared" si="525"/>
        <v>999.99</v>
      </c>
      <c r="BN527" s="263">
        <f t="shared" si="564"/>
        <v>1</v>
      </c>
      <c r="BO527" s="140" t="str">
        <f>WORKSHEET_CONSTR!H524</f>
        <v>---</v>
      </c>
      <c r="BP527" s="140" t="str">
        <f>WORKSHEET_CONSTR!F524</f>
        <v>---</v>
      </c>
      <c r="BQ527" s="140">
        <f t="shared" si="526"/>
        <v>999.99</v>
      </c>
      <c r="BR527" s="263">
        <f t="shared" si="565"/>
        <v>1</v>
      </c>
      <c r="BS527" s="267" t="str">
        <f t="shared" si="566"/>
        <v>---</v>
      </c>
      <c r="BT527" s="210" t="str">
        <f t="shared" si="567"/>
        <v>---</v>
      </c>
      <c r="BU527" s="140">
        <f t="shared" si="527"/>
        <v>999.99</v>
      </c>
      <c r="BV527" s="263">
        <f t="shared" si="568"/>
        <v>1</v>
      </c>
      <c r="BW527" s="140" t="str">
        <f>WORKSHEET_CONSTR!K524</f>
        <v>---</v>
      </c>
      <c r="BX527" s="140" t="str">
        <f>WORKSHEET_CONSTR!J524</f>
        <v>---</v>
      </c>
      <c r="BY527" s="140">
        <f t="shared" si="528"/>
        <v>999.99</v>
      </c>
      <c r="BZ527" s="263">
        <f t="shared" si="569"/>
        <v>1</v>
      </c>
      <c r="CA527" s="271" t="str">
        <f t="shared" si="570"/>
        <v>---</v>
      </c>
      <c r="CB527" s="271" t="str">
        <f t="shared" si="571"/>
        <v>---</v>
      </c>
      <c r="CC527" s="140">
        <f t="shared" si="529"/>
        <v>999.99</v>
      </c>
      <c r="CD527" s="263">
        <f t="shared" si="572"/>
        <v>1</v>
      </c>
      <c r="CE527" s="140" t="str">
        <f>WORKSHEET_CONSTR!N524</f>
        <v>---</v>
      </c>
      <c r="CF527" s="140" t="str">
        <f>WORKSHEET_CONSTR!M524</f>
        <v>---</v>
      </c>
      <c r="CG527" s="140">
        <f t="shared" si="530"/>
        <v>999.99</v>
      </c>
      <c r="CH527" s="263">
        <f t="shared" si="573"/>
        <v>1</v>
      </c>
    </row>
    <row r="528" spans="1:86">
      <c r="A528" s="438" t="str">
        <f t="shared" si="531"/>
        <v>---</v>
      </c>
      <c r="B528" s="294" t="str">
        <f t="shared" si="531"/>
        <v>---</v>
      </c>
      <c r="C528" s="296" t="str">
        <f t="shared" si="532"/>
        <v>---</v>
      </c>
      <c r="D528" s="294" t="str">
        <f t="shared" si="533"/>
        <v>---</v>
      </c>
      <c r="E528" s="294" t="str">
        <f t="shared" si="534"/>
        <v>---</v>
      </c>
      <c r="F528" s="294" t="str">
        <f t="shared" si="535"/>
        <v>---</v>
      </c>
      <c r="G528" s="294" t="str">
        <f t="shared" si="536"/>
        <v>---</v>
      </c>
      <c r="H528" s="291" t="str">
        <f t="shared" si="537"/>
        <v>---</v>
      </c>
      <c r="I528" s="441" t="str">
        <f t="shared" si="538"/>
        <v>---</v>
      </c>
      <c r="J528" s="441" t="str">
        <f t="shared" si="539"/>
        <v>---</v>
      </c>
      <c r="K528" s="294" t="str">
        <f t="shared" si="540"/>
        <v>---</v>
      </c>
      <c r="L528" s="294" t="str">
        <f t="shared" si="541"/>
        <v>---</v>
      </c>
      <c r="M528" s="291" t="str">
        <f t="shared" si="518"/>
        <v>---</v>
      </c>
      <c r="N528" s="294" t="str">
        <f t="shared" si="542"/>
        <v>---</v>
      </c>
      <c r="O528" s="441" t="str">
        <f t="shared" si="543"/>
        <v>---</v>
      </c>
      <c r="AE528" s="140" t="str">
        <f t="shared" si="544"/>
        <v>---</v>
      </c>
      <c r="AF528" s="140" t="str">
        <f t="shared" si="545"/>
        <v>---</v>
      </c>
      <c r="AG528" s="140">
        <f t="shared" si="519"/>
        <v>999.99</v>
      </c>
      <c r="AH528" s="263">
        <f t="shared" si="546"/>
        <v>0</v>
      </c>
      <c r="AI528" s="140" t="str">
        <f>WORKSHEET_CONSTR!G467</f>
        <v>---</v>
      </c>
      <c r="AJ528" s="140" t="str">
        <f>WORKSHEET_CONSTR!F467</f>
        <v>---</v>
      </c>
      <c r="AK528" s="140">
        <f t="shared" si="520"/>
        <v>999.99</v>
      </c>
      <c r="AL528" s="263">
        <f t="shared" si="547"/>
        <v>0</v>
      </c>
      <c r="AM528" s="267" t="str">
        <f t="shared" si="548"/>
        <v>---</v>
      </c>
      <c r="AN528" s="140" t="str">
        <f t="shared" si="549"/>
        <v>---</v>
      </c>
      <c r="AO528" s="140">
        <f t="shared" si="521"/>
        <v>999.99</v>
      </c>
      <c r="AP528" s="263">
        <f t="shared" si="550"/>
        <v>1</v>
      </c>
      <c r="AQ528" s="140" t="str">
        <f>WORKSHEET_CONSTR!Q214</f>
        <v>---</v>
      </c>
      <c r="AR528" s="140" t="str">
        <f>WORKSHEET_CONSTR!E467</f>
        <v>---</v>
      </c>
      <c r="AS528" s="140">
        <f t="shared" si="522"/>
        <v>999.99</v>
      </c>
      <c r="AT528" s="263">
        <f t="shared" si="551"/>
        <v>1</v>
      </c>
      <c r="AU528" s="140" t="str">
        <f t="shared" si="552"/>
        <v>---</v>
      </c>
      <c r="AV528" s="140" t="str">
        <f t="shared" si="553"/>
        <v>---</v>
      </c>
      <c r="AW528" s="140">
        <f t="shared" si="523"/>
        <v>999.99</v>
      </c>
      <c r="AX528" s="263">
        <f t="shared" si="554"/>
        <v>1</v>
      </c>
      <c r="AY528" s="140" t="str">
        <f>WORKSHEET_CONSTR!R214</f>
        <v>---</v>
      </c>
      <c r="AZ528" s="140" t="str">
        <f>WORKSHEET_CONSTR!C467</f>
        <v>---</v>
      </c>
      <c r="BA528" s="140">
        <f t="shared" si="524"/>
        <v>999.99</v>
      </c>
      <c r="BB528" s="263">
        <f t="shared" si="555"/>
        <v>1</v>
      </c>
      <c r="BC528" s="267" t="str">
        <f t="shared" si="556"/>
        <v>---</v>
      </c>
      <c r="BD528" s="140" t="str">
        <f t="shared" si="557"/>
        <v>---</v>
      </c>
      <c r="BE528" s="140">
        <f t="shared" si="558"/>
        <v>999.99</v>
      </c>
      <c r="BF528" s="263">
        <f t="shared" si="559"/>
        <v>0</v>
      </c>
      <c r="BG528" s="140" t="str">
        <f>WORKSHEET_CONSTR!D525</f>
        <v>---</v>
      </c>
      <c r="BH528" s="140" t="str">
        <f>WORKSHEET_CONSTR!C525</f>
        <v>---</v>
      </c>
      <c r="BI528" s="140">
        <f t="shared" si="560"/>
        <v>999.99</v>
      </c>
      <c r="BJ528" s="263">
        <f t="shared" si="561"/>
        <v>0</v>
      </c>
      <c r="BK528" s="140" t="str">
        <f t="shared" si="562"/>
        <v>---</v>
      </c>
      <c r="BL528" s="140" t="str">
        <f t="shared" si="563"/>
        <v>---</v>
      </c>
      <c r="BM528" s="140">
        <f t="shared" si="525"/>
        <v>999.99</v>
      </c>
      <c r="BN528" s="263">
        <f t="shared" si="564"/>
        <v>1</v>
      </c>
      <c r="BO528" s="140" t="str">
        <f>WORKSHEET_CONSTR!H525</f>
        <v>---</v>
      </c>
      <c r="BP528" s="140" t="str">
        <f>WORKSHEET_CONSTR!F525</f>
        <v>---</v>
      </c>
      <c r="BQ528" s="140">
        <f t="shared" si="526"/>
        <v>999.99</v>
      </c>
      <c r="BR528" s="263">
        <f t="shared" si="565"/>
        <v>1</v>
      </c>
      <c r="BS528" s="267" t="str">
        <f t="shared" si="566"/>
        <v>---</v>
      </c>
      <c r="BT528" s="210" t="str">
        <f t="shared" si="567"/>
        <v>---</v>
      </c>
      <c r="BU528" s="140">
        <f t="shared" si="527"/>
        <v>999.99</v>
      </c>
      <c r="BV528" s="263">
        <f t="shared" si="568"/>
        <v>1</v>
      </c>
      <c r="BW528" s="140" t="str">
        <f>WORKSHEET_CONSTR!K525</f>
        <v>---</v>
      </c>
      <c r="BX528" s="140" t="str">
        <f>WORKSHEET_CONSTR!J525</f>
        <v>---</v>
      </c>
      <c r="BY528" s="140">
        <f t="shared" si="528"/>
        <v>999.99</v>
      </c>
      <c r="BZ528" s="263">
        <f t="shared" si="569"/>
        <v>1</v>
      </c>
      <c r="CA528" s="271" t="str">
        <f t="shared" si="570"/>
        <v>---</v>
      </c>
      <c r="CB528" s="271" t="str">
        <f t="shared" si="571"/>
        <v>---</v>
      </c>
      <c r="CC528" s="140">
        <f t="shared" si="529"/>
        <v>999.99</v>
      </c>
      <c r="CD528" s="263">
        <f t="shared" si="572"/>
        <v>1</v>
      </c>
      <c r="CE528" s="140" t="str">
        <f>WORKSHEET_CONSTR!N525</f>
        <v>---</v>
      </c>
      <c r="CF528" s="140" t="str">
        <f>WORKSHEET_CONSTR!M525</f>
        <v>---</v>
      </c>
      <c r="CG528" s="140">
        <f t="shared" si="530"/>
        <v>999.99</v>
      </c>
      <c r="CH528" s="263">
        <f t="shared" si="573"/>
        <v>1</v>
      </c>
    </row>
    <row r="529" spans="1:86">
      <c r="A529" s="438" t="str">
        <f t="shared" si="531"/>
        <v>---</v>
      </c>
      <c r="B529" s="294" t="str">
        <f t="shared" si="531"/>
        <v>---</v>
      </c>
      <c r="C529" s="296" t="str">
        <f t="shared" si="532"/>
        <v>---</v>
      </c>
      <c r="D529" s="294" t="str">
        <f t="shared" si="533"/>
        <v>---</v>
      </c>
      <c r="E529" s="294" t="str">
        <f t="shared" si="534"/>
        <v>---</v>
      </c>
      <c r="F529" s="294" t="str">
        <f t="shared" si="535"/>
        <v>---</v>
      </c>
      <c r="G529" s="294" t="str">
        <f t="shared" si="536"/>
        <v>---</v>
      </c>
      <c r="H529" s="291" t="str">
        <f t="shared" si="537"/>
        <v>---</v>
      </c>
      <c r="I529" s="441" t="str">
        <f t="shared" si="538"/>
        <v>---</v>
      </c>
      <c r="J529" s="441" t="str">
        <f t="shared" si="539"/>
        <v>---</v>
      </c>
      <c r="K529" s="294" t="str">
        <f t="shared" si="540"/>
        <v>---</v>
      </c>
      <c r="L529" s="294" t="str">
        <f t="shared" si="541"/>
        <v>---</v>
      </c>
      <c r="M529" s="291" t="str">
        <f t="shared" si="518"/>
        <v>---</v>
      </c>
      <c r="N529" s="294" t="str">
        <f t="shared" si="542"/>
        <v>---</v>
      </c>
      <c r="O529" s="441" t="str">
        <f t="shared" si="543"/>
        <v>---</v>
      </c>
      <c r="AE529" s="140" t="str">
        <f t="shared" si="544"/>
        <v>---</v>
      </c>
      <c r="AF529" s="140" t="str">
        <f t="shared" si="545"/>
        <v>---</v>
      </c>
      <c r="AG529" s="140">
        <f t="shared" si="519"/>
        <v>999.99</v>
      </c>
      <c r="AH529" s="263">
        <f t="shared" si="546"/>
        <v>0</v>
      </c>
      <c r="AI529" s="140" t="str">
        <f>WORKSHEET_CONSTR!G468</f>
        <v>---</v>
      </c>
      <c r="AJ529" s="140" t="str">
        <f>WORKSHEET_CONSTR!F468</f>
        <v>---</v>
      </c>
      <c r="AK529" s="140">
        <f t="shared" si="520"/>
        <v>999.99</v>
      </c>
      <c r="AL529" s="263">
        <f t="shared" si="547"/>
        <v>0</v>
      </c>
      <c r="AM529" s="267" t="str">
        <f t="shared" si="548"/>
        <v>---</v>
      </c>
      <c r="AN529" s="140" t="str">
        <f t="shared" si="549"/>
        <v>---</v>
      </c>
      <c r="AO529" s="140">
        <f t="shared" si="521"/>
        <v>999.99</v>
      </c>
      <c r="AP529" s="263">
        <f t="shared" si="550"/>
        <v>1</v>
      </c>
      <c r="AQ529" s="140" t="str">
        <f>WORKSHEET_CONSTR!Q215</f>
        <v>---</v>
      </c>
      <c r="AR529" s="140" t="str">
        <f>WORKSHEET_CONSTR!E468</f>
        <v>---</v>
      </c>
      <c r="AS529" s="140">
        <f t="shared" si="522"/>
        <v>999.99</v>
      </c>
      <c r="AT529" s="263">
        <f t="shared" si="551"/>
        <v>1</v>
      </c>
      <c r="AU529" s="140" t="str">
        <f t="shared" si="552"/>
        <v>---</v>
      </c>
      <c r="AV529" s="140" t="str">
        <f t="shared" si="553"/>
        <v>---</v>
      </c>
      <c r="AW529" s="140">
        <f t="shared" si="523"/>
        <v>999.99</v>
      </c>
      <c r="AX529" s="263">
        <f t="shared" si="554"/>
        <v>1</v>
      </c>
      <c r="AY529" s="140" t="str">
        <f>WORKSHEET_CONSTR!R215</f>
        <v>---</v>
      </c>
      <c r="AZ529" s="140" t="str">
        <f>WORKSHEET_CONSTR!C468</f>
        <v>---</v>
      </c>
      <c r="BA529" s="140">
        <f t="shared" si="524"/>
        <v>999.99</v>
      </c>
      <c r="BB529" s="263">
        <f t="shared" si="555"/>
        <v>1</v>
      </c>
      <c r="BC529" s="267" t="str">
        <f t="shared" si="556"/>
        <v>---</v>
      </c>
      <c r="BD529" s="140" t="str">
        <f t="shared" si="557"/>
        <v>---</v>
      </c>
      <c r="BE529" s="140">
        <f t="shared" si="558"/>
        <v>999.99</v>
      </c>
      <c r="BF529" s="263">
        <f t="shared" si="559"/>
        <v>0</v>
      </c>
      <c r="BG529" s="140" t="str">
        <f>WORKSHEET_CONSTR!D526</f>
        <v>---</v>
      </c>
      <c r="BH529" s="140" t="str">
        <f>WORKSHEET_CONSTR!C526</f>
        <v>---</v>
      </c>
      <c r="BI529" s="140">
        <f t="shared" si="560"/>
        <v>999.99</v>
      </c>
      <c r="BJ529" s="263">
        <f t="shared" si="561"/>
        <v>0</v>
      </c>
      <c r="BK529" s="140" t="str">
        <f t="shared" si="562"/>
        <v>---</v>
      </c>
      <c r="BL529" s="140" t="str">
        <f t="shared" si="563"/>
        <v>---</v>
      </c>
      <c r="BM529" s="140">
        <f t="shared" si="525"/>
        <v>999.99</v>
      </c>
      <c r="BN529" s="263">
        <f t="shared" si="564"/>
        <v>1</v>
      </c>
      <c r="BO529" s="140" t="str">
        <f>WORKSHEET_CONSTR!H526</f>
        <v>---</v>
      </c>
      <c r="BP529" s="140" t="str">
        <f>WORKSHEET_CONSTR!F526</f>
        <v>---</v>
      </c>
      <c r="BQ529" s="140">
        <f t="shared" si="526"/>
        <v>999.99</v>
      </c>
      <c r="BR529" s="263">
        <f t="shared" si="565"/>
        <v>1</v>
      </c>
      <c r="BS529" s="267" t="str">
        <f t="shared" si="566"/>
        <v>---</v>
      </c>
      <c r="BT529" s="210" t="str">
        <f t="shared" si="567"/>
        <v>---</v>
      </c>
      <c r="BU529" s="140">
        <f t="shared" si="527"/>
        <v>999.99</v>
      </c>
      <c r="BV529" s="263">
        <f t="shared" si="568"/>
        <v>1</v>
      </c>
      <c r="BW529" s="140" t="str">
        <f>WORKSHEET_CONSTR!K526</f>
        <v>---</v>
      </c>
      <c r="BX529" s="140" t="str">
        <f>WORKSHEET_CONSTR!J526</f>
        <v>---</v>
      </c>
      <c r="BY529" s="140">
        <f t="shared" si="528"/>
        <v>999.99</v>
      </c>
      <c r="BZ529" s="263">
        <f t="shared" si="569"/>
        <v>1</v>
      </c>
      <c r="CA529" s="271" t="str">
        <f t="shared" si="570"/>
        <v>---</v>
      </c>
      <c r="CB529" s="271" t="str">
        <f t="shared" si="571"/>
        <v>---</v>
      </c>
      <c r="CC529" s="140">
        <f t="shared" si="529"/>
        <v>999.99</v>
      </c>
      <c r="CD529" s="263">
        <f t="shared" si="572"/>
        <v>1</v>
      </c>
      <c r="CE529" s="140" t="str">
        <f>WORKSHEET_CONSTR!N526</f>
        <v>---</v>
      </c>
      <c r="CF529" s="140" t="str">
        <f>WORKSHEET_CONSTR!M526</f>
        <v>---</v>
      </c>
      <c r="CG529" s="140">
        <f t="shared" si="530"/>
        <v>999.99</v>
      </c>
      <c r="CH529" s="263">
        <f t="shared" si="573"/>
        <v>1</v>
      </c>
    </row>
    <row r="530" spans="1:86">
      <c r="A530" s="438" t="str">
        <f t="shared" si="531"/>
        <v>---</v>
      </c>
      <c r="B530" s="294" t="str">
        <f t="shared" si="531"/>
        <v>---</v>
      </c>
      <c r="C530" s="296" t="str">
        <f t="shared" si="532"/>
        <v>---</v>
      </c>
      <c r="D530" s="294" t="str">
        <f t="shared" si="533"/>
        <v>---</v>
      </c>
      <c r="E530" s="294" t="str">
        <f t="shared" si="534"/>
        <v>---</v>
      </c>
      <c r="F530" s="294" t="str">
        <f t="shared" si="535"/>
        <v>---</v>
      </c>
      <c r="G530" s="294" t="str">
        <f t="shared" si="536"/>
        <v>---</v>
      </c>
      <c r="H530" s="291" t="str">
        <f t="shared" si="537"/>
        <v>---</v>
      </c>
      <c r="I530" s="441" t="str">
        <f t="shared" si="538"/>
        <v>---</v>
      </c>
      <c r="J530" s="441" t="str">
        <f t="shared" si="539"/>
        <v>---</v>
      </c>
      <c r="K530" s="294" t="str">
        <f t="shared" si="540"/>
        <v>---</v>
      </c>
      <c r="L530" s="294" t="str">
        <f t="shared" si="541"/>
        <v>---</v>
      </c>
      <c r="M530" s="291" t="str">
        <f t="shared" si="518"/>
        <v>---</v>
      </c>
      <c r="N530" s="294" t="str">
        <f t="shared" si="542"/>
        <v>---</v>
      </c>
      <c r="O530" s="441" t="str">
        <f t="shared" si="543"/>
        <v>---</v>
      </c>
      <c r="AE530" s="140" t="str">
        <f t="shared" si="544"/>
        <v>---</v>
      </c>
      <c r="AF530" s="140" t="str">
        <f t="shared" si="545"/>
        <v>---</v>
      </c>
      <c r="AG530" s="140">
        <f t="shared" si="519"/>
        <v>999.99</v>
      </c>
      <c r="AH530" s="263">
        <f t="shared" si="546"/>
        <v>0</v>
      </c>
      <c r="AI530" s="140" t="str">
        <f>WORKSHEET_CONSTR!G469</f>
        <v>---</v>
      </c>
      <c r="AJ530" s="140" t="str">
        <f>WORKSHEET_CONSTR!F469</f>
        <v>---</v>
      </c>
      <c r="AK530" s="140">
        <f t="shared" si="520"/>
        <v>999.99</v>
      </c>
      <c r="AL530" s="263">
        <f t="shared" si="547"/>
        <v>0</v>
      </c>
      <c r="AM530" s="267" t="str">
        <f t="shared" si="548"/>
        <v>---</v>
      </c>
      <c r="AN530" s="140" t="str">
        <f t="shared" si="549"/>
        <v>---</v>
      </c>
      <c r="AO530" s="140">
        <f t="shared" si="521"/>
        <v>999.99</v>
      </c>
      <c r="AP530" s="263">
        <f t="shared" si="550"/>
        <v>1</v>
      </c>
      <c r="AQ530" s="140" t="str">
        <f>WORKSHEET_CONSTR!Q216</f>
        <v>---</v>
      </c>
      <c r="AR530" s="140" t="str">
        <f>WORKSHEET_CONSTR!E469</f>
        <v>---</v>
      </c>
      <c r="AS530" s="140">
        <f t="shared" si="522"/>
        <v>999.99</v>
      </c>
      <c r="AT530" s="263">
        <f t="shared" si="551"/>
        <v>1</v>
      </c>
      <c r="AU530" s="140" t="str">
        <f t="shared" si="552"/>
        <v>---</v>
      </c>
      <c r="AV530" s="140" t="str">
        <f t="shared" si="553"/>
        <v>---</v>
      </c>
      <c r="AW530" s="140">
        <f t="shared" si="523"/>
        <v>999.99</v>
      </c>
      <c r="AX530" s="263">
        <f t="shared" si="554"/>
        <v>1</v>
      </c>
      <c r="AY530" s="140" t="str">
        <f>WORKSHEET_CONSTR!R216</f>
        <v>---</v>
      </c>
      <c r="AZ530" s="140" t="str">
        <f>WORKSHEET_CONSTR!C469</f>
        <v>---</v>
      </c>
      <c r="BA530" s="140">
        <f t="shared" si="524"/>
        <v>999.99</v>
      </c>
      <c r="BB530" s="263">
        <f t="shared" si="555"/>
        <v>1</v>
      </c>
      <c r="BC530" s="267" t="str">
        <f t="shared" si="556"/>
        <v>---</v>
      </c>
      <c r="BD530" s="140" t="str">
        <f t="shared" si="557"/>
        <v>---</v>
      </c>
      <c r="BE530" s="140">
        <f t="shared" si="558"/>
        <v>999.99</v>
      </c>
      <c r="BF530" s="263">
        <f t="shared" si="559"/>
        <v>0</v>
      </c>
      <c r="BG530" s="140" t="str">
        <f>WORKSHEET_CONSTR!D527</f>
        <v>---</v>
      </c>
      <c r="BH530" s="140" t="str">
        <f>WORKSHEET_CONSTR!C527</f>
        <v>---</v>
      </c>
      <c r="BI530" s="140">
        <f t="shared" si="560"/>
        <v>999.99</v>
      </c>
      <c r="BJ530" s="263">
        <f t="shared" si="561"/>
        <v>0</v>
      </c>
      <c r="BK530" s="140" t="str">
        <f t="shared" si="562"/>
        <v>---</v>
      </c>
      <c r="BL530" s="140" t="str">
        <f t="shared" si="563"/>
        <v>---</v>
      </c>
      <c r="BM530" s="140">
        <f t="shared" si="525"/>
        <v>999.99</v>
      </c>
      <c r="BN530" s="263">
        <f t="shared" si="564"/>
        <v>1</v>
      </c>
      <c r="BO530" s="140" t="str">
        <f>WORKSHEET_CONSTR!H527</f>
        <v>---</v>
      </c>
      <c r="BP530" s="140" t="str">
        <f>WORKSHEET_CONSTR!F527</f>
        <v>---</v>
      </c>
      <c r="BQ530" s="140">
        <f t="shared" si="526"/>
        <v>999.99</v>
      </c>
      <c r="BR530" s="263">
        <f t="shared" si="565"/>
        <v>1</v>
      </c>
      <c r="BS530" s="267" t="str">
        <f t="shared" si="566"/>
        <v>---</v>
      </c>
      <c r="BT530" s="210" t="str">
        <f t="shared" si="567"/>
        <v>---</v>
      </c>
      <c r="BU530" s="140">
        <f t="shared" si="527"/>
        <v>999.99</v>
      </c>
      <c r="BV530" s="263">
        <f t="shared" si="568"/>
        <v>1</v>
      </c>
      <c r="BW530" s="140" t="str">
        <f>WORKSHEET_CONSTR!K527</f>
        <v>---</v>
      </c>
      <c r="BX530" s="140" t="str">
        <f>WORKSHEET_CONSTR!J527</f>
        <v>---</v>
      </c>
      <c r="BY530" s="140">
        <f t="shared" si="528"/>
        <v>999.99</v>
      </c>
      <c r="BZ530" s="263">
        <f t="shared" si="569"/>
        <v>1</v>
      </c>
      <c r="CA530" s="271" t="str">
        <f t="shared" si="570"/>
        <v>---</v>
      </c>
      <c r="CB530" s="271" t="str">
        <f t="shared" si="571"/>
        <v>---</v>
      </c>
      <c r="CC530" s="140">
        <f t="shared" si="529"/>
        <v>999.99</v>
      </c>
      <c r="CD530" s="263">
        <f t="shared" si="572"/>
        <v>1</v>
      </c>
      <c r="CE530" s="140" t="str">
        <f>WORKSHEET_CONSTR!N527</f>
        <v>---</v>
      </c>
      <c r="CF530" s="140" t="str">
        <f>WORKSHEET_CONSTR!M527</f>
        <v>---</v>
      </c>
      <c r="CG530" s="140">
        <f t="shared" si="530"/>
        <v>999.99</v>
      </c>
      <c r="CH530" s="263">
        <f t="shared" si="573"/>
        <v>1</v>
      </c>
    </row>
    <row r="531" spans="1:86">
      <c r="A531" s="438" t="str">
        <f t="shared" si="531"/>
        <v>---</v>
      </c>
      <c r="B531" s="294" t="str">
        <f t="shared" si="531"/>
        <v>---</v>
      </c>
      <c r="C531" s="296" t="str">
        <f t="shared" si="532"/>
        <v>---</v>
      </c>
      <c r="D531" s="294" t="str">
        <f t="shared" si="533"/>
        <v>---</v>
      </c>
      <c r="E531" s="294" t="str">
        <f t="shared" si="534"/>
        <v>---</v>
      </c>
      <c r="F531" s="294" t="str">
        <f t="shared" si="535"/>
        <v>---</v>
      </c>
      <c r="G531" s="294" t="str">
        <f t="shared" si="536"/>
        <v>---</v>
      </c>
      <c r="H531" s="291" t="str">
        <f t="shared" si="537"/>
        <v>---</v>
      </c>
      <c r="I531" s="441" t="str">
        <f t="shared" si="538"/>
        <v>---</v>
      </c>
      <c r="J531" s="441" t="str">
        <f t="shared" si="539"/>
        <v>---</v>
      </c>
      <c r="K531" s="294" t="str">
        <f t="shared" si="540"/>
        <v>---</v>
      </c>
      <c r="L531" s="294" t="str">
        <f t="shared" si="541"/>
        <v>---</v>
      </c>
      <c r="M531" s="291" t="str">
        <f t="shared" si="518"/>
        <v>---</v>
      </c>
      <c r="N531" s="294" t="str">
        <f t="shared" si="542"/>
        <v>---</v>
      </c>
      <c r="O531" s="441" t="str">
        <f t="shared" si="543"/>
        <v>---</v>
      </c>
      <c r="AE531" s="140" t="str">
        <f t="shared" si="544"/>
        <v>---</v>
      </c>
      <c r="AF531" s="140" t="str">
        <f t="shared" si="545"/>
        <v>---</v>
      </c>
      <c r="AG531" s="140">
        <f t="shared" si="519"/>
        <v>999.99</v>
      </c>
      <c r="AH531" s="263">
        <f t="shared" si="546"/>
        <v>0</v>
      </c>
      <c r="AI531" s="140" t="str">
        <f>WORKSHEET_CONSTR!G470</f>
        <v>---</v>
      </c>
      <c r="AJ531" s="140" t="str">
        <f>WORKSHEET_CONSTR!F470</f>
        <v>---</v>
      </c>
      <c r="AK531" s="140">
        <f t="shared" si="520"/>
        <v>999.99</v>
      </c>
      <c r="AL531" s="263">
        <f t="shared" si="547"/>
        <v>0</v>
      </c>
      <c r="AM531" s="267" t="str">
        <f t="shared" si="548"/>
        <v>---</v>
      </c>
      <c r="AN531" s="140" t="str">
        <f t="shared" si="549"/>
        <v>---</v>
      </c>
      <c r="AO531" s="140">
        <f t="shared" si="521"/>
        <v>999.99</v>
      </c>
      <c r="AP531" s="263">
        <f t="shared" si="550"/>
        <v>1</v>
      </c>
      <c r="AQ531" s="140" t="str">
        <f>WORKSHEET_CONSTR!Q217</f>
        <v>---</v>
      </c>
      <c r="AR531" s="140" t="str">
        <f>WORKSHEET_CONSTR!E470</f>
        <v>---</v>
      </c>
      <c r="AS531" s="140">
        <f t="shared" si="522"/>
        <v>999.99</v>
      </c>
      <c r="AT531" s="263">
        <f t="shared" si="551"/>
        <v>1</v>
      </c>
      <c r="AU531" s="140" t="str">
        <f t="shared" si="552"/>
        <v>---</v>
      </c>
      <c r="AV531" s="140" t="str">
        <f t="shared" si="553"/>
        <v>---</v>
      </c>
      <c r="AW531" s="140">
        <f t="shared" si="523"/>
        <v>999.99</v>
      </c>
      <c r="AX531" s="263">
        <f t="shared" si="554"/>
        <v>1</v>
      </c>
      <c r="AY531" s="140" t="str">
        <f>WORKSHEET_CONSTR!R217</f>
        <v>---</v>
      </c>
      <c r="AZ531" s="140" t="str">
        <f>WORKSHEET_CONSTR!C470</f>
        <v>---</v>
      </c>
      <c r="BA531" s="140">
        <f t="shared" si="524"/>
        <v>999.99</v>
      </c>
      <c r="BB531" s="263">
        <f t="shared" si="555"/>
        <v>1</v>
      </c>
      <c r="BC531" s="267" t="str">
        <f t="shared" si="556"/>
        <v>---</v>
      </c>
      <c r="BD531" s="140" t="str">
        <f t="shared" si="557"/>
        <v>---</v>
      </c>
      <c r="BE531" s="140">
        <f t="shared" si="558"/>
        <v>999.99</v>
      </c>
      <c r="BF531" s="263">
        <f t="shared" si="559"/>
        <v>0</v>
      </c>
      <c r="BG531" s="140" t="str">
        <f>WORKSHEET_CONSTR!D528</f>
        <v>---</v>
      </c>
      <c r="BH531" s="140" t="str">
        <f>WORKSHEET_CONSTR!C528</f>
        <v>---</v>
      </c>
      <c r="BI531" s="140">
        <f t="shared" si="560"/>
        <v>999.99</v>
      </c>
      <c r="BJ531" s="263">
        <f t="shared" si="561"/>
        <v>0</v>
      </c>
      <c r="BK531" s="140" t="str">
        <f t="shared" si="562"/>
        <v>---</v>
      </c>
      <c r="BL531" s="140" t="str">
        <f t="shared" si="563"/>
        <v>---</v>
      </c>
      <c r="BM531" s="140">
        <f t="shared" si="525"/>
        <v>999.99</v>
      </c>
      <c r="BN531" s="263">
        <f t="shared" si="564"/>
        <v>1</v>
      </c>
      <c r="BO531" s="140" t="str">
        <f>WORKSHEET_CONSTR!H528</f>
        <v>---</v>
      </c>
      <c r="BP531" s="140" t="str">
        <f>WORKSHEET_CONSTR!F528</f>
        <v>---</v>
      </c>
      <c r="BQ531" s="140">
        <f t="shared" si="526"/>
        <v>999.99</v>
      </c>
      <c r="BR531" s="263">
        <f t="shared" si="565"/>
        <v>1</v>
      </c>
      <c r="BS531" s="267" t="str">
        <f t="shared" si="566"/>
        <v>---</v>
      </c>
      <c r="BT531" s="210" t="str">
        <f t="shared" si="567"/>
        <v>---</v>
      </c>
      <c r="BU531" s="140">
        <f t="shared" si="527"/>
        <v>999.99</v>
      </c>
      <c r="BV531" s="263">
        <f t="shared" si="568"/>
        <v>1</v>
      </c>
      <c r="BW531" s="140" t="str">
        <f>WORKSHEET_CONSTR!K528</f>
        <v>---</v>
      </c>
      <c r="BX531" s="140" t="str">
        <f>WORKSHEET_CONSTR!J528</f>
        <v>---</v>
      </c>
      <c r="BY531" s="140">
        <f t="shared" si="528"/>
        <v>999.99</v>
      </c>
      <c r="BZ531" s="263">
        <f t="shared" si="569"/>
        <v>1</v>
      </c>
      <c r="CA531" s="271" t="str">
        <f t="shared" si="570"/>
        <v>---</v>
      </c>
      <c r="CB531" s="271" t="str">
        <f t="shared" si="571"/>
        <v>---</v>
      </c>
      <c r="CC531" s="140">
        <f t="shared" si="529"/>
        <v>999.99</v>
      </c>
      <c r="CD531" s="263">
        <f t="shared" si="572"/>
        <v>1</v>
      </c>
      <c r="CE531" s="140" t="str">
        <f>WORKSHEET_CONSTR!N528</f>
        <v>---</v>
      </c>
      <c r="CF531" s="140" t="str">
        <f>WORKSHEET_CONSTR!M528</f>
        <v>---</v>
      </c>
      <c r="CG531" s="140">
        <f t="shared" si="530"/>
        <v>999.99</v>
      </c>
      <c r="CH531" s="263">
        <f t="shared" si="573"/>
        <v>1</v>
      </c>
    </row>
    <row r="532" spans="1:86">
      <c r="A532" s="438" t="str">
        <f t="shared" ref="A532:B541" si="574">A338</f>
        <v>---</v>
      </c>
      <c r="B532" s="294" t="str">
        <f t="shared" si="574"/>
        <v>---</v>
      </c>
      <c r="C532" s="296" t="str">
        <f t="shared" si="532"/>
        <v>---</v>
      </c>
      <c r="D532" s="294" t="str">
        <f t="shared" si="533"/>
        <v>---</v>
      </c>
      <c r="E532" s="294" t="str">
        <f t="shared" si="534"/>
        <v>---</v>
      </c>
      <c r="F532" s="294" t="str">
        <f t="shared" si="535"/>
        <v>---</v>
      </c>
      <c r="G532" s="294" t="str">
        <f t="shared" si="536"/>
        <v>---</v>
      </c>
      <c r="H532" s="291" t="str">
        <f t="shared" si="537"/>
        <v>---</v>
      </c>
      <c r="I532" s="441" t="str">
        <f t="shared" si="538"/>
        <v>---</v>
      </c>
      <c r="J532" s="441" t="str">
        <f t="shared" si="539"/>
        <v>---</v>
      </c>
      <c r="K532" s="294" t="str">
        <f t="shared" si="540"/>
        <v>---</v>
      </c>
      <c r="L532" s="294" t="str">
        <f t="shared" si="541"/>
        <v>---</v>
      </c>
      <c r="M532" s="291" t="str">
        <f t="shared" si="518"/>
        <v>---</v>
      </c>
      <c r="N532" s="294" t="str">
        <f t="shared" si="542"/>
        <v>---</v>
      </c>
      <c r="O532" s="441" t="str">
        <f t="shared" si="543"/>
        <v>---</v>
      </c>
      <c r="AE532" s="140" t="str">
        <f t="shared" si="544"/>
        <v>---</v>
      </c>
      <c r="AF532" s="140" t="str">
        <f t="shared" si="545"/>
        <v>---</v>
      </c>
      <c r="AG532" s="140">
        <f t="shared" si="519"/>
        <v>999.99</v>
      </c>
      <c r="AH532" s="263">
        <f t="shared" si="546"/>
        <v>0</v>
      </c>
      <c r="AI532" s="140" t="str">
        <f>WORKSHEET_CONSTR!G471</f>
        <v>---</v>
      </c>
      <c r="AJ532" s="140" t="str">
        <f>WORKSHEET_CONSTR!F471</f>
        <v>---</v>
      </c>
      <c r="AK532" s="140">
        <f t="shared" si="520"/>
        <v>999.99</v>
      </c>
      <c r="AL532" s="263">
        <f t="shared" si="547"/>
        <v>0</v>
      </c>
      <c r="AM532" s="267" t="str">
        <f t="shared" si="548"/>
        <v>---</v>
      </c>
      <c r="AN532" s="140" t="str">
        <f t="shared" si="549"/>
        <v>---</v>
      </c>
      <c r="AO532" s="140">
        <f t="shared" si="521"/>
        <v>999.99</v>
      </c>
      <c r="AP532" s="263">
        <f t="shared" si="550"/>
        <v>1</v>
      </c>
      <c r="AQ532" s="140" t="str">
        <f>WORKSHEET_CONSTR!Q218</f>
        <v>---</v>
      </c>
      <c r="AR532" s="140" t="str">
        <f>WORKSHEET_CONSTR!E471</f>
        <v>---</v>
      </c>
      <c r="AS532" s="140">
        <f t="shared" si="522"/>
        <v>999.99</v>
      </c>
      <c r="AT532" s="263">
        <f t="shared" si="551"/>
        <v>1</v>
      </c>
      <c r="AU532" s="140" t="str">
        <f t="shared" si="552"/>
        <v>---</v>
      </c>
      <c r="AV532" s="140" t="str">
        <f t="shared" si="553"/>
        <v>---</v>
      </c>
      <c r="AW532" s="140">
        <f t="shared" si="523"/>
        <v>999.99</v>
      </c>
      <c r="AX532" s="263">
        <f t="shared" si="554"/>
        <v>1</v>
      </c>
      <c r="AY532" s="140" t="str">
        <f>WORKSHEET_CONSTR!R218</f>
        <v>---</v>
      </c>
      <c r="AZ532" s="140" t="str">
        <f>WORKSHEET_CONSTR!C471</f>
        <v>---</v>
      </c>
      <c r="BA532" s="140">
        <f t="shared" si="524"/>
        <v>999.99</v>
      </c>
      <c r="BB532" s="263">
        <f t="shared" si="555"/>
        <v>1</v>
      </c>
      <c r="BC532" s="267" t="str">
        <f t="shared" si="556"/>
        <v>---</v>
      </c>
      <c r="BD532" s="140" t="str">
        <f t="shared" si="557"/>
        <v>---</v>
      </c>
      <c r="BE532" s="140">
        <f t="shared" si="558"/>
        <v>999.99</v>
      </c>
      <c r="BF532" s="263">
        <f t="shared" si="559"/>
        <v>0</v>
      </c>
      <c r="BG532" s="140" t="str">
        <f>WORKSHEET_CONSTR!D529</f>
        <v>---</v>
      </c>
      <c r="BH532" s="140" t="str">
        <f>WORKSHEET_CONSTR!C529</f>
        <v>---</v>
      </c>
      <c r="BI532" s="140">
        <f t="shared" si="560"/>
        <v>999.99</v>
      </c>
      <c r="BJ532" s="263">
        <f t="shared" si="561"/>
        <v>0</v>
      </c>
      <c r="BK532" s="140" t="str">
        <f t="shared" si="562"/>
        <v>---</v>
      </c>
      <c r="BL532" s="140" t="str">
        <f t="shared" si="563"/>
        <v>---</v>
      </c>
      <c r="BM532" s="140">
        <f t="shared" si="525"/>
        <v>999.99</v>
      </c>
      <c r="BN532" s="263">
        <f t="shared" si="564"/>
        <v>1</v>
      </c>
      <c r="BO532" s="140" t="str">
        <f>WORKSHEET_CONSTR!H529</f>
        <v>---</v>
      </c>
      <c r="BP532" s="140" t="str">
        <f>WORKSHEET_CONSTR!F529</f>
        <v>---</v>
      </c>
      <c r="BQ532" s="140">
        <f t="shared" si="526"/>
        <v>999.99</v>
      </c>
      <c r="BR532" s="263">
        <f t="shared" si="565"/>
        <v>1</v>
      </c>
      <c r="BS532" s="267" t="str">
        <f t="shared" si="566"/>
        <v>---</v>
      </c>
      <c r="BT532" s="210" t="str">
        <f t="shared" si="567"/>
        <v>---</v>
      </c>
      <c r="BU532" s="140">
        <f t="shared" si="527"/>
        <v>999.99</v>
      </c>
      <c r="BV532" s="263">
        <f t="shared" si="568"/>
        <v>1</v>
      </c>
      <c r="BW532" s="140" t="str">
        <f>WORKSHEET_CONSTR!K529</f>
        <v>---</v>
      </c>
      <c r="BX532" s="140" t="str">
        <f>WORKSHEET_CONSTR!J529</f>
        <v>---</v>
      </c>
      <c r="BY532" s="140">
        <f t="shared" si="528"/>
        <v>999.99</v>
      </c>
      <c r="BZ532" s="263">
        <f t="shared" si="569"/>
        <v>1</v>
      </c>
      <c r="CA532" s="271" t="str">
        <f t="shared" si="570"/>
        <v>---</v>
      </c>
      <c r="CB532" s="271" t="str">
        <f t="shared" si="571"/>
        <v>---</v>
      </c>
      <c r="CC532" s="140">
        <f t="shared" si="529"/>
        <v>999.99</v>
      </c>
      <c r="CD532" s="263">
        <f t="shared" si="572"/>
        <v>1</v>
      </c>
      <c r="CE532" s="140" t="str">
        <f>WORKSHEET_CONSTR!N529</f>
        <v>---</v>
      </c>
      <c r="CF532" s="140" t="str">
        <f>WORKSHEET_CONSTR!M529</f>
        <v>---</v>
      </c>
      <c r="CG532" s="140">
        <f t="shared" si="530"/>
        <v>999.99</v>
      </c>
      <c r="CH532" s="263">
        <f t="shared" si="573"/>
        <v>1</v>
      </c>
    </row>
    <row r="533" spans="1:86">
      <c r="A533" s="438" t="str">
        <f t="shared" si="574"/>
        <v>---</v>
      </c>
      <c r="B533" s="294" t="str">
        <f t="shared" si="574"/>
        <v>---</v>
      </c>
      <c r="C533" s="296" t="str">
        <f t="shared" si="532"/>
        <v>---</v>
      </c>
      <c r="D533" s="294" t="str">
        <f t="shared" si="533"/>
        <v>---</v>
      </c>
      <c r="E533" s="294" t="str">
        <f t="shared" si="534"/>
        <v>---</v>
      </c>
      <c r="F533" s="294" t="str">
        <f t="shared" si="535"/>
        <v>---</v>
      </c>
      <c r="G533" s="294" t="str">
        <f t="shared" si="536"/>
        <v>---</v>
      </c>
      <c r="H533" s="291" t="str">
        <f t="shared" si="537"/>
        <v>---</v>
      </c>
      <c r="I533" s="441" t="str">
        <f t="shared" si="538"/>
        <v>---</v>
      </c>
      <c r="J533" s="441" t="str">
        <f t="shared" si="539"/>
        <v>---</v>
      </c>
      <c r="K533" s="294" t="str">
        <f t="shared" si="540"/>
        <v>---</v>
      </c>
      <c r="L533" s="294" t="str">
        <f t="shared" si="541"/>
        <v>---</v>
      </c>
      <c r="M533" s="291" t="str">
        <f t="shared" si="518"/>
        <v>---</v>
      </c>
      <c r="N533" s="294" t="str">
        <f t="shared" si="542"/>
        <v>---</v>
      </c>
      <c r="O533" s="441" t="str">
        <f t="shared" si="543"/>
        <v>---</v>
      </c>
      <c r="AE533" s="140" t="str">
        <f t="shared" si="544"/>
        <v>---</v>
      </c>
      <c r="AF533" s="140" t="str">
        <f t="shared" si="545"/>
        <v>---</v>
      </c>
      <c r="AG533" s="140">
        <f t="shared" si="519"/>
        <v>999.99</v>
      </c>
      <c r="AH533" s="263">
        <f t="shared" si="546"/>
        <v>0</v>
      </c>
      <c r="AI533" s="140" t="str">
        <f>WORKSHEET_CONSTR!G472</f>
        <v>---</v>
      </c>
      <c r="AJ533" s="140" t="str">
        <f>WORKSHEET_CONSTR!F472</f>
        <v>---</v>
      </c>
      <c r="AK533" s="140">
        <f t="shared" si="520"/>
        <v>999.99</v>
      </c>
      <c r="AL533" s="263">
        <f t="shared" si="547"/>
        <v>0</v>
      </c>
      <c r="AM533" s="267" t="str">
        <f t="shared" si="548"/>
        <v>---</v>
      </c>
      <c r="AN533" s="140" t="str">
        <f t="shared" si="549"/>
        <v>---</v>
      </c>
      <c r="AO533" s="140">
        <f t="shared" si="521"/>
        <v>999.99</v>
      </c>
      <c r="AP533" s="263">
        <f t="shared" si="550"/>
        <v>1</v>
      </c>
      <c r="AQ533" s="140" t="str">
        <f>WORKSHEET_CONSTR!Q219</f>
        <v>---</v>
      </c>
      <c r="AR533" s="140" t="str">
        <f>WORKSHEET_CONSTR!E472</f>
        <v>---</v>
      </c>
      <c r="AS533" s="140">
        <f t="shared" si="522"/>
        <v>999.99</v>
      </c>
      <c r="AT533" s="263">
        <f t="shared" si="551"/>
        <v>1</v>
      </c>
      <c r="AU533" s="140" t="str">
        <f t="shared" si="552"/>
        <v>---</v>
      </c>
      <c r="AV533" s="140" t="str">
        <f t="shared" si="553"/>
        <v>---</v>
      </c>
      <c r="AW533" s="140">
        <f t="shared" si="523"/>
        <v>999.99</v>
      </c>
      <c r="AX533" s="263">
        <f t="shared" si="554"/>
        <v>1</v>
      </c>
      <c r="AY533" s="140" t="str">
        <f>WORKSHEET_CONSTR!R219</f>
        <v>---</v>
      </c>
      <c r="AZ533" s="140" t="str">
        <f>WORKSHEET_CONSTR!C472</f>
        <v>---</v>
      </c>
      <c r="BA533" s="140">
        <f t="shared" si="524"/>
        <v>999.99</v>
      </c>
      <c r="BB533" s="263">
        <f t="shared" si="555"/>
        <v>1</v>
      </c>
      <c r="BC533" s="267" t="str">
        <f t="shared" si="556"/>
        <v>---</v>
      </c>
      <c r="BD533" s="140" t="str">
        <f t="shared" si="557"/>
        <v>---</v>
      </c>
      <c r="BE533" s="140">
        <f t="shared" si="558"/>
        <v>999.99</v>
      </c>
      <c r="BF533" s="263">
        <f t="shared" si="559"/>
        <v>0</v>
      </c>
      <c r="BG533" s="140" t="str">
        <f>WORKSHEET_CONSTR!D530</f>
        <v>---</v>
      </c>
      <c r="BH533" s="140" t="str">
        <f>WORKSHEET_CONSTR!C530</f>
        <v>---</v>
      </c>
      <c r="BI533" s="140">
        <f t="shared" si="560"/>
        <v>999.99</v>
      </c>
      <c r="BJ533" s="263">
        <f t="shared" si="561"/>
        <v>0</v>
      </c>
      <c r="BK533" s="140" t="str">
        <f t="shared" si="562"/>
        <v>---</v>
      </c>
      <c r="BL533" s="140" t="str">
        <f t="shared" si="563"/>
        <v>---</v>
      </c>
      <c r="BM533" s="140">
        <f t="shared" si="525"/>
        <v>999.99</v>
      </c>
      <c r="BN533" s="263">
        <f t="shared" si="564"/>
        <v>1</v>
      </c>
      <c r="BO533" s="140" t="str">
        <f>WORKSHEET_CONSTR!H530</f>
        <v>---</v>
      </c>
      <c r="BP533" s="140" t="str">
        <f>WORKSHEET_CONSTR!F530</f>
        <v>---</v>
      </c>
      <c r="BQ533" s="140">
        <f t="shared" si="526"/>
        <v>999.99</v>
      </c>
      <c r="BR533" s="263">
        <f t="shared" si="565"/>
        <v>1</v>
      </c>
      <c r="BS533" s="267" t="str">
        <f t="shared" si="566"/>
        <v>---</v>
      </c>
      <c r="BT533" s="210" t="str">
        <f t="shared" si="567"/>
        <v>---</v>
      </c>
      <c r="BU533" s="140">
        <f t="shared" si="527"/>
        <v>999.99</v>
      </c>
      <c r="BV533" s="263">
        <f t="shared" si="568"/>
        <v>1</v>
      </c>
      <c r="BW533" s="140" t="str">
        <f>WORKSHEET_CONSTR!K530</f>
        <v>---</v>
      </c>
      <c r="BX533" s="140" t="str">
        <f>WORKSHEET_CONSTR!J530</f>
        <v>---</v>
      </c>
      <c r="BY533" s="140">
        <f t="shared" si="528"/>
        <v>999.99</v>
      </c>
      <c r="BZ533" s="263">
        <f t="shared" si="569"/>
        <v>1</v>
      </c>
      <c r="CA533" s="271" t="str">
        <f t="shared" si="570"/>
        <v>---</v>
      </c>
      <c r="CB533" s="271" t="str">
        <f t="shared" si="571"/>
        <v>---</v>
      </c>
      <c r="CC533" s="140">
        <f t="shared" si="529"/>
        <v>999.99</v>
      </c>
      <c r="CD533" s="263">
        <f t="shared" si="572"/>
        <v>1</v>
      </c>
      <c r="CE533" s="140" t="str">
        <f>WORKSHEET_CONSTR!N530</f>
        <v>---</v>
      </c>
      <c r="CF533" s="140" t="str">
        <f>WORKSHEET_CONSTR!M530</f>
        <v>---</v>
      </c>
      <c r="CG533" s="140">
        <f t="shared" si="530"/>
        <v>999.99</v>
      </c>
      <c r="CH533" s="263">
        <f t="shared" si="573"/>
        <v>1</v>
      </c>
    </row>
    <row r="534" spans="1:86">
      <c r="A534" s="438" t="str">
        <f t="shared" si="574"/>
        <v>---</v>
      </c>
      <c r="B534" s="294" t="str">
        <f t="shared" si="574"/>
        <v>---</v>
      </c>
      <c r="C534" s="296" t="str">
        <f t="shared" si="532"/>
        <v>---</v>
      </c>
      <c r="D534" s="294" t="str">
        <f t="shared" si="533"/>
        <v>---</v>
      </c>
      <c r="E534" s="294" t="str">
        <f t="shared" si="534"/>
        <v>---</v>
      </c>
      <c r="F534" s="294" t="str">
        <f t="shared" si="535"/>
        <v>---</v>
      </c>
      <c r="G534" s="294" t="str">
        <f t="shared" si="536"/>
        <v>---</v>
      </c>
      <c r="H534" s="291" t="str">
        <f t="shared" si="537"/>
        <v>---</v>
      </c>
      <c r="I534" s="441" t="str">
        <f t="shared" si="538"/>
        <v>---</v>
      </c>
      <c r="J534" s="441" t="str">
        <f t="shared" si="539"/>
        <v>---</v>
      </c>
      <c r="K534" s="294" t="str">
        <f t="shared" si="540"/>
        <v>---</v>
      </c>
      <c r="L534" s="294" t="str">
        <f t="shared" si="541"/>
        <v>---</v>
      </c>
      <c r="M534" s="291" t="str">
        <f t="shared" si="518"/>
        <v>---</v>
      </c>
      <c r="N534" s="294" t="str">
        <f t="shared" si="542"/>
        <v>---</v>
      </c>
      <c r="O534" s="441" t="str">
        <f t="shared" si="543"/>
        <v>---</v>
      </c>
      <c r="AE534" s="140" t="str">
        <f t="shared" si="544"/>
        <v>---</v>
      </c>
      <c r="AF534" s="140" t="str">
        <f t="shared" si="545"/>
        <v>---</v>
      </c>
      <c r="AG534" s="140">
        <f t="shared" si="519"/>
        <v>999.99</v>
      </c>
      <c r="AH534" s="263">
        <f t="shared" si="546"/>
        <v>0</v>
      </c>
      <c r="AI534" s="140" t="str">
        <f>WORKSHEET_CONSTR!G473</f>
        <v>---</v>
      </c>
      <c r="AJ534" s="140" t="str">
        <f>WORKSHEET_CONSTR!F473</f>
        <v>---</v>
      </c>
      <c r="AK534" s="140">
        <f t="shared" si="520"/>
        <v>999.99</v>
      </c>
      <c r="AL534" s="263">
        <f t="shared" si="547"/>
        <v>0</v>
      </c>
      <c r="AM534" s="267" t="str">
        <f t="shared" si="548"/>
        <v>---</v>
      </c>
      <c r="AN534" s="140" t="str">
        <f t="shared" si="549"/>
        <v>---</v>
      </c>
      <c r="AO534" s="140">
        <f t="shared" si="521"/>
        <v>999.99</v>
      </c>
      <c r="AP534" s="263">
        <f t="shared" si="550"/>
        <v>1</v>
      </c>
      <c r="AQ534" s="140" t="str">
        <f>WORKSHEET_CONSTR!Q220</f>
        <v>---</v>
      </c>
      <c r="AR534" s="140" t="str">
        <f>WORKSHEET_CONSTR!E473</f>
        <v>---</v>
      </c>
      <c r="AS534" s="140">
        <f t="shared" si="522"/>
        <v>999.99</v>
      </c>
      <c r="AT534" s="263">
        <f t="shared" si="551"/>
        <v>1</v>
      </c>
      <c r="AU534" s="140" t="str">
        <f t="shared" si="552"/>
        <v>---</v>
      </c>
      <c r="AV534" s="140" t="str">
        <f t="shared" si="553"/>
        <v>---</v>
      </c>
      <c r="AW534" s="140">
        <f t="shared" si="523"/>
        <v>999.99</v>
      </c>
      <c r="AX534" s="263">
        <f t="shared" si="554"/>
        <v>1</v>
      </c>
      <c r="AY534" s="140" t="str">
        <f>WORKSHEET_CONSTR!R220</f>
        <v>---</v>
      </c>
      <c r="AZ534" s="140" t="str">
        <f>WORKSHEET_CONSTR!C473</f>
        <v>---</v>
      </c>
      <c r="BA534" s="140">
        <f t="shared" si="524"/>
        <v>999.99</v>
      </c>
      <c r="BB534" s="263">
        <f t="shared" si="555"/>
        <v>1</v>
      </c>
      <c r="BC534" s="267" t="str">
        <f t="shared" si="556"/>
        <v>---</v>
      </c>
      <c r="BD534" s="140" t="str">
        <f t="shared" si="557"/>
        <v>---</v>
      </c>
      <c r="BE534" s="140">
        <f t="shared" si="558"/>
        <v>999.99</v>
      </c>
      <c r="BF534" s="263">
        <f t="shared" si="559"/>
        <v>0</v>
      </c>
      <c r="BG534" s="140" t="str">
        <f>WORKSHEET_CONSTR!D531</f>
        <v>---</v>
      </c>
      <c r="BH534" s="140" t="str">
        <f>WORKSHEET_CONSTR!C531</f>
        <v>---</v>
      </c>
      <c r="BI534" s="140">
        <f t="shared" si="560"/>
        <v>999.99</v>
      </c>
      <c r="BJ534" s="263">
        <f t="shared" si="561"/>
        <v>0</v>
      </c>
      <c r="BK534" s="140" t="str">
        <f t="shared" si="562"/>
        <v>---</v>
      </c>
      <c r="BL534" s="140" t="str">
        <f t="shared" si="563"/>
        <v>---</v>
      </c>
      <c r="BM534" s="140">
        <f t="shared" si="525"/>
        <v>999.99</v>
      </c>
      <c r="BN534" s="263">
        <f t="shared" si="564"/>
        <v>1</v>
      </c>
      <c r="BO534" s="140" t="str">
        <f>WORKSHEET_CONSTR!H531</f>
        <v>---</v>
      </c>
      <c r="BP534" s="140" t="str">
        <f>WORKSHEET_CONSTR!F531</f>
        <v>---</v>
      </c>
      <c r="BQ534" s="140">
        <f t="shared" si="526"/>
        <v>999.99</v>
      </c>
      <c r="BR534" s="263">
        <f t="shared" si="565"/>
        <v>1</v>
      </c>
      <c r="BS534" s="267" t="str">
        <f t="shared" si="566"/>
        <v>---</v>
      </c>
      <c r="BT534" s="210" t="str">
        <f t="shared" si="567"/>
        <v>---</v>
      </c>
      <c r="BU534" s="140">
        <f t="shared" si="527"/>
        <v>999.99</v>
      </c>
      <c r="BV534" s="263">
        <f t="shared" si="568"/>
        <v>1</v>
      </c>
      <c r="BW534" s="140" t="str">
        <f>WORKSHEET_CONSTR!K531</f>
        <v>---</v>
      </c>
      <c r="BX534" s="140" t="str">
        <f>WORKSHEET_CONSTR!J531</f>
        <v>---</v>
      </c>
      <c r="BY534" s="140">
        <f t="shared" si="528"/>
        <v>999.99</v>
      </c>
      <c r="BZ534" s="263">
        <f t="shared" si="569"/>
        <v>1</v>
      </c>
      <c r="CA534" s="271" t="str">
        <f t="shared" si="570"/>
        <v>---</v>
      </c>
      <c r="CB534" s="271" t="str">
        <f t="shared" si="571"/>
        <v>---</v>
      </c>
      <c r="CC534" s="140">
        <f t="shared" si="529"/>
        <v>999.99</v>
      </c>
      <c r="CD534" s="263">
        <f t="shared" si="572"/>
        <v>1</v>
      </c>
      <c r="CE534" s="140" t="str">
        <f>WORKSHEET_CONSTR!N531</f>
        <v>---</v>
      </c>
      <c r="CF534" s="140" t="str">
        <f>WORKSHEET_CONSTR!M531</f>
        <v>---</v>
      </c>
      <c r="CG534" s="140">
        <f t="shared" si="530"/>
        <v>999.99</v>
      </c>
      <c r="CH534" s="263">
        <f t="shared" si="573"/>
        <v>1</v>
      </c>
    </row>
    <row r="535" spans="1:86">
      <c r="A535" s="438" t="str">
        <f t="shared" si="574"/>
        <v>---</v>
      </c>
      <c r="B535" s="294" t="str">
        <f t="shared" si="574"/>
        <v>---</v>
      </c>
      <c r="C535" s="296" t="str">
        <f t="shared" si="532"/>
        <v>---</v>
      </c>
      <c r="D535" s="294" t="str">
        <f t="shared" si="533"/>
        <v>---</v>
      </c>
      <c r="E535" s="294" t="str">
        <f t="shared" si="534"/>
        <v>---</v>
      </c>
      <c r="F535" s="294" t="str">
        <f t="shared" si="535"/>
        <v>---</v>
      </c>
      <c r="G535" s="294" t="str">
        <f t="shared" si="536"/>
        <v>---</v>
      </c>
      <c r="H535" s="291" t="str">
        <f t="shared" si="537"/>
        <v>---</v>
      </c>
      <c r="I535" s="441" t="str">
        <f t="shared" si="538"/>
        <v>---</v>
      </c>
      <c r="J535" s="441" t="str">
        <f t="shared" si="539"/>
        <v>---</v>
      </c>
      <c r="K535" s="294" t="str">
        <f t="shared" si="540"/>
        <v>---</v>
      </c>
      <c r="L535" s="294" t="str">
        <f t="shared" si="541"/>
        <v>---</v>
      </c>
      <c r="M535" s="291" t="str">
        <f t="shared" si="518"/>
        <v>---</v>
      </c>
      <c r="N535" s="294" t="str">
        <f t="shared" si="542"/>
        <v>---</v>
      </c>
      <c r="O535" s="441" t="str">
        <f t="shared" si="543"/>
        <v>---</v>
      </c>
      <c r="AE535" s="140" t="str">
        <f t="shared" si="544"/>
        <v>---</v>
      </c>
      <c r="AF535" s="140" t="str">
        <f t="shared" si="545"/>
        <v>---</v>
      </c>
      <c r="AG535" s="140">
        <f t="shared" si="519"/>
        <v>999.99</v>
      </c>
      <c r="AH535" s="263">
        <f t="shared" si="546"/>
        <v>0</v>
      </c>
      <c r="AI535" s="140" t="str">
        <f>WORKSHEET_CONSTR!G474</f>
        <v>---</v>
      </c>
      <c r="AJ535" s="140" t="str">
        <f>WORKSHEET_CONSTR!F474</f>
        <v>---</v>
      </c>
      <c r="AK535" s="140">
        <f t="shared" si="520"/>
        <v>999.99</v>
      </c>
      <c r="AL535" s="263">
        <f t="shared" si="547"/>
        <v>0</v>
      </c>
      <c r="AM535" s="267" t="str">
        <f t="shared" si="548"/>
        <v>---</v>
      </c>
      <c r="AN535" s="140" t="str">
        <f t="shared" si="549"/>
        <v>---</v>
      </c>
      <c r="AO535" s="140">
        <f t="shared" si="521"/>
        <v>999.99</v>
      </c>
      <c r="AP535" s="263">
        <f t="shared" si="550"/>
        <v>1</v>
      </c>
      <c r="AQ535" s="140" t="str">
        <f>WORKSHEET_CONSTR!Q221</f>
        <v>---</v>
      </c>
      <c r="AR535" s="140" t="str">
        <f>WORKSHEET_CONSTR!E474</f>
        <v>---</v>
      </c>
      <c r="AS535" s="140">
        <f t="shared" si="522"/>
        <v>999.99</v>
      </c>
      <c r="AT535" s="263">
        <f t="shared" si="551"/>
        <v>1</v>
      </c>
      <c r="AU535" s="140" t="str">
        <f t="shared" si="552"/>
        <v>---</v>
      </c>
      <c r="AV535" s="140" t="str">
        <f t="shared" si="553"/>
        <v>---</v>
      </c>
      <c r="AW535" s="140">
        <f t="shared" si="523"/>
        <v>999.99</v>
      </c>
      <c r="AX535" s="263">
        <f t="shared" si="554"/>
        <v>1</v>
      </c>
      <c r="AY535" s="140" t="str">
        <f>WORKSHEET_CONSTR!R221</f>
        <v>---</v>
      </c>
      <c r="AZ535" s="140" t="str">
        <f>WORKSHEET_CONSTR!C474</f>
        <v>---</v>
      </c>
      <c r="BA535" s="140">
        <f t="shared" si="524"/>
        <v>999.99</v>
      </c>
      <c r="BB535" s="263">
        <f t="shared" si="555"/>
        <v>1</v>
      </c>
      <c r="BC535" s="267" t="str">
        <f t="shared" si="556"/>
        <v>---</v>
      </c>
      <c r="BD535" s="140" t="str">
        <f t="shared" si="557"/>
        <v>---</v>
      </c>
      <c r="BE535" s="140">
        <f t="shared" si="558"/>
        <v>999.99</v>
      </c>
      <c r="BF535" s="263">
        <f t="shared" si="559"/>
        <v>0</v>
      </c>
      <c r="BG535" s="140" t="str">
        <f>WORKSHEET_CONSTR!D532</f>
        <v>---</v>
      </c>
      <c r="BH535" s="140" t="str">
        <f>WORKSHEET_CONSTR!C532</f>
        <v>---</v>
      </c>
      <c r="BI535" s="140">
        <f t="shared" si="560"/>
        <v>999.99</v>
      </c>
      <c r="BJ535" s="263">
        <f t="shared" si="561"/>
        <v>0</v>
      </c>
      <c r="BK535" s="140" t="str">
        <f t="shared" si="562"/>
        <v>---</v>
      </c>
      <c r="BL535" s="140" t="str">
        <f t="shared" si="563"/>
        <v>---</v>
      </c>
      <c r="BM535" s="140">
        <f t="shared" si="525"/>
        <v>999.99</v>
      </c>
      <c r="BN535" s="263">
        <f t="shared" si="564"/>
        <v>1</v>
      </c>
      <c r="BO535" s="140" t="str">
        <f>WORKSHEET_CONSTR!H532</f>
        <v>---</v>
      </c>
      <c r="BP535" s="140" t="str">
        <f>WORKSHEET_CONSTR!F532</f>
        <v>---</v>
      </c>
      <c r="BQ535" s="140">
        <f t="shared" si="526"/>
        <v>999.99</v>
      </c>
      <c r="BR535" s="263">
        <f t="shared" si="565"/>
        <v>1</v>
      </c>
      <c r="BS535" s="267" t="str">
        <f t="shared" si="566"/>
        <v>---</v>
      </c>
      <c r="BT535" s="210" t="str">
        <f t="shared" si="567"/>
        <v>---</v>
      </c>
      <c r="BU535" s="140">
        <f t="shared" si="527"/>
        <v>999.99</v>
      </c>
      <c r="BV535" s="263">
        <f t="shared" si="568"/>
        <v>1</v>
      </c>
      <c r="BW535" s="140" t="str">
        <f>WORKSHEET_CONSTR!K532</f>
        <v>---</v>
      </c>
      <c r="BX535" s="140" t="str">
        <f>WORKSHEET_CONSTR!J532</f>
        <v>---</v>
      </c>
      <c r="BY535" s="140">
        <f t="shared" si="528"/>
        <v>999.99</v>
      </c>
      <c r="BZ535" s="263">
        <f t="shared" si="569"/>
        <v>1</v>
      </c>
      <c r="CA535" s="271" t="str">
        <f t="shared" si="570"/>
        <v>---</v>
      </c>
      <c r="CB535" s="271" t="str">
        <f t="shared" si="571"/>
        <v>---</v>
      </c>
      <c r="CC535" s="140">
        <f t="shared" si="529"/>
        <v>999.99</v>
      </c>
      <c r="CD535" s="263">
        <f t="shared" si="572"/>
        <v>1</v>
      </c>
      <c r="CE535" s="140" t="str">
        <f>WORKSHEET_CONSTR!N532</f>
        <v>---</v>
      </c>
      <c r="CF535" s="140" t="str">
        <f>WORKSHEET_CONSTR!M532</f>
        <v>---</v>
      </c>
      <c r="CG535" s="140">
        <f t="shared" si="530"/>
        <v>999.99</v>
      </c>
      <c r="CH535" s="263">
        <f t="shared" si="573"/>
        <v>1</v>
      </c>
    </row>
    <row r="536" spans="1:86">
      <c r="A536" s="438" t="str">
        <f t="shared" si="574"/>
        <v>---</v>
      </c>
      <c r="B536" s="294" t="str">
        <f t="shared" si="574"/>
        <v>---</v>
      </c>
      <c r="C536" s="296" t="str">
        <f t="shared" si="532"/>
        <v>---</v>
      </c>
      <c r="D536" s="294" t="str">
        <f t="shared" si="533"/>
        <v>---</v>
      </c>
      <c r="E536" s="294" t="str">
        <f t="shared" si="534"/>
        <v>---</v>
      </c>
      <c r="F536" s="294" t="str">
        <f t="shared" si="535"/>
        <v>---</v>
      </c>
      <c r="G536" s="294" t="str">
        <f t="shared" si="536"/>
        <v>---</v>
      </c>
      <c r="H536" s="291" t="str">
        <f t="shared" si="537"/>
        <v>---</v>
      </c>
      <c r="I536" s="441" t="str">
        <f t="shared" si="538"/>
        <v>---</v>
      </c>
      <c r="J536" s="441" t="str">
        <f t="shared" si="539"/>
        <v>---</v>
      </c>
      <c r="K536" s="294" t="str">
        <f t="shared" si="540"/>
        <v>---</v>
      </c>
      <c r="L536" s="294" t="str">
        <f t="shared" si="541"/>
        <v>---</v>
      </c>
      <c r="M536" s="291" t="str">
        <f t="shared" si="518"/>
        <v>---</v>
      </c>
      <c r="N536" s="294" t="str">
        <f t="shared" si="542"/>
        <v>---</v>
      </c>
      <c r="O536" s="441" t="str">
        <f t="shared" si="543"/>
        <v>---</v>
      </c>
      <c r="AE536" s="140" t="str">
        <f t="shared" si="544"/>
        <v>---</v>
      </c>
      <c r="AF536" s="140" t="str">
        <f t="shared" si="545"/>
        <v>---</v>
      </c>
      <c r="AG536" s="140">
        <f t="shared" si="519"/>
        <v>999.99</v>
      </c>
      <c r="AH536" s="263">
        <f t="shared" si="546"/>
        <v>0</v>
      </c>
      <c r="AI536" s="140" t="str">
        <f>WORKSHEET_CONSTR!G475</f>
        <v>---</v>
      </c>
      <c r="AJ536" s="140" t="str">
        <f>WORKSHEET_CONSTR!F475</f>
        <v>---</v>
      </c>
      <c r="AK536" s="140">
        <f t="shared" si="520"/>
        <v>999.99</v>
      </c>
      <c r="AL536" s="263">
        <f t="shared" si="547"/>
        <v>0</v>
      </c>
      <c r="AM536" s="267" t="str">
        <f t="shared" si="548"/>
        <v>---</v>
      </c>
      <c r="AN536" s="140" t="str">
        <f t="shared" si="549"/>
        <v>---</v>
      </c>
      <c r="AO536" s="140">
        <f t="shared" si="521"/>
        <v>999.99</v>
      </c>
      <c r="AP536" s="263">
        <f t="shared" si="550"/>
        <v>1</v>
      </c>
      <c r="AQ536" s="140" t="str">
        <f>WORKSHEET_CONSTR!Q222</f>
        <v>---</v>
      </c>
      <c r="AR536" s="140" t="str">
        <f>WORKSHEET_CONSTR!E475</f>
        <v>---</v>
      </c>
      <c r="AS536" s="140">
        <f t="shared" si="522"/>
        <v>999.99</v>
      </c>
      <c r="AT536" s="263">
        <f t="shared" si="551"/>
        <v>1</v>
      </c>
      <c r="AU536" s="140" t="str">
        <f t="shared" si="552"/>
        <v>---</v>
      </c>
      <c r="AV536" s="140" t="str">
        <f t="shared" si="553"/>
        <v>---</v>
      </c>
      <c r="AW536" s="140">
        <f t="shared" si="523"/>
        <v>999.99</v>
      </c>
      <c r="AX536" s="263">
        <f t="shared" si="554"/>
        <v>1</v>
      </c>
      <c r="AY536" s="140" t="str">
        <f>WORKSHEET_CONSTR!R222</f>
        <v>---</v>
      </c>
      <c r="AZ536" s="140" t="str">
        <f>WORKSHEET_CONSTR!C475</f>
        <v>---</v>
      </c>
      <c r="BA536" s="140">
        <f t="shared" si="524"/>
        <v>999.99</v>
      </c>
      <c r="BB536" s="263">
        <f t="shared" si="555"/>
        <v>1</v>
      </c>
      <c r="BC536" s="267" t="str">
        <f t="shared" si="556"/>
        <v>---</v>
      </c>
      <c r="BD536" s="140" t="str">
        <f t="shared" si="557"/>
        <v>---</v>
      </c>
      <c r="BE536" s="140">
        <f t="shared" si="558"/>
        <v>999.99</v>
      </c>
      <c r="BF536" s="263">
        <f t="shared" si="559"/>
        <v>0</v>
      </c>
      <c r="BG536" s="140" t="str">
        <f>WORKSHEET_CONSTR!D533</f>
        <v>---</v>
      </c>
      <c r="BH536" s="140" t="str">
        <f>WORKSHEET_CONSTR!C533</f>
        <v>---</v>
      </c>
      <c r="BI536" s="140">
        <f t="shared" si="560"/>
        <v>999.99</v>
      </c>
      <c r="BJ536" s="263">
        <f t="shared" si="561"/>
        <v>0</v>
      </c>
      <c r="BK536" s="140" t="str">
        <f t="shared" si="562"/>
        <v>---</v>
      </c>
      <c r="BL536" s="140" t="str">
        <f t="shared" si="563"/>
        <v>---</v>
      </c>
      <c r="BM536" s="140">
        <f t="shared" si="525"/>
        <v>999.99</v>
      </c>
      <c r="BN536" s="263">
        <f t="shared" si="564"/>
        <v>1</v>
      </c>
      <c r="BO536" s="140" t="str">
        <f>WORKSHEET_CONSTR!H533</f>
        <v>---</v>
      </c>
      <c r="BP536" s="140" t="str">
        <f>WORKSHEET_CONSTR!F533</f>
        <v>---</v>
      </c>
      <c r="BQ536" s="140">
        <f t="shared" si="526"/>
        <v>999.99</v>
      </c>
      <c r="BR536" s="263">
        <f t="shared" si="565"/>
        <v>1</v>
      </c>
      <c r="BS536" s="267" t="str">
        <f t="shared" si="566"/>
        <v>---</v>
      </c>
      <c r="BT536" s="210" t="str">
        <f t="shared" si="567"/>
        <v>---</v>
      </c>
      <c r="BU536" s="140">
        <f t="shared" si="527"/>
        <v>999.99</v>
      </c>
      <c r="BV536" s="263">
        <f t="shared" si="568"/>
        <v>1</v>
      </c>
      <c r="BW536" s="140" t="str">
        <f>WORKSHEET_CONSTR!K533</f>
        <v>---</v>
      </c>
      <c r="BX536" s="140" t="str">
        <f>WORKSHEET_CONSTR!J533</f>
        <v>---</v>
      </c>
      <c r="BY536" s="140">
        <f t="shared" si="528"/>
        <v>999.99</v>
      </c>
      <c r="BZ536" s="263">
        <f t="shared" si="569"/>
        <v>1</v>
      </c>
      <c r="CA536" s="271" t="str">
        <f t="shared" si="570"/>
        <v>---</v>
      </c>
      <c r="CB536" s="271" t="str">
        <f t="shared" si="571"/>
        <v>---</v>
      </c>
      <c r="CC536" s="140">
        <f t="shared" si="529"/>
        <v>999.99</v>
      </c>
      <c r="CD536" s="263">
        <f t="shared" si="572"/>
        <v>1</v>
      </c>
      <c r="CE536" s="140" t="str">
        <f>WORKSHEET_CONSTR!N533</f>
        <v>---</v>
      </c>
      <c r="CF536" s="140" t="str">
        <f>WORKSHEET_CONSTR!M533</f>
        <v>---</v>
      </c>
      <c r="CG536" s="140">
        <f t="shared" si="530"/>
        <v>999.99</v>
      </c>
      <c r="CH536" s="263">
        <f t="shared" si="573"/>
        <v>1</v>
      </c>
    </row>
    <row r="537" spans="1:86">
      <c r="A537" s="438" t="str">
        <f t="shared" si="574"/>
        <v>---</v>
      </c>
      <c r="B537" s="294" t="str">
        <f t="shared" si="574"/>
        <v>---</v>
      </c>
      <c r="C537" s="296" t="str">
        <f t="shared" si="532"/>
        <v>---</v>
      </c>
      <c r="D537" s="294" t="str">
        <f t="shared" si="533"/>
        <v>---</v>
      </c>
      <c r="E537" s="294" t="str">
        <f t="shared" si="534"/>
        <v>---</v>
      </c>
      <c r="F537" s="294" t="str">
        <f t="shared" si="535"/>
        <v>---</v>
      </c>
      <c r="G537" s="294" t="str">
        <f t="shared" si="536"/>
        <v>---</v>
      </c>
      <c r="H537" s="291" t="str">
        <f t="shared" si="537"/>
        <v>---</v>
      </c>
      <c r="I537" s="441" t="str">
        <f t="shared" si="538"/>
        <v>---</v>
      </c>
      <c r="J537" s="441" t="str">
        <f t="shared" si="539"/>
        <v>---</v>
      </c>
      <c r="K537" s="294" t="str">
        <f t="shared" si="540"/>
        <v>---</v>
      </c>
      <c r="L537" s="294" t="str">
        <f t="shared" si="541"/>
        <v>---</v>
      </c>
      <c r="M537" s="291" t="str">
        <f t="shared" si="518"/>
        <v>---</v>
      </c>
      <c r="N537" s="294" t="str">
        <f t="shared" si="542"/>
        <v>---</v>
      </c>
      <c r="O537" s="441" t="str">
        <f t="shared" si="543"/>
        <v>---</v>
      </c>
      <c r="AE537" s="140" t="str">
        <f t="shared" si="544"/>
        <v>---</v>
      </c>
      <c r="AF537" s="140" t="str">
        <f t="shared" si="545"/>
        <v>---</v>
      </c>
      <c r="AG537" s="140">
        <f t="shared" si="519"/>
        <v>999.99</v>
      </c>
      <c r="AH537" s="263">
        <f t="shared" si="546"/>
        <v>0</v>
      </c>
      <c r="AI537" s="140" t="str">
        <f>WORKSHEET_CONSTR!G476</f>
        <v>---</v>
      </c>
      <c r="AJ537" s="140" t="str">
        <f>WORKSHEET_CONSTR!F476</f>
        <v>---</v>
      </c>
      <c r="AK537" s="140">
        <f t="shared" si="520"/>
        <v>999.99</v>
      </c>
      <c r="AL537" s="263">
        <f t="shared" si="547"/>
        <v>0</v>
      </c>
      <c r="AM537" s="267" t="str">
        <f t="shared" si="548"/>
        <v>---</v>
      </c>
      <c r="AN537" s="140" t="str">
        <f t="shared" si="549"/>
        <v>---</v>
      </c>
      <c r="AO537" s="140">
        <f t="shared" si="521"/>
        <v>999.99</v>
      </c>
      <c r="AP537" s="263">
        <f t="shared" si="550"/>
        <v>1</v>
      </c>
      <c r="AQ537" s="140" t="str">
        <f>WORKSHEET_CONSTR!Q223</f>
        <v>---</v>
      </c>
      <c r="AR537" s="140" t="str">
        <f>WORKSHEET_CONSTR!E476</f>
        <v>---</v>
      </c>
      <c r="AS537" s="140">
        <f t="shared" si="522"/>
        <v>999.99</v>
      </c>
      <c r="AT537" s="263">
        <f t="shared" si="551"/>
        <v>1</v>
      </c>
      <c r="AU537" s="140" t="str">
        <f t="shared" si="552"/>
        <v>---</v>
      </c>
      <c r="AV537" s="140" t="str">
        <f t="shared" si="553"/>
        <v>---</v>
      </c>
      <c r="AW537" s="140">
        <f t="shared" si="523"/>
        <v>999.99</v>
      </c>
      <c r="AX537" s="263">
        <f t="shared" si="554"/>
        <v>1</v>
      </c>
      <c r="AY537" s="140" t="str">
        <f>WORKSHEET_CONSTR!R223</f>
        <v>---</v>
      </c>
      <c r="AZ537" s="140" t="str">
        <f>WORKSHEET_CONSTR!C476</f>
        <v>---</v>
      </c>
      <c r="BA537" s="140">
        <f t="shared" si="524"/>
        <v>999.99</v>
      </c>
      <c r="BB537" s="263">
        <f t="shared" si="555"/>
        <v>1</v>
      </c>
      <c r="BC537" s="267" t="str">
        <f t="shared" si="556"/>
        <v>---</v>
      </c>
      <c r="BD537" s="140" t="str">
        <f t="shared" si="557"/>
        <v>---</v>
      </c>
      <c r="BE537" s="140">
        <f t="shared" si="558"/>
        <v>999.99</v>
      </c>
      <c r="BF537" s="263">
        <f t="shared" si="559"/>
        <v>0</v>
      </c>
      <c r="BG537" s="140" t="str">
        <f>WORKSHEET_CONSTR!D534</f>
        <v>---</v>
      </c>
      <c r="BH537" s="140" t="str">
        <f>WORKSHEET_CONSTR!C534</f>
        <v>---</v>
      </c>
      <c r="BI537" s="140">
        <f t="shared" si="560"/>
        <v>999.99</v>
      </c>
      <c r="BJ537" s="263">
        <f t="shared" si="561"/>
        <v>0</v>
      </c>
      <c r="BK537" s="140" t="str">
        <f t="shared" si="562"/>
        <v>---</v>
      </c>
      <c r="BL537" s="140" t="str">
        <f t="shared" si="563"/>
        <v>---</v>
      </c>
      <c r="BM537" s="140">
        <f t="shared" si="525"/>
        <v>999.99</v>
      </c>
      <c r="BN537" s="263">
        <f t="shared" si="564"/>
        <v>1</v>
      </c>
      <c r="BO537" s="140" t="str">
        <f>WORKSHEET_CONSTR!H534</f>
        <v>---</v>
      </c>
      <c r="BP537" s="140" t="str">
        <f>WORKSHEET_CONSTR!F534</f>
        <v>---</v>
      </c>
      <c r="BQ537" s="140">
        <f t="shared" si="526"/>
        <v>999.99</v>
      </c>
      <c r="BR537" s="263">
        <f t="shared" si="565"/>
        <v>1</v>
      </c>
      <c r="BS537" s="267" t="str">
        <f t="shared" si="566"/>
        <v>---</v>
      </c>
      <c r="BT537" s="210" t="str">
        <f t="shared" si="567"/>
        <v>---</v>
      </c>
      <c r="BU537" s="140">
        <f t="shared" si="527"/>
        <v>999.99</v>
      </c>
      <c r="BV537" s="263">
        <f t="shared" si="568"/>
        <v>1</v>
      </c>
      <c r="BW537" s="140" t="str">
        <f>WORKSHEET_CONSTR!K534</f>
        <v>---</v>
      </c>
      <c r="BX537" s="140" t="str">
        <f>WORKSHEET_CONSTR!J534</f>
        <v>---</v>
      </c>
      <c r="BY537" s="140">
        <f t="shared" si="528"/>
        <v>999.99</v>
      </c>
      <c r="BZ537" s="263">
        <f t="shared" si="569"/>
        <v>1</v>
      </c>
      <c r="CA537" s="271" t="str">
        <f t="shared" si="570"/>
        <v>---</v>
      </c>
      <c r="CB537" s="271" t="str">
        <f t="shared" si="571"/>
        <v>---</v>
      </c>
      <c r="CC537" s="140">
        <f t="shared" si="529"/>
        <v>999.99</v>
      </c>
      <c r="CD537" s="263">
        <f t="shared" si="572"/>
        <v>1</v>
      </c>
      <c r="CE537" s="140" t="str">
        <f>WORKSHEET_CONSTR!N534</f>
        <v>---</v>
      </c>
      <c r="CF537" s="140" t="str">
        <f>WORKSHEET_CONSTR!M534</f>
        <v>---</v>
      </c>
      <c r="CG537" s="140">
        <f t="shared" si="530"/>
        <v>999.99</v>
      </c>
      <c r="CH537" s="263">
        <f t="shared" si="573"/>
        <v>1</v>
      </c>
    </row>
    <row r="538" spans="1:86">
      <c r="A538" s="438" t="str">
        <f t="shared" si="574"/>
        <v>---</v>
      </c>
      <c r="B538" s="294" t="str">
        <f t="shared" si="574"/>
        <v>---</v>
      </c>
      <c r="C538" s="296" t="str">
        <f t="shared" si="532"/>
        <v>---</v>
      </c>
      <c r="D538" s="294" t="str">
        <f t="shared" si="533"/>
        <v>---</v>
      </c>
      <c r="E538" s="294" t="str">
        <f t="shared" si="534"/>
        <v>---</v>
      </c>
      <c r="F538" s="294" t="str">
        <f t="shared" si="535"/>
        <v>---</v>
      </c>
      <c r="G538" s="294" t="str">
        <f t="shared" si="536"/>
        <v>---</v>
      </c>
      <c r="H538" s="291" t="str">
        <f t="shared" si="537"/>
        <v>---</v>
      </c>
      <c r="I538" s="441" t="str">
        <f t="shared" si="538"/>
        <v>---</v>
      </c>
      <c r="J538" s="441" t="str">
        <f t="shared" si="539"/>
        <v>---</v>
      </c>
      <c r="K538" s="294" t="str">
        <f t="shared" si="540"/>
        <v>---</v>
      </c>
      <c r="L538" s="294" t="str">
        <f t="shared" si="541"/>
        <v>---</v>
      </c>
      <c r="M538" s="291" t="str">
        <f t="shared" si="518"/>
        <v>---</v>
      </c>
      <c r="N538" s="294" t="str">
        <f t="shared" si="542"/>
        <v>---</v>
      </c>
      <c r="O538" s="441" t="str">
        <f t="shared" si="543"/>
        <v>---</v>
      </c>
      <c r="AE538" s="140" t="str">
        <f t="shared" si="544"/>
        <v>---</v>
      </c>
      <c r="AF538" s="140" t="str">
        <f t="shared" si="545"/>
        <v>---</v>
      </c>
      <c r="AG538" s="140">
        <f t="shared" si="519"/>
        <v>999.99</v>
      </c>
      <c r="AH538" s="263">
        <f t="shared" si="546"/>
        <v>0</v>
      </c>
      <c r="AI538" s="140" t="str">
        <f>WORKSHEET_CONSTR!G477</f>
        <v>---</v>
      </c>
      <c r="AJ538" s="140" t="str">
        <f>WORKSHEET_CONSTR!F477</f>
        <v>---</v>
      </c>
      <c r="AK538" s="140">
        <f t="shared" si="520"/>
        <v>999.99</v>
      </c>
      <c r="AL538" s="263">
        <f t="shared" si="547"/>
        <v>0</v>
      </c>
      <c r="AM538" s="267" t="str">
        <f t="shared" si="548"/>
        <v>---</v>
      </c>
      <c r="AN538" s="140" t="str">
        <f t="shared" si="549"/>
        <v>---</v>
      </c>
      <c r="AO538" s="140">
        <f t="shared" si="521"/>
        <v>999.99</v>
      </c>
      <c r="AP538" s="263">
        <f t="shared" si="550"/>
        <v>1</v>
      </c>
      <c r="AQ538" s="140" t="str">
        <f>WORKSHEET_CONSTR!Q224</f>
        <v>---</v>
      </c>
      <c r="AR538" s="140" t="str">
        <f>WORKSHEET_CONSTR!E477</f>
        <v>---</v>
      </c>
      <c r="AS538" s="140">
        <f t="shared" si="522"/>
        <v>999.99</v>
      </c>
      <c r="AT538" s="263">
        <f t="shared" si="551"/>
        <v>1</v>
      </c>
      <c r="AU538" s="140" t="str">
        <f t="shared" si="552"/>
        <v>---</v>
      </c>
      <c r="AV538" s="140" t="str">
        <f t="shared" si="553"/>
        <v>---</v>
      </c>
      <c r="AW538" s="140">
        <f t="shared" si="523"/>
        <v>999.99</v>
      </c>
      <c r="AX538" s="263">
        <f t="shared" si="554"/>
        <v>1</v>
      </c>
      <c r="AY538" s="140" t="str">
        <f>WORKSHEET_CONSTR!R224</f>
        <v>---</v>
      </c>
      <c r="AZ538" s="140" t="str">
        <f>WORKSHEET_CONSTR!C477</f>
        <v>---</v>
      </c>
      <c r="BA538" s="140">
        <f t="shared" si="524"/>
        <v>999.99</v>
      </c>
      <c r="BB538" s="263">
        <f t="shared" si="555"/>
        <v>1</v>
      </c>
      <c r="BC538" s="267" t="str">
        <f t="shared" si="556"/>
        <v>---</v>
      </c>
      <c r="BD538" s="140" t="str">
        <f t="shared" si="557"/>
        <v>---</v>
      </c>
      <c r="BE538" s="140">
        <f t="shared" si="558"/>
        <v>999.99</v>
      </c>
      <c r="BF538" s="263">
        <f t="shared" si="559"/>
        <v>0</v>
      </c>
      <c r="BG538" s="140" t="str">
        <f>WORKSHEET_CONSTR!D535</f>
        <v>---</v>
      </c>
      <c r="BH538" s="140" t="str">
        <f>WORKSHEET_CONSTR!C535</f>
        <v>---</v>
      </c>
      <c r="BI538" s="140">
        <f t="shared" si="560"/>
        <v>999.99</v>
      </c>
      <c r="BJ538" s="263">
        <f t="shared" si="561"/>
        <v>0</v>
      </c>
      <c r="BK538" s="140" t="str">
        <f t="shared" si="562"/>
        <v>---</v>
      </c>
      <c r="BL538" s="140" t="str">
        <f t="shared" si="563"/>
        <v>---</v>
      </c>
      <c r="BM538" s="140">
        <f t="shared" si="525"/>
        <v>999.99</v>
      </c>
      <c r="BN538" s="263">
        <f t="shared" si="564"/>
        <v>1</v>
      </c>
      <c r="BO538" s="140" t="str">
        <f>WORKSHEET_CONSTR!H535</f>
        <v>---</v>
      </c>
      <c r="BP538" s="140" t="str">
        <f>WORKSHEET_CONSTR!F535</f>
        <v>---</v>
      </c>
      <c r="BQ538" s="140">
        <f t="shared" si="526"/>
        <v>999.99</v>
      </c>
      <c r="BR538" s="263">
        <f t="shared" si="565"/>
        <v>1</v>
      </c>
      <c r="BS538" s="267" t="str">
        <f t="shared" si="566"/>
        <v>---</v>
      </c>
      <c r="BT538" s="210" t="str">
        <f t="shared" si="567"/>
        <v>---</v>
      </c>
      <c r="BU538" s="140">
        <f t="shared" si="527"/>
        <v>999.99</v>
      </c>
      <c r="BV538" s="263">
        <f t="shared" si="568"/>
        <v>1</v>
      </c>
      <c r="BW538" s="140" t="str">
        <f>WORKSHEET_CONSTR!K535</f>
        <v>---</v>
      </c>
      <c r="BX538" s="140" t="str">
        <f>WORKSHEET_CONSTR!J535</f>
        <v>---</v>
      </c>
      <c r="BY538" s="140">
        <f t="shared" si="528"/>
        <v>999.99</v>
      </c>
      <c r="BZ538" s="263">
        <f t="shared" si="569"/>
        <v>1</v>
      </c>
      <c r="CA538" s="271" t="str">
        <f t="shared" si="570"/>
        <v>---</v>
      </c>
      <c r="CB538" s="271" t="str">
        <f t="shared" si="571"/>
        <v>---</v>
      </c>
      <c r="CC538" s="140">
        <f t="shared" si="529"/>
        <v>999.99</v>
      </c>
      <c r="CD538" s="263">
        <f t="shared" si="572"/>
        <v>1</v>
      </c>
      <c r="CE538" s="140" t="str">
        <f>WORKSHEET_CONSTR!N535</f>
        <v>---</v>
      </c>
      <c r="CF538" s="140" t="str">
        <f>WORKSHEET_CONSTR!M535</f>
        <v>---</v>
      </c>
      <c r="CG538" s="140">
        <f t="shared" si="530"/>
        <v>999.99</v>
      </c>
      <c r="CH538" s="263">
        <f t="shared" si="573"/>
        <v>1</v>
      </c>
    </row>
    <row r="539" spans="1:86">
      <c r="A539" s="438" t="str">
        <f t="shared" si="574"/>
        <v>---</v>
      </c>
      <c r="B539" s="294" t="str">
        <f t="shared" si="574"/>
        <v>---</v>
      </c>
      <c r="C539" s="296" t="str">
        <f t="shared" si="532"/>
        <v>---</v>
      </c>
      <c r="D539" s="294" t="str">
        <f t="shared" si="533"/>
        <v>---</v>
      </c>
      <c r="E539" s="294" t="str">
        <f t="shared" si="534"/>
        <v>---</v>
      </c>
      <c r="F539" s="294" t="str">
        <f t="shared" si="535"/>
        <v>---</v>
      </c>
      <c r="G539" s="294" t="str">
        <f t="shared" si="536"/>
        <v>---</v>
      </c>
      <c r="H539" s="291" t="str">
        <f t="shared" si="537"/>
        <v>---</v>
      </c>
      <c r="I539" s="441" t="str">
        <f t="shared" si="538"/>
        <v>---</v>
      </c>
      <c r="J539" s="441" t="str">
        <f t="shared" si="539"/>
        <v>---</v>
      </c>
      <c r="K539" s="294" t="str">
        <f t="shared" si="540"/>
        <v>---</v>
      </c>
      <c r="L539" s="294" t="str">
        <f t="shared" si="541"/>
        <v>---</v>
      </c>
      <c r="M539" s="291" t="str">
        <f t="shared" si="518"/>
        <v>---</v>
      </c>
      <c r="N539" s="294" t="str">
        <f t="shared" si="542"/>
        <v>---</v>
      </c>
      <c r="O539" s="441" t="str">
        <f t="shared" si="543"/>
        <v>---</v>
      </c>
      <c r="AE539" s="140" t="str">
        <f t="shared" si="544"/>
        <v>---</v>
      </c>
      <c r="AF539" s="140" t="str">
        <f t="shared" si="545"/>
        <v>---</v>
      </c>
      <c r="AG539" s="140">
        <f t="shared" si="519"/>
        <v>999.99</v>
      </c>
      <c r="AH539" s="263">
        <f t="shared" si="546"/>
        <v>0</v>
      </c>
      <c r="AI539" s="140" t="str">
        <f>WORKSHEET_CONSTR!G478</f>
        <v>---</v>
      </c>
      <c r="AJ539" s="140" t="str">
        <f>WORKSHEET_CONSTR!F478</f>
        <v>---</v>
      </c>
      <c r="AK539" s="140">
        <f t="shared" si="520"/>
        <v>999.99</v>
      </c>
      <c r="AL539" s="263">
        <f t="shared" si="547"/>
        <v>0</v>
      </c>
      <c r="AM539" s="267" t="str">
        <f t="shared" si="548"/>
        <v>---</v>
      </c>
      <c r="AN539" s="140" t="str">
        <f t="shared" si="549"/>
        <v>---</v>
      </c>
      <c r="AO539" s="140">
        <f t="shared" si="521"/>
        <v>999.99</v>
      </c>
      <c r="AP539" s="263">
        <f t="shared" si="550"/>
        <v>1</v>
      </c>
      <c r="AQ539" s="140" t="str">
        <f>WORKSHEET_CONSTR!Q225</f>
        <v>---</v>
      </c>
      <c r="AR539" s="140" t="str">
        <f>WORKSHEET_CONSTR!E478</f>
        <v>---</v>
      </c>
      <c r="AS539" s="140">
        <f t="shared" si="522"/>
        <v>999.99</v>
      </c>
      <c r="AT539" s="263">
        <f t="shared" si="551"/>
        <v>1</v>
      </c>
      <c r="AU539" s="140" t="str">
        <f t="shared" si="552"/>
        <v>---</v>
      </c>
      <c r="AV539" s="140" t="str">
        <f t="shared" si="553"/>
        <v>---</v>
      </c>
      <c r="AW539" s="140">
        <f t="shared" si="523"/>
        <v>999.99</v>
      </c>
      <c r="AX539" s="263">
        <f t="shared" si="554"/>
        <v>1</v>
      </c>
      <c r="AY539" s="140" t="str">
        <f>WORKSHEET_CONSTR!R225</f>
        <v>---</v>
      </c>
      <c r="AZ539" s="140" t="str">
        <f>WORKSHEET_CONSTR!C478</f>
        <v>---</v>
      </c>
      <c r="BA539" s="140">
        <f t="shared" si="524"/>
        <v>999.99</v>
      </c>
      <c r="BB539" s="263">
        <f t="shared" si="555"/>
        <v>1</v>
      </c>
      <c r="BC539" s="267" t="str">
        <f t="shared" si="556"/>
        <v>---</v>
      </c>
      <c r="BD539" s="140" t="str">
        <f t="shared" si="557"/>
        <v>---</v>
      </c>
      <c r="BE539" s="140">
        <f t="shared" si="558"/>
        <v>999.99</v>
      </c>
      <c r="BF539" s="263">
        <f t="shared" si="559"/>
        <v>0</v>
      </c>
      <c r="BG539" s="140" t="str">
        <f>WORKSHEET_CONSTR!D536</f>
        <v>---</v>
      </c>
      <c r="BH539" s="140" t="str">
        <f>WORKSHEET_CONSTR!C536</f>
        <v>---</v>
      </c>
      <c r="BI539" s="140">
        <f t="shared" si="560"/>
        <v>999.99</v>
      </c>
      <c r="BJ539" s="263">
        <f t="shared" si="561"/>
        <v>0</v>
      </c>
      <c r="BK539" s="140" t="str">
        <f t="shared" si="562"/>
        <v>---</v>
      </c>
      <c r="BL539" s="140" t="str">
        <f t="shared" si="563"/>
        <v>---</v>
      </c>
      <c r="BM539" s="140">
        <f t="shared" si="525"/>
        <v>999.99</v>
      </c>
      <c r="BN539" s="263">
        <f t="shared" si="564"/>
        <v>1</v>
      </c>
      <c r="BO539" s="140" t="str">
        <f>WORKSHEET_CONSTR!H536</f>
        <v>---</v>
      </c>
      <c r="BP539" s="140" t="str">
        <f>WORKSHEET_CONSTR!F536</f>
        <v>---</v>
      </c>
      <c r="BQ539" s="140">
        <f t="shared" si="526"/>
        <v>999.99</v>
      </c>
      <c r="BR539" s="263">
        <f t="shared" si="565"/>
        <v>1</v>
      </c>
      <c r="BS539" s="267" t="str">
        <f t="shared" si="566"/>
        <v>---</v>
      </c>
      <c r="BT539" s="210" t="str">
        <f t="shared" si="567"/>
        <v>---</v>
      </c>
      <c r="BU539" s="140">
        <f t="shared" si="527"/>
        <v>999.99</v>
      </c>
      <c r="BV539" s="263">
        <f t="shared" si="568"/>
        <v>1</v>
      </c>
      <c r="BW539" s="140" t="str">
        <f>WORKSHEET_CONSTR!K536</f>
        <v>---</v>
      </c>
      <c r="BX539" s="140" t="str">
        <f>WORKSHEET_CONSTR!J536</f>
        <v>---</v>
      </c>
      <c r="BY539" s="140">
        <f t="shared" si="528"/>
        <v>999.99</v>
      </c>
      <c r="BZ539" s="263">
        <f t="shared" si="569"/>
        <v>1</v>
      </c>
      <c r="CA539" s="271" t="str">
        <f t="shared" si="570"/>
        <v>---</v>
      </c>
      <c r="CB539" s="271" t="str">
        <f t="shared" si="571"/>
        <v>---</v>
      </c>
      <c r="CC539" s="140">
        <f t="shared" si="529"/>
        <v>999.99</v>
      </c>
      <c r="CD539" s="263">
        <f t="shared" si="572"/>
        <v>1</v>
      </c>
      <c r="CE539" s="140" t="str">
        <f>WORKSHEET_CONSTR!N536</f>
        <v>---</v>
      </c>
      <c r="CF539" s="140" t="str">
        <f>WORKSHEET_CONSTR!M536</f>
        <v>---</v>
      </c>
      <c r="CG539" s="140">
        <f t="shared" si="530"/>
        <v>999.99</v>
      </c>
      <c r="CH539" s="263">
        <f t="shared" si="573"/>
        <v>1</v>
      </c>
    </row>
    <row r="540" spans="1:86">
      <c r="A540" s="438" t="str">
        <f t="shared" si="574"/>
        <v>---</v>
      </c>
      <c r="B540" s="294" t="str">
        <f t="shared" si="574"/>
        <v>---</v>
      </c>
      <c r="C540" s="296" t="str">
        <f t="shared" si="532"/>
        <v>---</v>
      </c>
      <c r="D540" s="294" t="str">
        <f t="shared" si="533"/>
        <v>---</v>
      </c>
      <c r="E540" s="294" t="str">
        <f t="shared" si="534"/>
        <v>---</v>
      </c>
      <c r="F540" s="294" t="str">
        <f t="shared" si="535"/>
        <v>---</v>
      </c>
      <c r="G540" s="294" t="str">
        <f t="shared" si="536"/>
        <v>---</v>
      </c>
      <c r="H540" s="291" t="str">
        <f t="shared" si="537"/>
        <v>---</v>
      </c>
      <c r="I540" s="441" t="str">
        <f t="shared" si="538"/>
        <v>---</v>
      </c>
      <c r="J540" s="441" t="str">
        <f t="shared" si="539"/>
        <v>---</v>
      </c>
      <c r="K540" s="294" t="str">
        <f t="shared" si="540"/>
        <v>---</v>
      </c>
      <c r="L540" s="294" t="str">
        <f t="shared" si="541"/>
        <v>---</v>
      </c>
      <c r="M540" s="291" t="str">
        <f t="shared" si="518"/>
        <v>---</v>
      </c>
      <c r="N540" s="294" t="str">
        <f t="shared" si="542"/>
        <v>---</v>
      </c>
      <c r="O540" s="441" t="str">
        <f t="shared" si="543"/>
        <v>---</v>
      </c>
      <c r="AE540" s="140" t="str">
        <f t="shared" si="544"/>
        <v>---</v>
      </c>
      <c r="AF540" s="140" t="str">
        <f t="shared" si="545"/>
        <v>---</v>
      </c>
      <c r="AG540" s="140">
        <f t="shared" si="519"/>
        <v>999.99</v>
      </c>
      <c r="AH540" s="263">
        <f t="shared" si="546"/>
        <v>0</v>
      </c>
      <c r="AI540" s="140" t="str">
        <f>WORKSHEET_CONSTR!G479</f>
        <v>---</v>
      </c>
      <c r="AJ540" s="140" t="str">
        <f>WORKSHEET_CONSTR!F479</f>
        <v>---</v>
      </c>
      <c r="AK540" s="140">
        <f t="shared" si="520"/>
        <v>999.99</v>
      </c>
      <c r="AL540" s="263">
        <f t="shared" si="547"/>
        <v>0</v>
      </c>
      <c r="AM540" s="267" t="str">
        <f t="shared" si="548"/>
        <v>---</v>
      </c>
      <c r="AN540" s="140" t="str">
        <f t="shared" si="549"/>
        <v>---</v>
      </c>
      <c r="AO540" s="140">
        <f t="shared" si="521"/>
        <v>999.99</v>
      </c>
      <c r="AP540" s="263">
        <f t="shared" si="550"/>
        <v>1</v>
      </c>
      <c r="AQ540" s="140" t="str">
        <f>WORKSHEET_CONSTR!Q226</f>
        <v>---</v>
      </c>
      <c r="AR540" s="140" t="str">
        <f>WORKSHEET_CONSTR!E479</f>
        <v>---</v>
      </c>
      <c r="AS540" s="140">
        <f t="shared" si="522"/>
        <v>999.99</v>
      </c>
      <c r="AT540" s="263">
        <f t="shared" si="551"/>
        <v>1</v>
      </c>
      <c r="AU540" s="140" t="str">
        <f t="shared" si="552"/>
        <v>---</v>
      </c>
      <c r="AV540" s="140" t="str">
        <f t="shared" si="553"/>
        <v>---</v>
      </c>
      <c r="AW540" s="140">
        <f t="shared" si="523"/>
        <v>999.99</v>
      </c>
      <c r="AX540" s="263">
        <f t="shared" si="554"/>
        <v>1</v>
      </c>
      <c r="AY540" s="140" t="str">
        <f>WORKSHEET_CONSTR!R226</f>
        <v>---</v>
      </c>
      <c r="AZ540" s="140" t="str">
        <f>WORKSHEET_CONSTR!C479</f>
        <v>---</v>
      </c>
      <c r="BA540" s="140">
        <f t="shared" si="524"/>
        <v>999.99</v>
      </c>
      <c r="BB540" s="263">
        <f t="shared" si="555"/>
        <v>1</v>
      </c>
      <c r="BC540" s="267" t="str">
        <f t="shared" si="556"/>
        <v>---</v>
      </c>
      <c r="BD540" s="140" t="str">
        <f t="shared" si="557"/>
        <v>---</v>
      </c>
      <c r="BE540" s="140">
        <f t="shared" si="558"/>
        <v>999.99</v>
      </c>
      <c r="BF540" s="263">
        <f t="shared" si="559"/>
        <v>0</v>
      </c>
      <c r="BG540" s="140" t="str">
        <f>WORKSHEET_CONSTR!D537</f>
        <v>---</v>
      </c>
      <c r="BH540" s="140" t="str">
        <f>WORKSHEET_CONSTR!C537</f>
        <v>---</v>
      </c>
      <c r="BI540" s="140">
        <f t="shared" si="560"/>
        <v>999.99</v>
      </c>
      <c r="BJ540" s="263">
        <f t="shared" si="561"/>
        <v>0</v>
      </c>
      <c r="BK540" s="140" t="str">
        <f t="shared" si="562"/>
        <v>---</v>
      </c>
      <c r="BL540" s="140" t="str">
        <f t="shared" si="563"/>
        <v>---</v>
      </c>
      <c r="BM540" s="140">
        <f t="shared" si="525"/>
        <v>999.99</v>
      </c>
      <c r="BN540" s="263">
        <f t="shared" si="564"/>
        <v>1</v>
      </c>
      <c r="BO540" s="140" t="str">
        <f>WORKSHEET_CONSTR!H537</f>
        <v>---</v>
      </c>
      <c r="BP540" s="140" t="str">
        <f>WORKSHEET_CONSTR!F537</f>
        <v>---</v>
      </c>
      <c r="BQ540" s="140">
        <f t="shared" si="526"/>
        <v>999.99</v>
      </c>
      <c r="BR540" s="263">
        <f t="shared" si="565"/>
        <v>1</v>
      </c>
      <c r="BS540" s="267" t="str">
        <f t="shared" si="566"/>
        <v>---</v>
      </c>
      <c r="BT540" s="210" t="str">
        <f t="shared" si="567"/>
        <v>---</v>
      </c>
      <c r="BU540" s="140">
        <f t="shared" si="527"/>
        <v>999.99</v>
      </c>
      <c r="BV540" s="263">
        <f t="shared" si="568"/>
        <v>1</v>
      </c>
      <c r="BW540" s="140" t="str">
        <f>WORKSHEET_CONSTR!K537</f>
        <v>---</v>
      </c>
      <c r="BX540" s="140" t="str">
        <f>WORKSHEET_CONSTR!J537</f>
        <v>---</v>
      </c>
      <c r="BY540" s="140">
        <f t="shared" si="528"/>
        <v>999.99</v>
      </c>
      <c r="BZ540" s="263">
        <f t="shared" si="569"/>
        <v>1</v>
      </c>
      <c r="CA540" s="271" t="str">
        <f t="shared" si="570"/>
        <v>---</v>
      </c>
      <c r="CB540" s="271" t="str">
        <f t="shared" si="571"/>
        <v>---</v>
      </c>
      <c r="CC540" s="140">
        <f t="shared" si="529"/>
        <v>999.99</v>
      </c>
      <c r="CD540" s="263">
        <f t="shared" si="572"/>
        <v>1</v>
      </c>
      <c r="CE540" s="140" t="str">
        <f>WORKSHEET_CONSTR!N537</f>
        <v>---</v>
      </c>
      <c r="CF540" s="140" t="str">
        <f>WORKSHEET_CONSTR!M537</f>
        <v>---</v>
      </c>
      <c r="CG540" s="140">
        <f t="shared" si="530"/>
        <v>999.99</v>
      </c>
      <c r="CH540" s="263">
        <f t="shared" si="573"/>
        <v>1</v>
      </c>
    </row>
    <row r="541" spans="1:86">
      <c r="A541" s="438" t="str">
        <f t="shared" si="574"/>
        <v>---</v>
      </c>
      <c r="B541" s="294" t="str">
        <f t="shared" si="574"/>
        <v>---</v>
      </c>
      <c r="C541" s="296" t="str">
        <f t="shared" si="532"/>
        <v>---</v>
      </c>
      <c r="D541" s="294" t="str">
        <f t="shared" si="533"/>
        <v>---</v>
      </c>
      <c r="E541" s="294" t="str">
        <f t="shared" si="534"/>
        <v>---</v>
      </c>
      <c r="F541" s="294" t="str">
        <f t="shared" si="535"/>
        <v>---</v>
      </c>
      <c r="G541" s="294" t="str">
        <f t="shared" si="536"/>
        <v>---</v>
      </c>
      <c r="H541" s="291" t="str">
        <f t="shared" si="537"/>
        <v>---</v>
      </c>
      <c r="I541" s="441" t="str">
        <f t="shared" si="538"/>
        <v>---</v>
      </c>
      <c r="J541" s="441" t="str">
        <f t="shared" si="539"/>
        <v>---</v>
      </c>
      <c r="K541" s="294" t="str">
        <f t="shared" si="540"/>
        <v>---</v>
      </c>
      <c r="L541" s="294" t="str">
        <f t="shared" si="541"/>
        <v>---</v>
      </c>
      <c r="M541" s="291" t="str">
        <f t="shared" si="518"/>
        <v>---</v>
      </c>
      <c r="N541" s="294" t="str">
        <f t="shared" si="542"/>
        <v>---</v>
      </c>
      <c r="O541" s="441" t="str">
        <f t="shared" si="543"/>
        <v>---</v>
      </c>
      <c r="AE541" s="140" t="str">
        <f t="shared" si="544"/>
        <v>---</v>
      </c>
      <c r="AF541" s="140" t="str">
        <f t="shared" si="545"/>
        <v>---</v>
      </c>
      <c r="AG541" s="140">
        <f t="shared" si="519"/>
        <v>999.99</v>
      </c>
      <c r="AH541" s="263">
        <f t="shared" si="546"/>
        <v>0</v>
      </c>
      <c r="AI541" s="140" t="str">
        <f>WORKSHEET_CONSTR!G480</f>
        <v>---</v>
      </c>
      <c r="AJ541" s="140" t="str">
        <f>WORKSHEET_CONSTR!F480</f>
        <v>---</v>
      </c>
      <c r="AK541" s="140">
        <f t="shared" si="520"/>
        <v>999.99</v>
      </c>
      <c r="AL541" s="263">
        <f t="shared" si="547"/>
        <v>0</v>
      </c>
      <c r="AM541" s="267" t="str">
        <f t="shared" si="548"/>
        <v>---</v>
      </c>
      <c r="AN541" s="140" t="str">
        <f t="shared" si="549"/>
        <v>---</v>
      </c>
      <c r="AO541" s="140">
        <f t="shared" si="521"/>
        <v>999.99</v>
      </c>
      <c r="AP541" s="263">
        <f t="shared" si="550"/>
        <v>1</v>
      </c>
      <c r="AQ541" s="140" t="str">
        <f>WORKSHEET_CONSTR!Q227</f>
        <v>---</v>
      </c>
      <c r="AR541" s="140" t="str">
        <f>WORKSHEET_CONSTR!E480</f>
        <v>---</v>
      </c>
      <c r="AS541" s="140">
        <f t="shared" si="522"/>
        <v>999.99</v>
      </c>
      <c r="AT541" s="263">
        <f t="shared" si="551"/>
        <v>1</v>
      </c>
      <c r="AU541" s="140" t="str">
        <f t="shared" si="552"/>
        <v>---</v>
      </c>
      <c r="AV541" s="140" t="str">
        <f t="shared" si="553"/>
        <v>---</v>
      </c>
      <c r="AW541" s="140">
        <f t="shared" si="523"/>
        <v>999.99</v>
      </c>
      <c r="AX541" s="263">
        <f t="shared" si="554"/>
        <v>1</v>
      </c>
      <c r="AY541" s="140" t="str">
        <f>WORKSHEET_CONSTR!R227</f>
        <v>---</v>
      </c>
      <c r="AZ541" s="140" t="str">
        <f>WORKSHEET_CONSTR!C480</f>
        <v>---</v>
      </c>
      <c r="BA541" s="140">
        <f t="shared" si="524"/>
        <v>999.99</v>
      </c>
      <c r="BB541" s="263">
        <f t="shared" si="555"/>
        <v>1</v>
      </c>
      <c r="BC541" s="267" t="str">
        <f t="shared" si="556"/>
        <v>---</v>
      </c>
      <c r="BD541" s="140" t="str">
        <f t="shared" si="557"/>
        <v>---</v>
      </c>
      <c r="BE541" s="140">
        <f t="shared" si="558"/>
        <v>999.99</v>
      </c>
      <c r="BF541" s="263">
        <f t="shared" si="559"/>
        <v>0</v>
      </c>
      <c r="BG541" s="140" t="str">
        <f>WORKSHEET_CONSTR!D538</f>
        <v>---</v>
      </c>
      <c r="BH541" s="140" t="str">
        <f>WORKSHEET_CONSTR!C538</f>
        <v>---</v>
      </c>
      <c r="BI541" s="140">
        <f t="shared" si="560"/>
        <v>999.99</v>
      </c>
      <c r="BJ541" s="263">
        <f t="shared" si="561"/>
        <v>0</v>
      </c>
      <c r="BK541" s="140" t="str">
        <f t="shared" si="562"/>
        <v>---</v>
      </c>
      <c r="BL541" s="140" t="str">
        <f t="shared" si="563"/>
        <v>---</v>
      </c>
      <c r="BM541" s="140">
        <f t="shared" si="525"/>
        <v>999.99</v>
      </c>
      <c r="BN541" s="263">
        <f t="shared" si="564"/>
        <v>1</v>
      </c>
      <c r="BO541" s="140" t="str">
        <f>WORKSHEET_CONSTR!H538</f>
        <v>---</v>
      </c>
      <c r="BP541" s="140" t="str">
        <f>WORKSHEET_CONSTR!F538</f>
        <v>---</v>
      </c>
      <c r="BQ541" s="140">
        <f t="shared" si="526"/>
        <v>999.99</v>
      </c>
      <c r="BR541" s="263">
        <f t="shared" si="565"/>
        <v>1</v>
      </c>
      <c r="BS541" s="267" t="str">
        <f t="shared" si="566"/>
        <v>---</v>
      </c>
      <c r="BT541" s="210" t="str">
        <f t="shared" si="567"/>
        <v>---</v>
      </c>
      <c r="BU541" s="140">
        <f t="shared" si="527"/>
        <v>999.99</v>
      </c>
      <c r="BV541" s="263">
        <f t="shared" si="568"/>
        <v>1</v>
      </c>
      <c r="BW541" s="140" t="str">
        <f>WORKSHEET_CONSTR!K538</f>
        <v>---</v>
      </c>
      <c r="BX541" s="140" t="str">
        <f>WORKSHEET_CONSTR!J538</f>
        <v>---</v>
      </c>
      <c r="BY541" s="140">
        <f t="shared" si="528"/>
        <v>999.99</v>
      </c>
      <c r="BZ541" s="263">
        <f t="shared" si="569"/>
        <v>1</v>
      </c>
      <c r="CA541" s="271" t="str">
        <f t="shared" si="570"/>
        <v>---</v>
      </c>
      <c r="CB541" s="271" t="str">
        <f t="shared" si="571"/>
        <v>---</v>
      </c>
      <c r="CC541" s="140">
        <f t="shared" si="529"/>
        <v>999.99</v>
      </c>
      <c r="CD541" s="263">
        <f t="shared" si="572"/>
        <v>1</v>
      </c>
      <c r="CE541" s="140" t="str">
        <f>WORKSHEET_CONSTR!N538</f>
        <v>---</v>
      </c>
      <c r="CF541" s="140" t="str">
        <f>WORKSHEET_CONSTR!M538</f>
        <v>---</v>
      </c>
      <c r="CG541" s="140">
        <f t="shared" si="530"/>
        <v>999.99</v>
      </c>
      <c r="CH541" s="263">
        <f t="shared" si="573"/>
        <v>1</v>
      </c>
    </row>
    <row r="542" spans="1:86">
      <c r="A542" s="2"/>
      <c r="B542" s="2"/>
      <c r="N542" s="9"/>
      <c r="O542" s="9"/>
      <c r="P542" s="9"/>
      <c r="Q542" s="9"/>
    </row>
    <row r="544" spans="1:86">
      <c r="A544" s="12" t="s">
        <v>805</v>
      </c>
      <c r="B544" s="12"/>
      <c r="C544" s="35"/>
    </row>
    <row r="545" spans="1:19">
      <c r="C545" s="35"/>
      <c r="L545" s="77"/>
      <c r="Q545" s="37"/>
    </row>
    <row r="546" spans="1:19">
      <c r="C546" s="227" t="s">
        <v>682</v>
      </c>
      <c r="F546" s="214" t="s">
        <v>533</v>
      </c>
      <c r="G546" s="35"/>
      <c r="J546" s="612" t="s">
        <v>689</v>
      </c>
      <c r="K546" s="613"/>
      <c r="L546" s="613"/>
      <c r="M546" s="613"/>
      <c r="N546" s="613"/>
      <c r="O546" s="613"/>
      <c r="P546" s="195" t="s">
        <v>522</v>
      </c>
    </row>
    <row r="547" spans="1:19" ht="15.75">
      <c r="C547" s="227"/>
      <c r="D547" s="196"/>
      <c r="E547" s="196"/>
      <c r="F547" s="224" t="s">
        <v>517</v>
      </c>
      <c r="G547" s="212"/>
      <c r="H547" s="212"/>
      <c r="I547" s="212"/>
      <c r="J547" s="224" t="s">
        <v>496</v>
      </c>
      <c r="K547" s="225"/>
      <c r="L547" s="225"/>
      <c r="M547" s="225" t="s">
        <v>497</v>
      </c>
      <c r="N547" s="225"/>
      <c r="O547" s="225"/>
      <c r="P547" s="223" t="s">
        <v>133</v>
      </c>
      <c r="Q547" s="87" t="s">
        <v>759</v>
      </c>
      <c r="R547" s="198" t="s">
        <v>30</v>
      </c>
    </row>
    <row r="548" spans="1:19" ht="15.75" customHeight="1">
      <c r="A548" s="192" t="s">
        <v>34</v>
      </c>
      <c r="B548" s="192" t="s">
        <v>35</v>
      </c>
      <c r="C548" s="61" t="s">
        <v>40</v>
      </c>
      <c r="D548" s="189" t="s">
        <v>514</v>
      </c>
      <c r="E548" s="197" t="s">
        <v>30</v>
      </c>
      <c r="F548" s="61" t="s">
        <v>40</v>
      </c>
      <c r="G548" s="207" t="s">
        <v>554</v>
      </c>
      <c r="H548" s="19" t="s">
        <v>297</v>
      </c>
      <c r="I548" s="193" t="s">
        <v>30</v>
      </c>
      <c r="J548" s="206" t="s">
        <v>54</v>
      </c>
      <c r="K548" s="207" t="s">
        <v>548</v>
      </c>
      <c r="L548" s="207" t="s">
        <v>30</v>
      </c>
      <c r="M548" s="207" t="s">
        <v>39</v>
      </c>
      <c r="N548" s="207" t="s">
        <v>562</v>
      </c>
      <c r="O548" s="207" t="s">
        <v>30</v>
      </c>
      <c r="P548" s="550" t="s">
        <v>530</v>
      </c>
      <c r="Q548" s="87" t="s">
        <v>760</v>
      </c>
      <c r="R548" s="198" t="s">
        <v>133</v>
      </c>
      <c r="S548" s="102"/>
    </row>
    <row r="549" spans="1:19" ht="15.75">
      <c r="A549" s="191" t="s">
        <v>352</v>
      </c>
      <c r="B549" s="192" t="s">
        <v>42</v>
      </c>
      <c r="C549" s="194" t="s">
        <v>154</v>
      </c>
      <c r="D549" s="189" t="s">
        <v>154</v>
      </c>
      <c r="E549" s="197" t="s">
        <v>514</v>
      </c>
      <c r="F549" s="206" t="s">
        <v>154</v>
      </c>
      <c r="G549" s="207" t="s">
        <v>154</v>
      </c>
      <c r="H549" s="179" t="s">
        <v>154</v>
      </c>
      <c r="I549" s="19" t="s">
        <v>297</v>
      </c>
      <c r="J549" s="206" t="s">
        <v>154</v>
      </c>
      <c r="K549" s="207" t="s">
        <v>154</v>
      </c>
      <c r="L549" s="207" t="s">
        <v>501</v>
      </c>
      <c r="M549" s="207" t="s">
        <v>154</v>
      </c>
      <c r="N549" s="207" t="s">
        <v>154</v>
      </c>
      <c r="O549" s="207" t="s">
        <v>502</v>
      </c>
      <c r="P549" s="223" t="s">
        <v>42</v>
      </c>
      <c r="Q549" s="87" t="s">
        <v>42</v>
      </c>
      <c r="R549" s="213" t="s">
        <v>530</v>
      </c>
    </row>
    <row r="550" spans="1:19">
      <c r="A550" s="438">
        <f t="shared" ref="A550:B550" si="575">A492</f>
        <v>1</v>
      </c>
      <c r="B550" s="294">
        <f t="shared" si="575"/>
        <v>1.5</v>
      </c>
      <c r="C550" s="291">
        <f>F492</f>
        <v>1.3144994721753707</v>
      </c>
      <c r="D550" s="291">
        <f>IF(A550="---","---",IF(Type_Reinf="g","---",INPUT!P111))</f>
        <v>6</v>
      </c>
      <c r="E550" s="441" t="str">
        <f t="shared" ref="E550:E581" si="576">IF(A550="---","---",IF(Type_Reinf="g","---",IF(D550&gt;=C550,"OK","NG!")))</f>
        <v>OK</v>
      </c>
      <c r="F550" s="291">
        <f t="shared" ref="F550:F581" si="577">F492</f>
        <v>1.3144994721753707</v>
      </c>
      <c r="G550" s="291" t="str">
        <f>IF(A550="---","---",IF(Type_Reinf="g",(INPUT!M111+INPUT!N111),"---"))</f>
        <v>---</v>
      </c>
      <c r="H550" s="294" t="str">
        <f>IF(A550="---","---",IF(AND(Geo_Face="y",Geo_Conn="f")=TRUE,"---",IF(Type_Reinf="g",phi_Tensile_Combined*G550*INPUT!L111*I236/MAX(RF_D,1.1),"---")))</f>
        <v>---</v>
      </c>
      <c r="I550" s="441" t="str">
        <f t="shared" ref="I550:I581" si="578">IF(A550="---","---",IF(AND(Geo_Face="y",Geo_Conn="f")=TRUE,"---",IF(Type_Reinf="g",IF(H550&gt;=F550,"OK","NG"),"---")))</f>
        <v>---</v>
      </c>
      <c r="J550" s="291">
        <f t="shared" ref="J550:J581" si="579">E492</f>
        <v>1.2767841550713217</v>
      </c>
      <c r="K550" s="291" t="str">
        <f>IF(A550="---","---",IF(AND(Geo_Face="y",Geo_Conn="f")=TRUE,"---",IF(Type_Reinf="g",IF(Geo_Conn="m",1,0.8)*phi_Tensile_Combined*INPUT!M111*INPUT!L111*I236/MAX(RF_D,1.1),"---")))</f>
        <v>---</v>
      </c>
      <c r="L550" s="441" t="str">
        <f t="shared" ref="L550:L581" si="580">IF(A550="---","---",IF(AND(Geo_Face="y",Geo_Conn="f")=TRUE,"---",IF(Type_Reinf="g",IF(K550&gt;J550,"OK","NG!"),"---")))</f>
        <v>---</v>
      </c>
      <c r="M550" s="290">
        <f t="shared" ref="M550:M581" si="581">C492</f>
        <v>3.7715317104049004E-2</v>
      </c>
      <c r="N550" s="291" t="str">
        <f>IF(A550="---","---",IF(AND(Geo_Face="y",Geo_Conn="f")=TRUE,"---",IF(Type_Reinf="g",IF(Geo_Conn="m",1,0.8)*phi_Tensile_Combined*INPUT!N111*INPUT!L111*RF_CR*I236/MAX(RF_D,1.1),"---")))</f>
        <v>---</v>
      </c>
      <c r="O550" s="441" t="str">
        <f t="shared" ref="O550:O581" si="582">IF(A550="---","---",IF(AND(Geo_Face="y",Geo_Conn="f")=TRUE,"---",IF(Type_Reinf="g",IF(N550&gt;M550,"OK","NG"),"---")))</f>
        <v>---</v>
      </c>
      <c r="P550" s="291" t="str">
        <f>IF(A550="---","---",IF(AND(Geo_Face="y",Geo_Conn="f")=TRUE,INPUT!Q111,"---"))</f>
        <v>---</v>
      </c>
      <c r="Q550" s="291" t="str">
        <f t="shared" ref="Q550:Q581" si="583">IF(A550="---","---",IF(AND(Geo_Face="y",Geo_Conn="f")=TRUE,MAX(3,($M492/(phi_Pullout_Combined*0.8*$R355*alpha*$T355*C_surf_geo*$I236))/2),"---"))</f>
        <v>---</v>
      </c>
      <c r="R550" s="441" t="str">
        <f t="shared" ref="R550:R581" si="584">IF(A550="---","---",IF(AND(Geo_Face="y",Geo_Conn="f")=TRUE,IF(P550&lt;Q550,"NG!","OK"),"---"))</f>
        <v>---</v>
      </c>
      <c r="S550" s="102"/>
    </row>
    <row r="551" spans="1:19">
      <c r="A551" s="438">
        <f t="shared" ref="A551:B551" si="585">A493</f>
        <v>2</v>
      </c>
      <c r="B551" s="294">
        <f t="shared" si="585"/>
        <v>4</v>
      </c>
      <c r="C551" s="291">
        <f t="shared" ref="C551:C599" si="586">F493</f>
        <v>1.2680743460099302</v>
      </c>
      <c r="D551" s="291">
        <f>IF(A551="---","---",IF(Type_Reinf="g","---",INPUT!P112))</f>
        <v>6</v>
      </c>
      <c r="E551" s="441" t="str">
        <f t="shared" si="576"/>
        <v>OK</v>
      </c>
      <c r="F551" s="291">
        <f t="shared" si="577"/>
        <v>1.2680743460099302</v>
      </c>
      <c r="G551" s="291" t="str">
        <f>IF(A551="---","---",IF(Type_Reinf="g",(INPUT!M112+INPUT!N112),"---"))</f>
        <v>---</v>
      </c>
      <c r="H551" s="294" t="str">
        <f>IF(A551="---","---",IF(AND(Geo_Face="y",Geo_Conn="f")=TRUE,"---",IF(Type_Reinf="g",phi_Tensile_Combined*G551*INPUT!L112*I237/MAX(RF_D,1.1),"---")))</f>
        <v>---</v>
      </c>
      <c r="I551" s="441" t="str">
        <f t="shared" si="578"/>
        <v>---</v>
      </c>
      <c r="J551" s="291">
        <f t="shared" si="579"/>
        <v>1.2303590289058812</v>
      </c>
      <c r="K551" s="291" t="str">
        <f>IF(A551="---","---",IF(AND(Geo_Face="y",Geo_Conn="f")=TRUE,"---",IF(Type_Reinf="g",IF(Geo_Conn="m",1,0.8)*phi_Tensile_Combined*INPUT!M112*INPUT!L112*I237/MAX(RF_D,1.1),"---")))</f>
        <v>---</v>
      </c>
      <c r="L551" s="441" t="str">
        <f t="shared" si="580"/>
        <v>---</v>
      </c>
      <c r="M551" s="290">
        <f t="shared" si="581"/>
        <v>3.7715317104049004E-2</v>
      </c>
      <c r="N551" s="291" t="str">
        <f>IF(A551="---","---",IF(AND(Geo_Face="y",Geo_Conn="f")=TRUE,"---",IF(Type_Reinf="g",IF(Geo_Conn="m",1,0.8)*phi_Tensile_Combined*INPUT!N112*INPUT!L112*RF_CR*I237/MAX(RF_D,1.1),"---")))</f>
        <v>---</v>
      </c>
      <c r="O551" s="441" t="str">
        <f t="shared" si="582"/>
        <v>---</v>
      </c>
      <c r="P551" s="291" t="str">
        <f>IF(A551="---","---",IF(AND(Geo_Face="y",Geo_Conn="f")=TRUE,INPUT!Q112,"---"))</f>
        <v>---</v>
      </c>
      <c r="Q551" s="291" t="str">
        <f t="shared" si="583"/>
        <v>---</v>
      </c>
      <c r="R551" s="441" t="str">
        <f t="shared" si="584"/>
        <v>---</v>
      </c>
    </row>
    <row r="552" spans="1:19">
      <c r="A552" s="438">
        <f t="shared" ref="A552:B552" si="587">A494</f>
        <v>3</v>
      </c>
      <c r="B552" s="294">
        <f t="shared" si="587"/>
        <v>6.5</v>
      </c>
      <c r="C552" s="291">
        <f t="shared" si="586"/>
        <v>1.3639889777109224</v>
      </c>
      <c r="D552" s="291">
        <f>IF(A552="---","---",IF(Type_Reinf="g","---",INPUT!P113))</f>
        <v>6</v>
      </c>
      <c r="E552" s="441" t="str">
        <f t="shared" si="576"/>
        <v>OK</v>
      </c>
      <c r="F552" s="291">
        <f t="shared" si="577"/>
        <v>1.3639889777109224</v>
      </c>
      <c r="G552" s="291" t="str">
        <f>IF(A552="---","---",IF(Type_Reinf="g",(INPUT!M113+INPUT!N113),"---"))</f>
        <v>---</v>
      </c>
      <c r="H552" s="294" t="str">
        <f>IF(A552="---","---",IF(AND(Geo_Face="y",Geo_Conn="f")=TRUE,"---",IF(Type_Reinf="g",phi_Tensile_Combined*G552*INPUT!L113*I238/MAX(RF_D,1.1),"---")))</f>
        <v>---</v>
      </c>
      <c r="I552" s="441" t="str">
        <f t="shared" si="578"/>
        <v>---</v>
      </c>
      <c r="J552" s="291">
        <f t="shared" si="579"/>
        <v>1.3262736606068735</v>
      </c>
      <c r="K552" s="291" t="str">
        <f>IF(A552="---","---",IF(AND(Geo_Face="y",Geo_Conn="f")=TRUE,"---",IF(Type_Reinf="g",IF(Geo_Conn="m",1,0.8)*phi_Tensile_Combined*INPUT!M113*INPUT!L113*I238/MAX(RF_D,1.1),"---")))</f>
        <v>---</v>
      </c>
      <c r="L552" s="441" t="str">
        <f t="shared" si="580"/>
        <v>---</v>
      </c>
      <c r="M552" s="290">
        <f t="shared" si="581"/>
        <v>3.7715317104049004E-2</v>
      </c>
      <c r="N552" s="291" t="str">
        <f>IF(A552="---","---",IF(AND(Geo_Face="y",Geo_Conn="f")=TRUE,"---",IF(Type_Reinf="g",IF(Geo_Conn="m",1,0.8)*phi_Tensile_Combined*INPUT!N113*INPUT!L113*RF_CR*I238/MAX(RF_D,1.1),"---")))</f>
        <v>---</v>
      </c>
      <c r="O552" s="441" t="str">
        <f t="shared" si="582"/>
        <v>---</v>
      </c>
      <c r="P552" s="291" t="str">
        <f>IF(A552="---","---",IF(AND(Geo_Face="y",Geo_Conn="f")=TRUE,INPUT!Q113,"---"))</f>
        <v>---</v>
      </c>
      <c r="Q552" s="291" t="str">
        <f t="shared" si="583"/>
        <v>---</v>
      </c>
      <c r="R552" s="441" t="str">
        <f t="shared" si="584"/>
        <v>---</v>
      </c>
    </row>
    <row r="553" spans="1:19">
      <c r="A553" s="438">
        <f t="shared" ref="A553:B553" si="588">A495</f>
        <v>4</v>
      </c>
      <c r="B553" s="294">
        <f t="shared" si="588"/>
        <v>9</v>
      </c>
      <c r="C553" s="291">
        <f t="shared" si="586"/>
        <v>1.4633111658768883</v>
      </c>
      <c r="D553" s="291">
        <f>IF(A553="---","---",IF(Type_Reinf="g","---",INPUT!P114))</f>
        <v>6</v>
      </c>
      <c r="E553" s="441" t="str">
        <f t="shared" si="576"/>
        <v>OK</v>
      </c>
      <c r="F553" s="291">
        <f t="shared" si="577"/>
        <v>1.4633111658768883</v>
      </c>
      <c r="G553" s="291" t="str">
        <f>IF(A553="---","---",IF(Type_Reinf="g",(INPUT!M114+INPUT!N114),"---"))</f>
        <v>---</v>
      </c>
      <c r="H553" s="294" t="str">
        <f>IF(A553="---","---",IF(AND(Geo_Face="y",Geo_Conn="f")=TRUE,"---",IF(Type_Reinf="g",phi_Tensile_Combined*G553*INPUT!L114*I239/MAX(RF_D,1.1),"---")))</f>
        <v>---</v>
      </c>
      <c r="I553" s="441" t="str">
        <f t="shared" si="578"/>
        <v>---</v>
      </c>
      <c r="J553" s="291">
        <f t="shared" si="579"/>
        <v>1.4241788194609528</v>
      </c>
      <c r="K553" s="291" t="str">
        <f>IF(A553="---","---",IF(AND(Geo_Face="y",Geo_Conn="f")=TRUE,"---",IF(Type_Reinf="g",IF(Geo_Conn="m",1,0.8)*phi_Tensile_Combined*INPUT!M114*INPUT!L114*I239/MAX(RF_D,1.1),"---")))</f>
        <v>---</v>
      </c>
      <c r="L553" s="441" t="str">
        <f t="shared" si="580"/>
        <v>---</v>
      </c>
      <c r="M553" s="290">
        <f t="shared" si="581"/>
        <v>3.913234641593534E-2</v>
      </c>
      <c r="N553" s="291" t="str">
        <f>IF(A553="---","---",IF(AND(Geo_Face="y",Geo_Conn="f")=TRUE,"---",IF(Type_Reinf="g",IF(Geo_Conn="m",1,0.8)*phi_Tensile_Combined*INPUT!N114*INPUT!L114*RF_CR*I239/MAX(RF_D,1.1),"---")))</f>
        <v>---</v>
      </c>
      <c r="O553" s="441" t="str">
        <f t="shared" si="582"/>
        <v>---</v>
      </c>
      <c r="P553" s="291" t="str">
        <f>IF(A553="---","---",IF(AND(Geo_Face="y",Geo_Conn="f")=TRUE,INPUT!Q114,"---"))</f>
        <v>---</v>
      </c>
      <c r="Q553" s="291" t="str">
        <f t="shared" si="583"/>
        <v>---</v>
      </c>
      <c r="R553" s="441" t="str">
        <f t="shared" si="584"/>
        <v>---</v>
      </c>
    </row>
    <row r="554" spans="1:19">
      <c r="A554" s="438">
        <f t="shared" ref="A554:B554" si="589">A496</f>
        <v>5</v>
      </c>
      <c r="B554" s="294">
        <f t="shared" si="589"/>
        <v>11.5</v>
      </c>
      <c r="C554" s="291">
        <f t="shared" si="586"/>
        <v>1.5612687247854324</v>
      </c>
      <c r="D554" s="291">
        <f>IF(A554="---","---",IF(Type_Reinf="g","---",INPUT!P115))</f>
        <v>6</v>
      </c>
      <c r="E554" s="441" t="str">
        <f t="shared" si="576"/>
        <v>OK</v>
      </c>
      <c r="F554" s="291">
        <f t="shared" si="577"/>
        <v>1.5612687247854324</v>
      </c>
      <c r="G554" s="291" t="str">
        <f>IF(A554="---","---",IF(Type_Reinf="g",(INPUT!M115+INPUT!N115),"---"))</f>
        <v>---</v>
      </c>
      <c r="H554" s="294" t="str">
        <f>IF(A554="---","---",IF(AND(Geo_Face="y",Geo_Conn="f")=TRUE,"---",IF(Type_Reinf="g",phi_Tensile_Combined*G554*INPUT!L115*I240/MAX(RF_D,1.1),"---")))</f>
        <v>---</v>
      </c>
      <c r="I554" s="441" t="str">
        <f t="shared" si="578"/>
        <v>---</v>
      </c>
      <c r="J554" s="291">
        <f t="shared" si="579"/>
        <v>1.5186461583894815</v>
      </c>
      <c r="K554" s="291" t="str">
        <f>IF(A554="---","---",IF(AND(Geo_Face="y",Geo_Conn="f")=TRUE,"---",IF(Type_Reinf="g",IF(Geo_Conn="m",1,0.8)*phi_Tensile_Combined*INPUT!M115*INPUT!L115*I240/MAX(RF_D,1.1),"---")))</f>
        <v>---</v>
      </c>
      <c r="L554" s="441" t="str">
        <f t="shared" si="580"/>
        <v>---</v>
      </c>
      <c r="M554" s="290">
        <f t="shared" si="581"/>
        <v>4.2622566395950988E-2</v>
      </c>
      <c r="N554" s="291" t="str">
        <f>IF(A554="---","---",IF(AND(Geo_Face="y",Geo_Conn="f")=TRUE,"---",IF(Type_Reinf="g",IF(Geo_Conn="m",1,0.8)*phi_Tensile_Combined*INPUT!N115*INPUT!L115*RF_CR*I240/MAX(RF_D,1.1),"---")))</f>
        <v>---</v>
      </c>
      <c r="O554" s="441" t="str">
        <f t="shared" si="582"/>
        <v>---</v>
      </c>
      <c r="P554" s="291" t="str">
        <f>IF(A554="---","---",IF(AND(Geo_Face="y",Geo_Conn="f")=TRUE,INPUT!Q115,"---"))</f>
        <v>---</v>
      </c>
      <c r="Q554" s="291" t="str">
        <f t="shared" si="583"/>
        <v>---</v>
      </c>
      <c r="R554" s="441" t="str">
        <f t="shared" si="584"/>
        <v>---</v>
      </c>
    </row>
    <row r="555" spans="1:19">
      <c r="A555" s="438">
        <f t="shared" ref="A555:B555" si="590">A497</f>
        <v>6</v>
      </c>
      <c r="B555" s="294">
        <f t="shared" si="590"/>
        <v>14</v>
      </c>
      <c r="C555" s="291">
        <f t="shared" si="586"/>
        <v>2.1325497426136328</v>
      </c>
      <c r="D555" s="291">
        <f>IF(A555="---","---",IF(Type_Reinf="g","---",INPUT!P116))</f>
        <v>6</v>
      </c>
      <c r="E555" s="441" t="str">
        <f t="shared" si="576"/>
        <v>OK</v>
      </c>
      <c r="F555" s="291">
        <f t="shared" si="577"/>
        <v>2.1325497426136328</v>
      </c>
      <c r="G555" s="291" t="str">
        <f>IF(A555="---","---",IF(Type_Reinf="g",(INPUT!M116+INPUT!N116),"---"))</f>
        <v>---</v>
      </c>
      <c r="H555" s="294" t="str">
        <f>IF(A555="---","---",IF(AND(Geo_Face="y",Geo_Conn="f")=TRUE,"---",IF(Type_Reinf="g",phi_Tensile_Combined*G555*INPUT!L116*I241/MAX(RF_D,1.1),"---")))</f>
        <v>---</v>
      </c>
      <c r="I555" s="441" t="str">
        <f t="shared" si="578"/>
        <v>---</v>
      </c>
      <c r="J555" s="291">
        <f t="shared" si="579"/>
        <v>2.0864369562376663</v>
      </c>
      <c r="K555" s="291" t="str">
        <f>IF(A555="---","---",IF(AND(Geo_Face="y",Geo_Conn="f")=TRUE,"---",IF(Type_Reinf="g",IF(Geo_Conn="m",1,0.8)*phi_Tensile_Combined*INPUT!M116*INPUT!L116*I241/MAX(RF_D,1.1),"---")))</f>
        <v>---</v>
      </c>
      <c r="L555" s="441" t="str">
        <f t="shared" si="580"/>
        <v>---</v>
      </c>
      <c r="M555" s="290">
        <f t="shared" si="581"/>
        <v>4.6112786375966629E-2</v>
      </c>
      <c r="N555" s="291" t="str">
        <f>IF(A555="---","---",IF(AND(Geo_Face="y",Geo_Conn="f")=TRUE,"---",IF(Type_Reinf="g",IF(Geo_Conn="m",1,0.8)*phi_Tensile_Combined*INPUT!N116*INPUT!L116*RF_CR*I241/MAX(RF_D,1.1),"---")))</f>
        <v>---</v>
      </c>
      <c r="O555" s="441" t="str">
        <f t="shared" si="582"/>
        <v>---</v>
      </c>
      <c r="P555" s="291" t="str">
        <f>IF(A555="---","---",IF(AND(Geo_Face="y",Geo_Conn="f")=TRUE,INPUT!Q116,"---"))</f>
        <v>---</v>
      </c>
      <c r="Q555" s="291" t="str">
        <f t="shared" si="583"/>
        <v>---</v>
      </c>
      <c r="R555" s="441" t="str">
        <f t="shared" si="584"/>
        <v>---</v>
      </c>
    </row>
    <row r="556" spans="1:19">
      <c r="A556" s="438" t="str">
        <f t="shared" ref="A556:B556" si="591">A498</f>
        <v>---</v>
      </c>
      <c r="B556" s="294" t="str">
        <f t="shared" si="591"/>
        <v>---</v>
      </c>
      <c r="C556" s="291" t="str">
        <f t="shared" si="586"/>
        <v>---</v>
      </c>
      <c r="D556" s="291" t="str">
        <f>IF(A556="---","---",IF(Type_Reinf="g","---",INPUT!P117))</f>
        <v>---</v>
      </c>
      <c r="E556" s="441" t="str">
        <f t="shared" si="576"/>
        <v>---</v>
      </c>
      <c r="F556" s="291" t="str">
        <f t="shared" si="577"/>
        <v>---</v>
      </c>
      <c r="G556" s="291" t="str">
        <f>IF(A556="---","---",IF(Type_Reinf="g",(INPUT!M117+INPUT!N117),"---"))</f>
        <v>---</v>
      </c>
      <c r="H556" s="294" t="str">
        <f>IF(A556="---","---",IF(AND(Geo_Face="y",Geo_Conn="f")=TRUE,"---",IF(Type_Reinf="g",phi_Tensile_Combined*G556*INPUT!L117*I242/MAX(RF_D,1.1),"---")))</f>
        <v>---</v>
      </c>
      <c r="I556" s="441" t="str">
        <f t="shared" si="578"/>
        <v>---</v>
      </c>
      <c r="J556" s="291" t="str">
        <f t="shared" si="579"/>
        <v>---</v>
      </c>
      <c r="K556" s="291" t="str">
        <f>IF(A556="---","---",IF(AND(Geo_Face="y",Geo_Conn="f")=TRUE,"---",IF(Type_Reinf="g",IF(Geo_Conn="m",1,0.8)*phi_Tensile_Combined*INPUT!M117*INPUT!L117*I242/MAX(RF_D,1.1),"---")))</f>
        <v>---</v>
      </c>
      <c r="L556" s="441" t="str">
        <f t="shared" si="580"/>
        <v>---</v>
      </c>
      <c r="M556" s="290" t="str">
        <f t="shared" si="581"/>
        <v>---</v>
      </c>
      <c r="N556" s="291" t="str">
        <f>IF(A556="---","---",IF(AND(Geo_Face="y",Geo_Conn="f")=TRUE,"---",IF(Type_Reinf="g",IF(Geo_Conn="m",1,0.8)*phi_Tensile_Combined*INPUT!N117*INPUT!L117*RF_CR*I242/MAX(RF_D,1.1),"---")))</f>
        <v>---</v>
      </c>
      <c r="O556" s="441" t="str">
        <f t="shared" si="582"/>
        <v>---</v>
      </c>
      <c r="P556" s="291" t="str">
        <f>IF(A556="---","---",IF(AND(Geo_Face="y",Geo_Conn="f")=TRUE,INPUT!Q117,"---"))</f>
        <v>---</v>
      </c>
      <c r="Q556" s="291" t="str">
        <f t="shared" si="583"/>
        <v>---</v>
      </c>
      <c r="R556" s="441" t="str">
        <f t="shared" si="584"/>
        <v>---</v>
      </c>
    </row>
    <row r="557" spans="1:19">
      <c r="A557" s="438" t="str">
        <f t="shared" ref="A557:B557" si="592">A499</f>
        <v>---</v>
      </c>
      <c r="B557" s="294" t="str">
        <f t="shared" si="592"/>
        <v>---</v>
      </c>
      <c r="C557" s="291" t="str">
        <f t="shared" si="586"/>
        <v>---</v>
      </c>
      <c r="D557" s="291" t="str">
        <f>IF(A557="---","---",IF(Type_Reinf="g","---",INPUT!P118))</f>
        <v>---</v>
      </c>
      <c r="E557" s="441" t="str">
        <f t="shared" si="576"/>
        <v>---</v>
      </c>
      <c r="F557" s="291" t="str">
        <f t="shared" si="577"/>
        <v>---</v>
      </c>
      <c r="G557" s="291" t="str">
        <f>IF(A557="---","---",IF(Type_Reinf="g",(INPUT!M118+INPUT!N118),"---"))</f>
        <v>---</v>
      </c>
      <c r="H557" s="294" t="str">
        <f>IF(A557="---","---",IF(AND(Geo_Face="y",Geo_Conn="f")=TRUE,"---",IF(Type_Reinf="g",phi_Tensile_Combined*G557*INPUT!L118*I243/MAX(RF_D,1.1),"---")))</f>
        <v>---</v>
      </c>
      <c r="I557" s="441" t="str">
        <f t="shared" si="578"/>
        <v>---</v>
      </c>
      <c r="J557" s="291" t="str">
        <f t="shared" si="579"/>
        <v>---</v>
      </c>
      <c r="K557" s="291" t="str">
        <f>IF(A557="---","---",IF(AND(Geo_Face="y",Geo_Conn="f")=TRUE,"---",IF(Type_Reinf="g",IF(Geo_Conn="m",1,0.8)*phi_Tensile_Combined*INPUT!M118*INPUT!L118*I243/MAX(RF_D,1.1),"---")))</f>
        <v>---</v>
      </c>
      <c r="L557" s="441" t="str">
        <f t="shared" si="580"/>
        <v>---</v>
      </c>
      <c r="M557" s="290" t="str">
        <f t="shared" si="581"/>
        <v>---</v>
      </c>
      <c r="N557" s="291" t="str">
        <f>IF(A557="---","---",IF(AND(Geo_Face="y",Geo_Conn="f")=TRUE,"---",IF(Type_Reinf="g",IF(Geo_Conn="m",1,0.8)*phi_Tensile_Combined*INPUT!N118*INPUT!L118*RF_CR*I243/MAX(RF_D,1.1),"---")))</f>
        <v>---</v>
      </c>
      <c r="O557" s="441" t="str">
        <f t="shared" si="582"/>
        <v>---</v>
      </c>
      <c r="P557" s="291" t="str">
        <f>IF(A557="---","---",IF(AND(Geo_Face="y",Geo_Conn="f")=TRUE,INPUT!Q118,"---"))</f>
        <v>---</v>
      </c>
      <c r="Q557" s="291" t="str">
        <f t="shared" si="583"/>
        <v>---</v>
      </c>
      <c r="R557" s="441" t="str">
        <f t="shared" si="584"/>
        <v>---</v>
      </c>
    </row>
    <row r="558" spans="1:19">
      <c r="A558" s="438" t="str">
        <f t="shared" ref="A558:B558" si="593">A500</f>
        <v>---</v>
      </c>
      <c r="B558" s="294" t="str">
        <f t="shared" si="593"/>
        <v>---</v>
      </c>
      <c r="C558" s="291" t="str">
        <f t="shared" si="586"/>
        <v>---</v>
      </c>
      <c r="D558" s="291" t="str">
        <f>IF(A558="---","---",IF(Type_Reinf="g","---",INPUT!P119))</f>
        <v>---</v>
      </c>
      <c r="E558" s="441" t="str">
        <f t="shared" si="576"/>
        <v>---</v>
      </c>
      <c r="F558" s="291" t="str">
        <f t="shared" si="577"/>
        <v>---</v>
      </c>
      <c r="G558" s="291" t="str">
        <f>IF(A558="---","---",IF(Type_Reinf="g",(INPUT!M119+INPUT!N119),"---"))</f>
        <v>---</v>
      </c>
      <c r="H558" s="294" t="str">
        <f>IF(A558="---","---",IF(AND(Geo_Face="y",Geo_Conn="f")=TRUE,"---",IF(Type_Reinf="g",phi_Tensile_Combined*G558*INPUT!L119*I244/MAX(RF_D,1.1),"---")))</f>
        <v>---</v>
      </c>
      <c r="I558" s="441" t="str">
        <f t="shared" si="578"/>
        <v>---</v>
      </c>
      <c r="J558" s="291" t="str">
        <f t="shared" si="579"/>
        <v>---</v>
      </c>
      <c r="K558" s="291" t="str">
        <f>IF(A558="---","---",IF(AND(Geo_Face="y",Geo_Conn="f")=TRUE,"---",IF(Type_Reinf="g",IF(Geo_Conn="m",1,0.8)*phi_Tensile_Combined*INPUT!M119*INPUT!L119*I244/MAX(RF_D,1.1),"---")))</f>
        <v>---</v>
      </c>
      <c r="L558" s="441" t="str">
        <f t="shared" si="580"/>
        <v>---</v>
      </c>
      <c r="M558" s="290" t="str">
        <f t="shared" si="581"/>
        <v>---</v>
      </c>
      <c r="N558" s="291" t="str">
        <f>IF(A558="---","---",IF(AND(Geo_Face="y",Geo_Conn="f")=TRUE,"---",IF(Type_Reinf="g",IF(Geo_Conn="m",1,0.8)*phi_Tensile_Combined*INPUT!N119*INPUT!L119*RF_CR*I244/MAX(RF_D,1.1),"---")))</f>
        <v>---</v>
      </c>
      <c r="O558" s="441" t="str">
        <f t="shared" si="582"/>
        <v>---</v>
      </c>
      <c r="P558" s="291" t="str">
        <f>IF(A558="---","---",IF(AND(Geo_Face="y",Geo_Conn="f")=TRUE,INPUT!Q119,"---"))</f>
        <v>---</v>
      </c>
      <c r="Q558" s="291" t="str">
        <f t="shared" si="583"/>
        <v>---</v>
      </c>
      <c r="R558" s="441" t="str">
        <f t="shared" si="584"/>
        <v>---</v>
      </c>
    </row>
    <row r="559" spans="1:19">
      <c r="A559" s="438" t="str">
        <f t="shared" ref="A559:B559" si="594">A501</f>
        <v>---</v>
      </c>
      <c r="B559" s="294" t="str">
        <f t="shared" si="594"/>
        <v>---</v>
      </c>
      <c r="C559" s="291" t="str">
        <f t="shared" si="586"/>
        <v>---</v>
      </c>
      <c r="D559" s="291" t="str">
        <f>IF(A559="---","---",IF(Type_Reinf="g","---",INPUT!P120))</f>
        <v>---</v>
      </c>
      <c r="E559" s="441" t="str">
        <f t="shared" si="576"/>
        <v>---</v>
      </c>
      <c r="F559" s="291" t="str">
        <f t="shared" si="577"/>
        <v>---</v>
      </c>
      <c r="G559" s="291" t="str">
        <f>IF(A559="---","---",IF(Type_Reinf="g",(INPUT!M120+INPUT!N120),"---"))</f>
        <v>---</v>
      </c>
      <c r="H559" s="294" t="str">
        <f>IF(A559="---","---",IF(AND(Geo_Face="y",Geo_Conn="f")=TRUE,"---",IF(Type_Reinf="g",phi_Tensile_Combined*G559*INPUT!L120*I245/MAX(RF_D,1.1),"---")))</f>
        <v>---</v>
      </c>
      <c r="I559" s="441" t="str">
        <f t="shared" si="578"/>
        <v>---</v>
      </c>
      <c r="J559" s="291" t="str">
        <f t="shared" si="579"/>
        <v>---</v>
      </c>
      <c r="K559" s="291" t="str">
        <f>IF(A559="---","---",IF(AND(Geo_Face="y",Geo_Conn="f")=TRUE,"---",IF(Type_Reinf="g",IF(Geo_Conn="m",1,0.8)*phi_Tensile_Combined*INPUT!M120*INPUT!L120*I245/MAX(RF_D,1.1),"---")))</f>
        <v>---</v>
      </c>
      <c r="L559" s="441" t="str">
        <f t="shared" si="580"/>
        <v>---</v>
      </c>
      <c r="M559" s="290" t="str">
        <f t="shared" si="581"/>
        <v>---</v>
      </c>
      <c r="N559" s="291" t="str">
        <f>IF(A559="---","---",IF(AND(Geo_Face="y",Geo_Conn="f")=TRUE,"---",IF(Type_Reinf="g",IF(Geo_Conn="m",1,0.8)*phi_Tensile_Combined*INPUT!N120*INPUT!L120*RF_CR*I245/MAX(RF_D,1.1),"---")))</f>
        <v>---</v>
      </c>
      <c r="O559" s="441" t="str">
        <f t="shared" si="582"/>
        <v>---</v>
      </c>
      <c r="P559" s="291" t="str">
        <f>IF(A559="---","---",IF(AND(Geo_Face="y",Geo_Conn="f")=TRUE,INPUT!Q120,"---"))</f>
        <v>---</v>
      </c>
      <c r="Q559" s="291" t="str">
        <f t="shared" si="583"/>
        <v>---</v>
      </c>
      <c r="R559" s="441" t="str">
        <f t="shared" si="584"/>
        <v>---</v>
      </c>
    </row>
    <row r="560" spans="1:19">
      <c r="A560" s="438" t="str">
        <f t="shared" ref="A560:B560" si="595">A502</f>
        <v>---</v>
      </c>
      <c r="B560" s="294" t="str">
        <f t="shared" si="595"/>
        <v>---</v>
      </c>
      <c r="C560" s="291" t="str">
        <f t="shared" si="586"/>
        <v>---</v>
      </c>
      <c r="D560" s="291" t="str">
        <f>IF(A560="---","---",IF(Type_Reinf="g","---",INPUT!P121))</f>
        <v>---</v>
      </c>
      <c r="E560" s="441" t="str">
        <f t="shared" si="576"/>
        <v>---</v>
      </c>
      <c r="F560" s="291" t="str">
        <f t="shared" si="577"/>
        <v>---</v>
      </c>
      <c r="G560" s="291" t="str">
        <f>IF(A560="---","---",IF(Type_Reinf="g",(INPUT!M121+INPUT!N121),"---"))</f>
        <v>---</v>
      </c>
      <c r="H560" s="294" t="str">
        <f>IF(A560="---","---",IF(AND(Geo_Face="y",Geo_Conn="f")=TRUE,"---",IF(Type_Reinf="g",phi_Tensile_Combined*G560*INPUT!L121*I246/MAX(RF_D,1.1),"---")))</f>
        <v>---</v>
      </c>
      <c r="I560" s="441" t="str">
        <f t="shared" si="578"/>
        <v>---</v>
      </c>
      <c r="J560" s="291" t="str">
        <f t="shared" si="579"/>
        <v>---</v>
      </c>
      <c r="K560" s="291" t="str">
        <f>IF(A560="---","---",IF(AND(Geo_Face="y",Geo_Conn="f")=TRUE,"---",IF(Type_Reinf="g",IF(Geo_Conn="m",1,0.8)*phi_Tensile_Combined*INPUT!M121*INPUT!L121*I246/MAX(RF_D,1.1),"---")))</f>
        <v>---</v>
      </c>
      <c r="L560" s="441" t="str">
        <f t="shared" si="580"/>
        <v>---</v>
      </c>
      <c r="M560" s="290" t="str">
        <f t="shared" si="581"/>
        <v>---</v>
      </c>
      <c r="N560" s="291" t="str">
        <f>IF(A560="---","---",IF(AND(Geo_Face="y",Geo_Conn="f")=TRUE,"---",IF(Type_Reinf="g",IF(Geo_Conn="m",1,0.8)*phi_Tensile_Combined*INPUT!N121*INPUT!L121*RF_CR*I246/MAX(RF_D,1.1),"---")))</f>
        <v>---</v>
      </c>
      <c r="O560" s="441" t="str">
        <f t="shared" si="582"/>
        <v>---</v>
      </c>
      <c r="P560" s="291" t="str">
        <f>IF(A560="---","---",IF(AND(Geo_Face="y",Geo_Conn="f")=TRUE,INPUT!Q121,"---"))</f>
        <v>---</v>
      </c>
      <c r="Q560" s="291" t="str">
        <f t="shared" si="583"/>
        <v>---</v>
      </c>
      <c r="R560" s="441" t="str">
        <f t="shared" si="584"/>
        <v>---</v>
      </c>
    </row>
    <row r="561" spans="1:18">
      <c r="A561" s="438" t="str">
        <f t="shared" ref="A561:B561" si="596">A503</f>
        <v>---</v>
      </c>
      <c r="B561" s="294" t="str">
        <f t="shared" si="596"/>
        <v>---</v>
      </c>
      <c r="C561" s="291" t="str">
        <f t="shared" si="586"/>
        <v>---</v>
      </c>
      <c r="D561" s="291" t="str">
        <f>IF(A561="---","---",IF(Type_Reinf="g","---",INPUT!P122))</f>
        <v>---</v>
      </c>
      <c r="E561" s="441" t="str">
        <f t="shared" si="576"/>
        <v>---</v>
      </c>
      <c r="F561" s="291" t="str">
        <f t="shared" si="577"/>
        <v>---</v>
      </c>
      <c r="G561" s="291" t="str">
        <f>IF(A561="---","---",IF(Type_Reinf="g",(INPUT!M122+INPUT!N122),"---"))</f>
        <v>---</v>
      </c>
      <c r="H561" s="294" t="str">
        <f>IF(A561="---","---",IF(AND(Geo_Face="y",Geo_Conn="f")=TRUE,"---",IF(Type_Reinf="g",phi_Tensile_Combined*G561*INPUT!L122*I247/MAX(RF_D,1.1),"---")))</f>
        <v>---</v>
      </c>
      <c r="I561" s="441" t="str">
        <f t="shared" si="578"/>
        <v>---</v>
      </c>
      <c r="J561" s="291" t="str">
        <f t="shared" si="579"/>
        <v>---</v>
      </c>
      <c r="K561" s="291" t="str">
        <f>IF(A561="---","---",IF(AND(Geo_Face="y",Geo_Conn="f")=TRUE,"---",IF(Type_Reinf="g",IF(Geo_Conn="m",1,0.8)*phi_Tensile_Combined*INPUT!M122*INPUT!L122*I247/MAX(RF_D,1.1),"---")))</f>
        <v>---</v>
      </c>
      <c r="L561" s="441" t="str">
        <f t="shared" si="580"/>
        <v>---</v>
      </c>
      <c r="M561" s="290" t="str">
        <f t="shared" si="581"/>
        <v>---</v>
      </c>
      <c r="N561" s="291" t="str">
        <f>IF(A561="---","---",IF(AND(Geo_Face="y",Geo_Conn="f")=TRUE,"---",IF(Type_Reinf="g",IF(Geo_Conn="m",1,0.8)*phi_Tensile_Combined*INPUT!N122*INPUT!L122*RF_CR*I247/MAX(RF_D,1.1),"---")))</f>
        <v>---</v>
      </c>
      <c r="O561" s="441" t="str">
        <f t="shared" si="582"/>
        <v>---</v>
      </c>
      <c r="P561" s="291" t="str">
        <f>IF(A561="---","---",IF(AND(Geo_Face="y",Geo_Conn="f")=TRUE,INPUT!Q122,"---"))</f>
        <v>---</v>
      </c>
      <c r="Q561" s="291" t="str">
        <f t="shared" si="583"/>
        <v>---</v>
      </c>
      <c r="R561" s="441" t="str">
        <f t="shared" si="584"/>
        <v>---</v>
      </c>
    </row>
    <row r="562" spans="1:18">
      <c r="A562" s="438" t="str">
        <f t="shared" ref="A562:B562" si="597">A504</f>
        <v>---</v>
      </c>
      <c r="B562" s="294" t="str">
        <f t="shared" si="597"/>
        <v>---</v>
      </c>
      <c r="C562" s="291" t="str">
        <f t="shared" si="586"/>
        <v>---</v>
      </c>
      <c r="D562" s="291" t="str">
        <f>IF(A562="---","---",IF(Type_Reinf="g","---",INPUT!P123))</f>
        <v>---</v>
      </c>
      <c r="E562" s="441" t="str">
        <f t="shared" si="576"/>
        <v>---</v>
      </c>
      <c r="F562" s="291" t="str">
        <f t="shared" si="577"/>
        <v>---</v>
      </c>
      <c r="G562" s="291" t="str">
        <f>IF(A562="---","---",IF(Type_Reinf="g",(INPUT!M123+INPUT!N123),"---"))</f>
        <v>---</v>
      </c>
      <c r="H562" s="294" t="str">
        <f>IF(A562="---","---",IF(AND(Geo_Face="y",Geo_Conn="f")=TRUE,"---",IF(Type_Reinf="g",phi_Tensile_Combined*G562*INPUT!L123*I248/MAX(RF_D,1.1),"---")))</f>
        <v>---</v>
      </c>
      <c r="I562" s="441" t="str">
        <f t="shared" si="578"/>
        <v>---</v>
      </c>
      <c r="J562" s="291" t="str">
        <f t="shared" si="579"/>
        <v>---</v>
      </c>
      <c r="K562" s="291" t="str">
        <f>IF(A562="---","---",IF(AND(Geo_Face="y",Geo_Conn="f")=TRUE,"---",IF(Type_Reinf="g",IF(Geo_Conn="m",1,0.8)*phi_Tensile_Combined*INPUT!M123*INPUT!L123*I248/MAX(RF_D,1.1),"---")))</f>
        <v>---</v>
      </c>
      <c r="L562" s="441" t="str">
        <f t="shared" si="580"/>
        <v>---</v>
      </c>
      <c r="M562" s="290" t="str">
        <f t="shared" si="581"/>
        <v>---</v>
      </c>
      <c r="N562" s="291" t="str">
        <f>IF(A562="---","---",IF(AND(Geo_Face="y",Geo_Conn="f")=TRUE,"---",IF(Type_Reinf="g",IF(Geo_Conn="m",1,0.8)*phi_Tensile_Combined*INPUT!N123*INPUT!L123*RF_CR*I248/MAX(RF_D,1.1),"---")))</f>
        <v>---</v>
      </c>
      <c r="O562" s="441" t="str">
        <f t="shared" si="582"/>
        <v>---</v>
      </c>
      <c r="P562" s="291" t="str">
        <f>IF(A562="---","---",IF(AND(Geo_Face="y",Geo_Conn="f")=TRUE,INPUT!Q123,"---"))</f>
        <v>---</v>
      </c>
      <c r="Q562" s="291" t="str">
        <f t="shared" si="583"/>
        <v>---</v>
      </c>
      <c r="R562" s="441" t="str">
        <f t="shared" si="584"/>
        <v>---</v>
      </c>
    </row>
    <row r="563" spans="1:18">
      <c r="A563" s="438" t="str">
        <f t="shared" ref="A563:B563" si="598">A505</f>
        <v>---</v>
      </c>
      <c r="B563" s="294" t="str">
        <f t="shared" si="598"/>
        <v>---</v>
      </c>
      <c r="C563" s="291" t="str">
        <f t="shared" si="586"/>
        <v>---</v>
      </c>
      <c r="D563" s="291" t="str">
        <f>IF(A563="---","---",IF(Type_Reinf="g","---",INPUT!P124))</f>
        <v>---</v>
      </c>
      <c r="E563" s="441" t="str">
        <f t="shared" si="576"/>
        <v>---</v>
      </c>
      <c r="F563" s="291" t="str">
        <f t="shared" si="577"/>
        <v>---</v>
      </c>
      <c r="G563" s="291" t="str">
        <f>IF(A563="---","---",IF(Type_Reinf="g",(INPUT!M124+INPUT!N124),"---"))</f>
        <v>---</v>
      </c>
      <c r="H563" s="294" t="str">
        <f>IF(A563="---","---",IF(AND(Geo_Face="y",Geo_Conn="f")=TRUE,"---",IF(Type_Reinf="g",phi_Tensile_Combined*G563*INPUT!L124*I249/MAX(RF_D,1.1),"---")))</f>
        <v>---</v>
      </c>
      <c r="I563" s="441" t="str">
        <f t="shared" si="578"/>
        <v>---</v>
      </c>
      <c r="J563" s="291" t="str">
        <f t="shared" si="579"/>
        <v>---</v>
      </c>
      <c r="K563" s="291" t="str">
        <f>IF(A563="---","---",IF(AND(Geo_Face="y",Geo_Conn="f")=TRUE,"---",IF(Type_Reinf="g",IF(Geo_Conn="m",1,0.8)*phi_Tensile_Combined*INPUT!M124*INPUT!L124*I249/MAX(RF_D,1.1),"---")))</f>
        <v>---</v>
      </c>
      <c r="L563" s="441" t="str">
        <f t="shared" si="580"/>
        <v>---</v>
      </c>
      <c r="M563" s="290" t="str">
        <f t="shared" si="581"/>
        <v>---</v>
      </c>
      <c r="N563" s="291" t="str">
        <f>IF(A563="---","---",IF(AND(Geo_Face="y",Geo_Conn="f")=TRUE,"---",IF(Type_Reinf="g",IF(Geo_Conn="m",1,0.8)*phi_Tensile_Combined*INPUT!N124*INPUT!L124*RF_CR*I249/MAX(RF_D,1.1),"---")))</f>
        <v>---</v>
      </c>
      <c r="O563" s="441" t="str">
        <f t="shared" si="582"/>
        <v>---</v>
      </c>
      <c r="P563" s="291" t="str">
        <f>IF(A563="---","---",IF(AND(Geo_Face="y",Geo_Conn="f")=TRUE,INPUT!Q124,"---"))</f>
        <v>---</v>
      </c>
      <c r="Q563" s="291" t="str">
        <f t="shared" si="583"/>
        <v>---</v>
      </c>
      <c r="R563" s="441" t="str">
        <f t="shared" si="584"/>
        <v>---</v>
      </c>
    </row>
    <row r="564" spans="1:18">
      <c r="A564" s="438" t="str">
        <f t="shared" ref="A564:B564" si="599">A506</f>
        <v>---</v>
      </c>
      <c r="B564" s="294" t="str">
        <f t="shared" si="599"/>
        <v>---</v>
      </c>
      <c r="C564" s="291" t="str">
        <f t="shared" si="586"/>
        <v>---</v>
      </c>
      <c r="D564" s="291" t="str">
        <f>IF(A564="---","---",IF(Type_Reinf="g","---",INPUT!P125))</f>
        <v>---</v>
      </c>
      <c r="E564" s="441" t="str">
        <f t="shared" si="576"/>
        <v>---</v>
      </c>
      <c r="F564" s="291" t="str">
        <f t="shared" si="577"/>
        <v>---</v>
      </c>
      <c r="G564" s="291" t="str">
        <f>IF(A564="---","---",IF(Type_Reinf="g",(INPUT!M125+INPUT!N125),"---"))</f>
        <v>---</v>
      </c>
      <c r="H564" s="294" t="str">
        <f>IF(A564="---","---",IF(AND(Geo_Face="y",Geo_Conn="f")=TRUE,"---",IF(Type_Reinf="g",phi_Tensile_Combined*G564*INPUT!L125*I250/MAX(RF_D,1.1),"---")))</f>
        <v>---</v>
      </c>
      <c r="I564" s="441" t="str">
        <f t="shared" si="578"/>
        <v>---</v>
      </c>
      <c r="J564" s="291" t="str">
        <f t="shared" si="579"/>
        <v>---</v>
      </c>
      <c r="K564" s="291" t="str">
        <f>IF(A564="---","---",IF(AND(Geo_Face="y",Geo_Conn="f")=TRUE,"---",IF(Type_Reinf="g",IF(Geo_Conn="m",1,0.8)*phi_Tensile_Combined*INPUT!M125*INPUT!L125*I250/MAX(RF_D,1.1),"---")))</f>
        <v>---</v>
      </c>
      <c r="L564" s="441" t="str">
        <f t="shared" si="580"/>
        <v>---</v>
      </c>
      <c r="M564" s="290" t="str">
        <f t="shared" si="581"/>
        <v>---</v>
      </c>
      <c r="N564" s="291" t="str">
        <f>IF(A564="---","---",IF(AND(Geo_Face="y",Geo_Conn="f")=TRUE,"---",IF(Type_Reinf="g",IF(Geo_Conn="m",1,0.8)*phi_Tensile_Combined*INPUT!N125*INPUT!L125*RF_CR*I250/MAX(RF_D,1.1),"---")))</f>
        <v>---</v>
      </c>
      <c r="O564" s="441" t="str">
        <f t="shared" si="582"/>
        <v>---</v>
      </c>
      <c r="P564" s="291" t="str">
        <f>IF(A564="---","---",IF(AND(Geo_Face="y",Geo_Conn="f")=TRUE,INPUT!Q125,"---"))</f>
        <v>---</v>
      </c>
      <c r="Q564" s="291" t="str">
        <f t="shared" si="583"/>
        <v>---</v>
      </c>
      <c r="R564" s="441" t="str">
        <f t="shared" si="584"/>
        <v>---</v>
      </c>
    </row>
    <row r="565" spans="1:18">
      <c r="A565" s="438" t="str">
        <f t="shared" ref="A565:B565" si="600">A507</f>
        <v>---</v>
      </c>
      <c r="B565" s="294" t="str">
        <f t="shared" si="600"/>
        <v>---</v>
      </c>
      <c r="C565" s="291" t="str">
        <f t="shared" si="586"/>
        <v>---</v>
      </c>
      <c r="D565" s="291" t="str">
        <f>IF(A565="---","---",IF(Type_Reinf="g","---",INPUT!P126))</f>
        <v>---</v>
      </c>
      <c r="E565" s="441" t="str">
        <f t="shared" si="576"/>
        <v>---</v>
      </c>
      <c r="F565" s="291" t="str">
        <f t="shared" si="577"/>
        <v>---</v>
      </c>
      <c r="G565" s="291" t="str">
        <f>IF(A565="---","---",IF(Type_Reinf="g",(INPUT!M126+INPUT!N126),"---"))</f>
        <v>---</v>
      </c>
      <c r="H565" s="294" t="str">
        <f>IF(A565="---","---",IF(AND(Geo_Face="y",Geo_Conn="f")=TRUE,"---",IF(Type_Reinf="g",phi_Tensile_Combined*G565*INPUT!L126*I251/MAX(RF_D,1.1),"---")))</f>
        <v>---</v>
      </c>
      <c r="I565" s="441" t="str">
        <f t="shared" si="578"/>
        <v>---</v>
      </c>
      <c r="J565" s="291" t="str">
        <f t="shared" si="579"/>
        <v>---</v>
      </c>
      <c r="K565" s="291" t="str">
        <f>IF(A565="---","---",IF(AND(Geo_Face="y",Geo_Conn="f")=TRUE,"---",IF(Type_Reinf="g",IF(Geo_Conn="m",1,0.8)*phi_Tensile_Combined*INPUT!M126*INPUT!L126*I251/MAX(RF_D,1.1),"---")))</f>
        <v>---</v>
      </c>
      <c r="L565" s="441" t="str">
        <f t="shared" si="580"/>
        <v>---</v>
      </c>
      <c r="M565" s="290" t="str">
        <f t="shared" si="581"/>
        <v>---</v>
      </c>
      <c r="N565" s="291" t="str">
        <f>IF(A565="---","---",IF(AND(Geo_Face="y",Geo_Conn="f")=TRUE,"---",IF(Type_Reinf="g",IF(Geo_Conn="m",1,0.8)*phi_Tensile_Combined*INPUT!N126*INPUT!L126*RF_CR*I251/MAX(RF_D,1.1),"---")))</f>
        <v>---</v>
      </c>
      <c r="O565" s="441" t="str">
        <f t="shared" si="582"/>
        <v>---</v>
      </c>
      <c r="P565" s="291" t="str">
        <f>IF(A565="---","---",IF(AND(Geo_Face="y",Geo_Conn="f")=TRUE,INPUT!Q126,"---"))</f>
        <v>---</v>
      </c>
      <c r="Q565" s="291" t="str">
        <f t="shared" si="583"/>
        <v>---</v>
      </c>
      <c r="R565" s="441" t="str">
        <f t="shared" si="584"/>
        <v>---</v>
      </c>
    </row>
    <row r="566" spans="1:18">
      <c r="A566" s="438" t="str">
        <f t="shared" ref="A566:B566" si="601">A508</f>
        <v>---</v>
      </c>
      <c r="B566" s="294" t="str">
        <f t="shared" si="601"/>
        <v>---</v>
      </c>
      <c r="C566" s="291" t="str">
        <f t="shared" si="586"/>
        <v>---</v>
      </c>
      <c r="D566" s="291" t="str">
        <f>IF(A566="---","---",IF(Type_Reinf="g","---",INPUT!P127))</f>
        <v>---</v>
      </c>
      <c r="E566" s="441" t="str">
        <f t="shared" si="576"/>
        <v>---</v>
      </c>
      <c r="F566" s="291" t="str">
        <f t="shared" si="577"/>
        <v>---</v>
      </c>
      <c r="G566" s="291" t="str">
        <f>IF(A566="---","---",IF(Type_Reinf="g",(INPUT!M127+INPUT!N127),"---"))</f>
        <v>---</v>
      </c>
      <c r="H566" s="294" t="str">
        <f>IF(A566="---","---",IF(AND(Geo_Face="y",Geo_Conn="f")=TRUE,"---",IF(Type_Reinf="g",phi_Tensile_Combined*G566*INPUT!L127*I252/MAX(RF_D,1.1),"---")))</f>
        <v>---</v>
      </c>
      <c r="I566" s="441" t="str">
        <f t="shared" si="578"/>
        <v>---</v>
      </c>
      <c r="J566" s="291" t="str">
        <f t="shared" si="579"/>
        <v>---</v>
      </c>
      <c r="K566" s="291" t="str">
        <f>IF(A566="---","---",IF(AND(Geo_Face="y",Geo_Conn="f")=TRUE,"---",IF(Type_Reinf="g",IF(Geo_Conn="m",1,0.8)*phi_Tensile_Combined*INPUT!M127*INPUT!L127*I252/MAX(RF_D,1.1),"---")))</f>
        <v>---</v>
      </c>
      <c r="L566" s="441" t="str">
        <f t="shared" si="580"/>
        <v>---</v>
      </c>
      <c r="M566" s="290" t="str">
        <f t="shared" si="581"/>
        <v>---</v>
      </c>
      <c r="N566" s="291" t="str">
        <f>IF(A566="---","---",IF(AND(Geo_Face="y",Geo_Conn="f")=TRUE,"---",IF(Type_Reinf="g",IF(Geo_Conn="m",1,0.8)*phi_Tensile_Combined*INPUT!N127*INPUT!L127*RF_CR*I252/MAX(RF_D,1.1),"---")))</f>
        <v>---</v>
      </c>
      <c r="O566" s="441" t="str">
        <f t="shared" si="582"/>
        <v>---</v>
      </c>
      <c r="P566" s="291" t="str">
        <f>IF(A566="---","---",IF(AND(Geo_Face="y",Geo_Conn="f")=TRUE,INPUT!Q127,"---"))</f>
        <v>---</v>
      </c>
      <c r="Q566" s="291" t="str">
        <f t="shared" si="583"/>
        <v>---</v>
      </c>
      <c r="R566" s="441" t="str">
        <f t="shared" si="584"/>
        <v>---</v>
      </c>
    </row>
    <row r="567" spans="1:18">
      <c r="A567" s="438" t="str">
        <f t="shared" ref="A567:B567" si="602">A509</f>
        <v>---</v>
      </c>
      <c r="B567" s="294" t="str">
        <f t="shared" si="602"/>
        <v>---</v>
      </c>
      <c r="C567" s="291" t="str">
        <f t="shared" si="586"/>
        <v>---</v>
      </c>
      <c r="D567" s="291" t="str">
        <f>IF(A567="---","---",IF(Type_Reinf="g","---",INPUT!P128))</f>
        <v>---</v>
      </c>
      <c r="E567" s="441" t="str">
        <f t="shared" si="576"/>
        <v>---</v>
      </c>
      <c r="F567" s="291" t="str">
        <f t="shared" si="577"/>
        <v>---</v>
      </c>
      <c r="G567" s="291" t="str">
        <f>IF(A567="---","---",IF(Type_Reinf="g",(INPUT!M128+INPUT!N128),"---"))</f>
        <v>---</v>
      </c>
      <c r="H567" s="294" t="str">
        <f>IF(A567="---","---",IF(AND(Geo_Face="y",Geo_Conn="f")=TRUE,"---",IF(Type_Reinf="g",phi_Tensile_Combined*G567*INPUT!L128*I253/MAX(RF_D,1.1),"---")))</f>
        <v>---</v>
      </c>
      <c r="I567" s="441" t="str">
        <f t="shared" si="578"/>
        <v>---</v>
      </c>
      <c r="J567" s="291" t="str">
        <f t="shared" si="579"/>
        <v>---</v>
      </c>
      <c r="K567" s="291" t="str">
        <f>IF(A567="---","---",IF(AND(Geo_Face="y",Geo_Conn="f")=TRUE,"---",IF(Type_Reinf="g",IF(Geo_Conn="m",1,0.8)*phi_Tensile_Combined*INPUT!M128*INPUT!L128*I253/MAX(RF_D,1.1),"---")))</f>
        <v>---</v>
      </c>
      <c r="L567" s="441" t="str">
        <f t="shared" si="580"/>
        <v>---</v>
      </c>
      <c r="M567" s="290" t="str">
        <f t="shared" si="581"/>
        <v>---</v>
      </c>
      <c r="N567" s="291" t="str">
        <f>IF(A567="---","---",IF(AND(Geo_Face="y",Geo_Conn="f")=TRUE,"---",IF(Type_Reinf="g",IF(Geo_Conn="m",1,0.8)*phi_Tensile_Combined*INPUT!N128*INPUT!L128*RF_CR*I253/MAX(RF_D,1.1),"---")))</f>
        <v>---</v>
      </c>
      <c r="O567" s="441" t="str">
        <f t="shared" si="582"/>
        <v>---</v>
      </c>
      <c r="P567" s="291" t="str">
        <f>IF(A567="---","---",IF(AND(Geo_Face="y",Geo_Conn="f")=TRUE,INPUT!Q128,"---"))</f>
        <v>---</v>
      </c>
      <c r="Q567" s="291" t="str">
        <f t="shared" si="583"/>
        <v>---</v>
      </c>
      <c r="R567" s="441" t="str">
        <f t="shared" si="584"/>
        <v>---</v>
      </c>
    </row>
    <row r="568" spans="1:18">
      <c r="A568" s="438" t="str">
        <f t="shared" ref="A568:B568" si="603">A510</f>
        <v>---</v>
      </c>
      <c r="B568" s="294" t="str">
        <f t="shared" si="603"/>
        <v>---</v>
      </c>
      <c r="C568" s="291" t="str">
        <f t="shared" si="586"/>
        <v>---</v>
      </c>
      <c r="D568" s="291" t="str">
        <f>IF(A568="---","---",IF(Type_Reinf="g","---",INPUT!P129))</f>
        <v>---</v>
      </c>
      <c r="E568" s="441" t="str">
        <f t="shared" si="576"/>
        <v>---</v>
      </c>
      <c r="F568" s="291" t="str">
        <f t="shared" si="577"/>
        <v>---</v>
      </c>
      <c r="G568" s="291" t="str">
        <f>IF(A568="---","---",IF(Type_Reinf="g",(INPUT!M129+INPUT!N129),"---"))</f>
        <v>---</v>
      </c>
      <c r="H568" s="294" t="str">
        <f>IF(A568="---","---",IF(AND(Geo_Face="y",Geo_Conn="f")=TRUE,"---",IF(Type_Reinf="g",phi_Tensile_Combined*G568*INPUT!L129*I254/MAX(RF_D,1.1),"---")))</f>
        <v>---</v>
      </c>
      <c r="I568" s="441" t="str">
        <f t="shared" si="578"/>
        <v>---</v>
      </c>
      <c r="J568" s="291" t="str">
        <f t="shared" si="579"/>
        <v>---</v>
      </c>
      <c r="K568" s="291" t="str">
        <f>IF(A568="---","---",IF(AND(Geo_Face="y",Geo_Conn="f")=TRUE,"---",IF(Type_Reinf="g",IF(Geo_Conn="m",1,0.8)*phi_Tensile_Combined*INPUT!M129*INPUT!L129*I254/MAX(RF_D,1.1),"---")))</f>
        <v>---</v>
      </c>
      <c r="L568" s="441" t="str">
        <f t="shared" si="580"/>
        <v>---</v>
      </c>
      <c r="M568" s="290" t="str">
        <f t="shared" si="581"/>
        <v>---</v>
      </c>
      <c r="N568" s="291" t="str">
        <f>IF(A568="---","---",IF(AND(Geo_Face="y",Geo_Conn="f")=TRUE,"---",IF(Type_Reinf="g",IF(Geo_Conn="m",1,0.8)*phi_Tensile_Combined*INPUT!N129*INPUT!L129*RF_CR*I254/MAX(RF_D,1.1),"---")))</f>
        <v>---</v>
      </c>
      <c r="O568" s="441" t="str">
        <f t="shared" si="582"/>
        <v>---</v>
      </c>
      <c r="P568" s="291" t="str">
        <f>IF(A568="---","---",IF(AND(Geo_Face="y",Geo_Conn="f")=TRUE,INPUT!Q129,"---"))</f>
        <v>---</v>
      </c>
      <c r="Q568" s="291" t="str">
        <f t="shared" si="583"/>
        <v>---</v>
      </c>
      <c r="R568" s="441" t="str">
        <f t="shared" si="584"/>
        <v>---</v>
      </c>
    </row>
    <row r="569" spans="1:18">
      <c r="A569" s="438" t="str">
        <f t="shared" ref="A569:B569" si="604">A511</f>
        <v>---</v>
      </c>
      <c r="B569" s="294" t="str">
        <f t="shared" si="604"/>
        <v>---</v>
      </c>
      <c r="C569" s="291" t="str">
        <f t="shared" si="586"/>
        <v>---</v>
      </c>
      <c r="D569" s="291" t="str">
        <f>IF(A569="---","---",IF(Type_Reinf="g","---",INPUT!P130))</f>
        <v>---</v>
      </c>
      <c r="E569" s="441" t="str">
        <f t="shared" si="576"/>
        <v>---</v>
      </c>
      <c r="F569" s="291" t="str">
        <f t="shared" si="577"/>
        <v>---</v>
      </c>
      <c r="G569" s="291" t="str">
        <f>IF(A569="---","---",IF(Type_Reinf="g",(INPUT!M130+INPUT!N130),"---"))</f>
        <v>---</v>
      </c>
      <c r="H569" s="294" t="str">
        <f>IF(A569="---","---",IF(AND(Geo_Face="y",Geo_Conn="f")=TRUE,"---",IF(Type_Reinf="g",phi_Tensile_Combined*G569*INPUT!L130*I255/MAX(RF_D,1.1),"---")))</f>
        <v>---</v>
      </c>
      <c r="I569" s="441" t="str">
        <f t="shared" si="578"/>
        <v>---</v>
      </c>
      <c r="J569" s="291" t="str">
        <f t="shared" si="579"/>
        <v>---</v>
      </c>
      <c r="K569" s="291" t="str">
        <f>IF(A569="---","---",IF(AND(Geo_Face="y",Geo_Conn="f")=TRUE,"---",IF(Type_Reinf="g",IF(Geo_Conn="m",1,0.8)*phi_Tensile_Combined*INPUT!M130*INPUT!L130*I255/MAX(RF_D,1.1),"---")))</f>
        <v>---</v>
      </c>
      <c r="L569" s="441" t="str">
        <f t="shared" si="580"/>
        <v>---</v>
      </c>
      <c r="M569" s="290" t="str">
        <f t="shared" si="581"/>
        <v>---</v>
      </c>
      <c r="N569" s="291" t="str">
        <f>IF(A569="---","---",IF(AND(Geo_Face="y",Geo_Conn="f")=TRUE,"---",IF(Type_Reinf="g",IF(Geo_Conn="m",1,0.8)*phi_Tensile_Combined*INPUT!N130*INPUT!L130*RF_CR*I255/MAX(RF_D,1.1),"---")))</f>
        <v>---</v>
      </c>
      <c r="O569" s="441" t="str">
        <f t="shared" si="582"/>
        <v>---</v>
      </c>
      <c r="P569" s="291" t="str">
        <f>IF(A569="---","---",IF(AND(Geo_Face="y",Geo_Conn="f")=TRUE,INPUT!Q130,"---"))</f>
        <v>---</v>
      </c>
      <c r="Q569" s="291" t="str">
        <f t="shared" si="583"/>
        <v>---</v>
      </c>
      <c r="R569" s="441" t="str">
        <f t="shared" si="584"/>
        <v>---</v>
      </c>
    </row>
    <row r="570" spans="1:18">
      <c r="A570" s="438" t="str">
        <f t="shared" ref="A570:B570" si="605">A512</f>
        <v>---</v>
      </c>
      <c r="B570" s="294" t="str">
        <f t="shared" si="605"/>
        <v>---</v>
      </c>
      <c r="C570" s="291" t="str">
        <f t="shared" si="586"/>
        <v>---</v>
      </c>
      <c r="D570" s="291" t="str">
        <f>IF(A570="---","---",IF(Type_Reinf="g","---",INPUT!P131))</f>
        <v>---</v>
      </c>
      <c r="E570" s="441" t="str">
        <f t="shared" si="576"/>
        <v>---</v>
      </c>
      <c r="F570" s="291" t="str">
        <f t="shared" si="577"/>
        <v>---</v>
      </c>
      <c r="G570" s="291" t="str">
        <f>IF(A570="---","---",IF(Type_Reinf="g",(INPUT!M131+INPUT!N131),"---"))</f>
        <v>---</v>
      </c>
      <c r="H570" s="294" t="str">
        <f>IF(A570="---","---",IF(AND(Geo_Face="y",Geo_Conn="f")=TRUE,"---",IF(Type_Reinf="g",phi_Tensile_Combined*G570*INPUT!L131*I256/MAX(RF_D,1.1),"---")))</f>
        <v>---</v>
      </c>
      <c r="I570" s="441" t="str">
        <f t="shared" si="578"/>
        <v>---</v>
      </c>
      <c r="J570" s="291" t="str">
        <f t="shared" si="579"/>
        <v>---</v>
      </c>
      <c r="K570" s="291" t="str">
        <f>IF(A570="---","---",IF(AND(Geo_Face="y",Geo_Conn="f")=TRUE,"---",IF(Type_Reinf="g",IF(Geo_Conn="m",1,0.8)*phi_Tensile_Combined*INPUT!M131*INPUT!L131*I256/MAX(RF_D,1.1),"---")))</f>
        <v>---</v>
      </c>
      <c r="L570" s="441" t="str">
        <f t="shared" si="580"/>
        <v>---</v>
      </c>
      <c r="M570" s="290" t="str">
        <f t="shared" si="581"/>
        <v>---</v>
      </c>
      <c r="N570" s="291" t="str">
        <f>IF(A570="---","---",IF(AND(Geo_Face="y",Geo_Conn="f")=TRUE,"---",IF(Type_Reinf="g",IF(Geo_Conn="m",1,0.8)*phi_Tensile_Combined*INPUT!N131*INPUT!L131*RF_CR*I256/MAX(RF_D,1.1),"---")))</f>
        <v>---</v>
      </c>
      <c r="O570" s="441" t="str">
        <f t="shared" si="582"/>
        <v>---</v>
      </c>
      <c r="P570" s="291" t="str">
        <f>IF(A570="---","---",IF(AND(Geo_Face="y",Geo_Conn="f")=TRUE,INPUT!Q131,"---"))</f>
        <v>---</v>
      </c>
      <c r="Q570" s="291" t="str">
        <f t="shared" si="583"/>
        <v>---</v>
      </c>
      <c r="R570" s="441" t="str">
        <f t="shared" si="584"/>
        <v>---</v>
      </c>
    </row>
    <row r="571" spans="1:18">
      <c r="A571" s="438" t="str">
        <f t="shared" ref="A571:B571" si="606">A513</f>
        <v>---</v>
      </c>
      <c r="B571" s="294" t="str">
        <f t="shared" si="606"/>
        <v>---</v>
      </c>
      <c r="C571" s="291" t="str">
        <f t="shared" si="586"/>
        <v>---</v>
      </c>
      <c r="D571" s="291" t="str">
        <f>IF(A571="---","---",IF(Type_Reinf="g","---",INPUT!P132))</f>
        <v>---</v>
      </c>
      <c r="E571" s="441" t="str">
        <f t="shared" si="576"/>
        <v>---</v>
      </c>
      <c r="F571" s="291" t="str">
        <f t="shared" si="577"/>
        <v>---</v>
      </c>
      <c r="G571" s="291" t="str">
        <f>IF(A571="---","---",IF(Type_Reinf="g",(INPUT!M132+INPUT!N132),"---"))</f>
        <v>---</v>
      </c>
      <c r="H571" s="294" t="str">
        <f>IF(A571="---","---",IF(AND(Geo_Face="y",Geo_Conn="f")=TRUE,"---",IF(Type_Reinf="g",phi_Tensile_Combined*G571*INPUT!L132*I257/MAX(RF_D,1.1),"---")))</f>
        <v>---</v>
      </c>
      <c r="I571" s="441" t="str">
        <f t="shared" si="578"/>
        <v>---</v>
      </c>
      <c r="J571" s="291" t="str">
        <f t="shared" si="579"/>
        <v>---</v>
      </c>
      <c r="K571" s="291" t="str">
        <f>IF(A571="---","---",IF(AND(Geo_Face="y",Geo_Conn="f")=TRUE,"---",IF(Type_Reinf="g",IF(Geo_Conn="m",1,0.8)*phi_Tensile_Combined*INPUT!M132*INPUT!L132*I257/MAX(RF_D,1.1),"---")))</f>
        <v>---</v>
      </c>
      <c r="L571" s="441" t="str">
        <f t="shared" si="580"/>
        <v>---</v>
      </c>
      <c r="M571" s="290" t="str">
        <f t="shared" si="581"/>
        <v>---</v>
      </c>
      <c r="N571" s="291" t="str">
        <f>IF(A571="---","---",IF(AND(Geo_Face="y",Geo_Conn="f")=TRUE,"---",IF(Type_Reinf="g",IF(Geo_Conn="m",1,0.8)*phi_Tensile_Combined*INPUT!N132*INPUT!L132*RF_CR*I257/MAX(RF_D,1.1),"---")))</f>
        <v>---</v>
      </c>
      <c r="O571" s="441" t="str">
        <f t="shared" si="582"/>
        <v>---</v>
      </c>
      <c r="P571" s="291" t="str">
        <f>IF(A571="---","---",IF(AND(Geo_Face="y",Geo_Conn="f")=TRUE,INPUT!Q132,"---"))</f>
        <v>---</v>
      </c>
      <c r="Q571" s="291" t="str">
        <f t="shared" si="583"/>
        <v>---</v>
      </c>
      <c r="R571" s="441" t="str">
        <f t="shared" si="584"/>
        <v>---</v>
      </c>
    </row>
    <row r="572" spans="1:18">
      <c r="A572" s="438" t="str">
        <f t="shared" ref="A572:B572" si="607">A514</f>
        <v>---</v>
      </c>
      <c r="B572" s="294" t="str">
        <f t="shared" si="607"/>
        <v>---</v>
      </c>
      <c r="C572" s="291" t="str">
        <f t="shared" si="586"/>
        <v>---</v>
      </c>
      <c r="D572" s="291" t="str">
        <f>IF(A572="---","---",IF(Type_Reinf="g","---",INPUT!P133))</f>
        <v>---</v>
      </c>
      <c r="E572" s="441" t="str">
        <f t="shared" si="576"/>
        <v>---</v>
      </c>
      <c r="F572" s="291" t="str">
        <f t="shared" si="577"/>
        <v>---</v>
      </c>
      <c r="G572" s="291" t="str">
        <f>IF(A572="---","---",IF(Type_Reinf="g",(INPUT!M133+INPUT!N133),"---"))</f>
        <v>---</v>
      </c>
      <c r="H572" s="294" t="str">
        <f>IF(A572="---","---",IF(AND(Geo_Face="y",Geo_Conn="f")=TRUE,"---",IF(Type_Reinf="g",phi_Tensile_Combined*G572*INPUT!L133*I258/MAX(RF_D,1.1),"---")))</f>
        <v>---</v>
      </c>
      <c r="I572" s="441" t="str">
        <f t="shared" si="578"/>
        <v>---</v>
      </c>
      <c r="J572" s="291" t="str">
        <f t="shared" si="579"/>
        <v>---</v>
      </c>
      <c r="K572" s="291" t="str">
        <f>IF(A572="---","---",IF(AND(Geo_Face="y",Geo_Conn="f")=TRUE,"---",IF(Type_Reinf="g",IF(Geo_Conn="m",1,0.8)*phi_Tensile_Combined*INPUT!M133*INPUT!L133*I258/MAX(RF_D,1.1),"---")))</f>
        <v>---</v>
      </c>
      <c r="L572" s="441" t="str">
        <f t="shared" si="580"/>
        <v>---</v>
      </c>
      <c r="M572" s="290" t="str">
        <f t="shared" si="581"/>
        <v>---</v>
      </c>
      <c r="N572" s="291" t="str">
        <f>IF(A572="---","---",IF(AND(Geo_Face="y",Geo_Conn="f")=TRUE,"---",IF(Type_Reinf="g",IF(Geo_Conn="m",1,0.8)*phi_Tensile_Combined*INPUT!N133*INPUT!L133*RF_CR*I258/MAX(RF_D,1.1),"---")))</f>
        <v>---</v>
      </c>
      <c r="O572" s="441" t="str">
        <f t="shared" si="582"/>
        <v>---</v>
      </c>
      <c r="P572" s="291" t="str">
        <f>IF(A572="---","---",IF(AND(Geo_Face="y",Geo_Conn="f")=TRUE,INPUT!Q133,"---"))</f>
        <v>---</v>
      </c>
      <c r="Q572" s="291" t="str">
        <f t="shared" si="583"/>
        <v>---</v>
      </c>
      <c r="R572" s="441" t="str">
        <f t="shared" si="584"/>
        <v>---</v>
      </c>
    </row>
    <row r="573" spans="1:18">
      <c r="A573" s="438" t="str">
        <f t="shared" ref="A573:B573" si="608">A515</f>
        <v>---</v>
      </c>
      <c r="B573" s="294" t="str">
        <f t="shared" si="608"/>
        <v>---</v>
      </c>
      <c r="C573" s="291" t="str">
        <f t="shared" si="586"/>
        <v>---</v>
      </c>
      <c r="D573" s="291" t="str">
        <f>IF(A573="---","---",IF(Type_Reinf="g","---",INPUT!P134))</f>
        <v>---</v>
      </c>
      <c r="E573" s="441" t="str">
        <f t="shared" si="576"/>
        <v>---</v>
      </c>
      <c r="F573" s="291" t="str">
        <f t="shared" si="577"/>
        <v>---</v>
      </c>
      <c r="G573" s="291" t="str">
        <f>IF(A573="---","---",IF(Type_Reinf="g",(INPUT!M134+INPUT!N134),"---"))</f>
        <v>---</v>
      </c>
      <c r="H573" s="294" t="str">
        <f>IF(A573="---","---",IF(AND(Geo_Face="y",Geo_Conn="f")=TRUE,"---",IF(Type_Reinf="g",phi_Tensile_Combined*G573*INPUT!L134*I259/MAX(RF_D,1.1),"---")))</f>
        <v>---</v>
      </c>
      <c r="I573" s="441" t="str">
        <f t="shared" si="578"/>
        <v>---</v>
      </c>
      <c r="J573" s="291" t="str">
        <f t="shared" si="579"/>
        <v>---</v>
      </c>
      <c r="K573" s="291" t="str">
        <f>IF(A573="---","---",IF(AND(Geo_Face="y",Geo_Conn="f")=TRUE,"---",IF(Type_Reinf="g",IF(Geo_Conn="m",1,0.8)*phi_Tensile_Combined*INPUT!M134*INPUT!L134*I259/MAX(RF_D,1.1),"---")))</f>
        <v>---</v>
      </c>
      <c r="L573" s="441" t="str">
        <f t="shared" si="580"/>
        <v>---</v>
      </c>
      <c r="M573" s="290" t="str">
        <f t="shared" si="581"/>
        <v>---</v>
      </c>
      <c r="N573" s="291" t="str">
        <f>IF(A573="---","---",IF(AND(Geo_Face="y",Geo_Conn="f")=TRUE,"---",IF(Type_Reinf="g",IF(Geo_Conn="m",1,0.8)*phi_Tensile_Combined*INPUT!N134*INPUT!L134*RF_CR*I259/MAX(RF_D,1.1),"---")))</f>
        <v>---</v>
      </c>
      <c r="O573" s="441" t="str">
        <f t="shared" si="582"/>
        <v>---</v>
      </c>
      <c r="P573" s="291" t="str">
        <f>IF(A573="---","---",IF(AND(Geo_Face="y",Geo_Conn="f")=TRUE,INPUT!Q134,"---"))</f>
        <v>---</v>
      </c>
      <c r="Q573" s="291" t="str">
        <f t="shared" si="583"/>
        <v>---</v>
      </c>
      <c r="R573" s="441" t="str">
        <f t="shared" si="584"/>
        <v>---</v>
      </c>
    </row>
    <row r="574" spans="1:18">
      <c r="A574" s="438" t="str">
        <f t="shared" ref="A574:B574" si="609">A516</f>
        <v>---</v>
      </c>
      <c r="B574" s="294" t="str">
        <f t="shared" si="609"/>
        <v>---</v>
      </c>
      <c r="C574" s="291" t="str">
        <f t="shared" si="586"/>
        <v>---</v>
      </c>
      <c r="D574" s="291" t="str">
        <f>IF(A574="---","---",IF(Type_Reinf="g","---",INPUT!P135))</f>
        <v>---</v>
      </c>
      <c r="E574" s="441" t="str">
        <f t="shared" si="576"/>
        <v>---</v>
      </c>
      <c r="F574" s="291" t="str">
        <f t="shared" si="577"/>
        <v>---</v>
      </c>
      <c r="G574" s="291" t="str">
        <f>IF(A574="---","---",IF(Type_Reinf="g",(INPUT!M135+INPUT!N135),"---"))</f>
        <v>---</v>
      </c>
      <c r="H574" s="294" t="str">
        <f>IF(A574="---","---",IF(AND(Geo_Face="y",Geo_Conn="f")=TRUE,"---",IF(Type_Reinf="g",phi_Tensile_Combined*G574*INPUT!L135*I260/MAX(RF_D,1.1),"---")))</f>
        <v>---</v>
      </c>
      <c r="I574" s="441" t="str">
        <f t="shared" si="578"/>
        <v>---</v>
      </c>
      <c r="J574" s="291" t="str">
        <f t="shared" si="579"/>
        <v>---</v>
      </c>
      <c r="K574" s="291" t="str">
        <f>IF(A574="---","---",IF(AND(Geo_Face="y",Geo_Conn="f")=TRUE,"---",IF(Type_Reinf="g",IF(Geo_Conn="m",1,0.8)*phi_Tensile_Combined*INPUT!M135*INPUT!L135*I260/MAX(RF_D,1.1),"---")))</f>
        <v>---</v>
      </c>
      <c r="L574" s="441" t="str">
        <f t="shared" si="580"/>
        <v>---</v>
      </c>
      <c r="M574" s="290" t="str">
        <f t="shared" si="581"/>
        <v>---</v>
      </c>
      <c r="N574" s="291" t="str">
        <f>IF(A574="---","---",IF(AND(Geo_Face="y",Geo_Conn="f")=TRUE,"---",IF(Type_Reinf="g",IF(Geo_Conn="m",1,0.8)*phi_Tensile_Combined*INPUT!N135*INPUT!L135*RF_CR*I260/MAX(RF_D,1.1),"---")))</f>
        <v>---</v>
      </c>
      <c r="O574" s="441" t="str">
        <f t="shared" si="582"/>
        <v>---</v>
      </c>
      <c r="P574" s="291" t="str">
        <f>IF(A574="---","---",IF(AND(Geo_Face="y",Geo_Conn="f")=TRUE,INPUT!Q135,"---"))</f>
        <v>---</v>
      </c>
      <c r="Q574" s="291" t="str">
        <f t="shared" si="583"/>
        <v>---</v>
      </c>
      <c r="R574" s="441" t="str">
        <f t="shared" si="584"/>
        <v>---</v>
      </c>
    </row>
    <row r="575" spans="1:18">
      <c r="A575" s="438" t="str">
        <f t="shared" ref="A575:B575" si="610">A517</f>
        <v>---</v>
      </c>
      <c r="B575" s="294" t="str">
        <f t="shared" si="610"/>
        <v>---</v>
      </c>
      <c r="C575" s="291" t="str">
        <f t="shared" si="586"/>
        <v>---</v>
      </c>
      <c r="D575" s="291" t="str">
        <f>IF(A575="---","---",IF(Type_Reinf="g","---",INPUT!P136))</f>
        <v>---</v>
      </c>
      <c r="E575" s="441" t="str">
        <f t="shared" si="576"/>
        <v>---</v>
      </c>
      <c r="F575" s="291" t="str">
        <f t="shared" si="577"/>
        <v>---</v>
      </c>
      <c r="G575" s="291" t="str">
        <f>IF(A575="---","---",IF(Type_Reinf="g",(INPUT!M136+INPUT!N136),"---"))</f>
        <v>---</v>
      </c>
      <c r="H575" s="294" t="str">
        <f>IF(A575="---","---",IF(AND(Geo_Face="y",Geo_Conn="f")=TRUE,"---",IF(Type_Reinf="g",phi_Tensile_Combined*G575*INPUT!L136*I261/MAX(RF_D,1.1),"---")))</f>
        <v>---</v>
      </c>
      <c r="I575" s="441" t="str">
        <f t="shared" si="578"/>
        <v>---</v>
      </c>
      <c r="J575" s="291" t="str">
        <f t="shared" si="579"/>
        <v>---</v>
      </c>
      <c r="K575" s="291" t="str">
        <f>IF(A575="---","---",IF(AND(Geo_Face="y",Geo_Conn="f")=TRUE,"---",IF(Type_Reinf="g",IF(Geo_Conn="m",1,0.8)*phi_Tensile_Combined*INPUT!M136*INPUT!L136*I261/MAX(RF_D,1.1),"---")))</f>
        <v>---</v>
      </c>
      <c r="L575" s="441" t="str">
        <f t="shared" si="580"/>
        <v>---</v>
      </c>
      <c r="M575" s="290" t="str">
        <f t="shared" si="581"/>
        <v>---</v>
      </c>
      <c r="N575" s="291" t="str">
        <f>IF(A575="---","---",IF(AND(Geo_Face="y",Geo_Conn="f")=TRUE,"---",IF(Type_Reinf="g",IF(Geo_Conn="m",1,0.8)*phi_Tensile_Combined*INPUT!N136*INPUT!L136*RF_CR*I261/MAX(RF_D,1.1),"---")))</f>
        <v>---</v>
      </c>
      <c r="O575" s="441" t="str">
        <f t="shared" si="582"/>
        <v>---</v>
      </c>
      <c r="P575" s="291" t="str">
        <f>IF(A575="---","---",IF(AND(Geo_Face="y",Geo_Conn="f")=TRUE,INPUT!Q136,"---"))</f>
        <v>---</v>
      </c>
      <c r="Q575" s="291" t="str">
        <f t="shared" si="583"/>
        <v>---</v>
      </c>
      <c r="R575" s="441" t="str">
        <f t="shared" si="584"/>
        <v>---</v>
      </c>
    </row>
    <row r="576" spans="1:18">
      <c r="A576" s="438" t="str">
        <f t="shared" ref="A576:B576" si="611">A518</f>
        <v>---</v>
      </c>
      <c r="B576" s="294" t="str">
        <f t="shared" si="611"/>
        <v>---</v>
      </c>
      <c r="C576" s="291" t="str">
        <f t="shared" si="586"/>
        <v>---</v>
      </c>
      <c r="D576" s="291" t="str">
        <f>IF(A576="---","---",IF(Type_Reinf="g","---",INPUT!P137))</f>
        <v>---</v>
      </c>
      <c r="E576" s="441" t="str">
        <f t="shared" si="576"/>
        <v>---</v>
      </c>
      <c r="F576" s="291" t="str">
        <f t="shared" si="577"/>
        <v>---</v>
      </c>
      <c r="G576" s="291" t="str">
        <f>IF(A576="---","---",IF(Type_Reinf="g",(INPUT!M137+INPUT!N137),"---"))</f>
        <v>---</v>
      </c>
      <c r="H576" s="294" t="str">
        <f>IF(A576="---","---",IF(AND(Geo_Face="y",Geo_Conn="f")=TRUE,"---",IF(Type_Reinf="g",phi_Tensile_Combined*G576*INPUT!L137*I262/MAX(RF_D,1.1),"---")))</f>
        <v>---</v>
      </c>
      <c r="I576" s="441" t="str">
        <f t="shared" si="578"/>
        <v>---</v>
      </c>
      <c r="J576" s="291" t="str">
        <f t="shared" si="579"/>
        <v>---</v>
      </c>
      <c r="K576" s="291" t="str">
        <f>IF(A576="---","---",IF(AND(Geo_Face="y",Geo_Conn="f")=TRUE,"---",IF(Type_Reinf="g",IF(Geo_Conn="m",1,0.8)*phi_Tensile_Combined*INPUT!M137*INPUT!L137*I262/MAX(RF_D,1.1),"---")))</f>
        <v>---</v>
      </c>
      <c r="L576" s="441" t="str">
        <f t="shared" si="580"/>
        <v>---</v>
      </c>
      <c r="M576" s="290" t="str">
        <f t="shared" si="581"/>
        <v>---</v>
      </c>
      <c r="N576" s="291" t="str">
        <f>IF(A576="---","---",IF(AND(Geo_Face="y",Geo_Conn="f")=TRUE,"---",IF(Type_Reinf="g",IF(Geo_Conn="m",1,0.8)*phi_Tensile_Combined*INPUT!N137*INPUT!L137*RF_CR*I262/MAX(RF_D,1.1),"---")))</f>
        <v>---</v>
      </c>
      <c r="O576" s="441" t="str">
        <f t="shared" si="582"/>
        <v>---</v>
      </c>
      <c r="P576" s="291" t="str">
        <f>IF(A576="---","---",IF(AND(Geo_Face="y",Geo_Conn="f")=TRUE,INPUT!Q137,"---"))</f>
        <v>---</v>
      </c>
      <c r="Q576" s="291" t="str">
        <f t="shared" si="583"/>
        <v>---</v>
      </c>
      <c r="R576" s="441" t="str">
        <f t="shared" si="584"/>
        <v>---</v>
      </c>
    </row>
    <row r="577" spans="1:18">
      <c r="A577" s="438" t="str">
        <f t="shared" ref="A577:B577" si="612">A519</f>
        <v>---</v>
      </c>
      <c r="B577" s="294" t="str">
        <f t="shared" si="612"/>
        <v>---</v>
      </c>
      <c r="C577" s="291" t="str">
        <f t="shared" si="586"/>
        <v>---</v>
      </c>
      <c r="D577" s="291" t="str">
        <f>IF(A577="---","---",IF(Type_Reinf="g","---",INPUT!P138))</f>
        <v>---</v>
      </c>
      <c r="E577" s="441" t="str">
        <f t="shared" si="576"/>
        <v>---</v>
      </c>
      <c r="F577" s="291" t="str">
        <f t="shared" si="577"/>
        <v>---</v>
      </c>
      <c r="G577" s="291" t="str">
        <f>IF(A577="---","---",IF(Type_Reinf="g",(INPUT!M138+INPUT!N138),"---"))</f>
        <v>---</v>
      </c>
      <c r="H577" s="294" t="str">
        <f>IF(A577="---","---",IF(AND(Geo_Face="y",Geo_Conn="f")=TRUE,"---",IF(Type_Reinf="g",phi_Tensile_Combined*G577*INPUT!L138*I263/MAX(RF_D,1.1),"---")))</f>
        <v>---</v>
      </c>
      <c r="I577" s="441" t="str">
        <f t="shared" si="578"/>
        <v>---</v>
      </c>
      <c r="J577" s="291" t="str">
        <f t="shared" si="579"/>
        <v>---</v>
      </c>
      <c r="K577" s="291" t="str">
        <f>IF(A577="---","---",IF(AND(Geo_Face="y",Geo_Conn="f")=TRUE,"---",IF(Type_Reinf="g",IF(Geo_Conn="m",1,0.8)*phi_Tensile_Combined*INPUT!M138*INPUT!L138*I263/MAX(RF_D,1.1),"---")))</f>
        <v>---</v>
      </c>
      <c r="L577" s="441" t="str">
        <f t="shared" si="580"/>
        <v>---</v>
      </c>
      <c r="M577" s="290" t="str">
        <f t="shared" si="581"/>
        <v>---</v>
      </c>
      <c r="N577" s="291" t="str">
        <f>IF(A577="---","---",IF(AND(Geo_Face="y",Geo_Conn="f")=TRUE,"---",IF(Type_Reinf="g",IF(Geo_Conn="m",1,0.8)*phi_Tensile_Combined*INPUT!N138*INPUT!L138*RF_CR*I263/MAX(RF_D,1.1),"---")))</f>
        <v>---</v>
      </c>
      <c r="O577" s="441" t="str">
        <f t="shared" si="582"/>
        <v>---</v>
      </c>
      <c r="P577" s="291" t="str">
        <f>IF(A577="---","---",IF(AND(Geo_Face="y",Geo_Conn="f")=TRUE,INPUT!Q138,"---"))</f>
        <v>---</v>
      </c>
      <c r="Q577" s="291" t="str">
        <f t="shared" si="583"/>
        <v>---</v>
      </c>
      <c r="R577" s="441" t="str">
        <f t="shared" si="584"/>
        <v>---</v>
      </c>
    </row>
    <row r="578" spans="1:18">
      <c r="A578" s="438" t="str">
        <f t="shared" ref="A578:B578" si="613">A520</f>
        <v>---</v>
      </c>
      <c r="B578" s="294" t="str">
        <f t="shared" si="613"/>
        <v>---</v>
      </c>
      <c r="C578" s="291" t="str">
        <f t="shared" si="586"/>
        <v>---</v>
      </c>
      <c r="D578" s="291" t="str">
        <f>IF(A578="---","---",IF(Type_Reinf="g","---",INPUT!P139))</f>
        <v>---</v>
      </c>
      <c r="E578" s="441" t="str">
        <f t="shared" si="576"/>
        <v>---</v>
      </c>
      <c r="F578" s="291" t="str">
        <f t="shared" si="577"/>
        <v>---</v>
      </c>
      <c r="G578" s="291" t="str">
        <f>IF(A578="---","---",IF(Type_Reinf="g",(INPUT!M139+INPUT!N139),"---"))</f>
        <v>---</v>
      </c>
      <c r="H578" s="294" t="str">
        <f>IF(A578="---","---",IF(AND(Geo_Face="y",Geo_Conn="f")=TRUE,"---",IF(Type_Reinf="g",phi_Tensile_Combined*G578*INPUT!L139*I264/MAX(RF_D,1.1),"---")))</f>
        <v>---</v>
      </c>
      <c r="I578" s="441" t="str">
        <f t="shared" si="578"/>
        <v>---</v>
      </c>
      <c r="J578" s="291" t="str">
        <f t="shared" si="579"/>
        <v>---</v>
      </c>
      <c r="K578" s="291" t="str">
        <f>IF(A578="---","---",IF(AND(Geo_Face="y",Geo_Conn="f")=TRUE,"---",IF(Type_Reinf="g",IF(Geo_Conn="m",1,0.8)*phi_Tensile_Combined*INPUT!M139*INPUT!L139*I264/MAX(RF_D,1.1),"---")))</f>
        <v>---</v>
      </c>
      <c r="L578" s="441" t="str">
        <f t="shared" si="580"/>
        <v>---</v>
      </c>
      <c r="M578" s="290" t="str">
        <f t="shared" si="581"/>
        <v>---</v>
      </c>
      <c r="N578" s="291" t="str">
        <f>IF(A578="---","---",IF(AND(Geo_Face="y",Geo_Conn="f")=TRUE,"---",IF(Type_Reinf="g",IF(Geo_Conn="m",1,0.8)*phi_Tensile_Combined*INPUT!N139*INPUT!L139*RF_CR*I264/MAX(RF_D,1.1),"---")))</f>
        <v>---</v>
      </c>
      <c r="O578" s="441" t="str">
        <f t="shared" si="582"/>
        <v>---</v>
      </c>
      <c r="P578" s="291" t="str">
        <f>IF(A578="---","---",IF(AND(Geo_Face="y",Geo_Conn="f")=TRUE,INPUT!Q139,"---"))</f>
        <v>---</v>
      </c>
      <c r="Q578" s="291" t="str">
        <f t="shared" si="583"/>
        <v>---</v>
      </c>
      <c r="R578" s="441" t="str">
        <f t="shared" si="584"/>
        <v>---</v>
      </c>
    </row>
    <row r="579" spans="1:18">
      <c r="A579" s="438" t="str">
        <f t="shared" ref="A579:B579" si="614">A521</f>
        <v>---</v>
      </c>
      <c r="B579" s="294" t="str">
        <f t="shared" si="614"/>
        <v>---</v>
      </c>
      <c r="C579" s="291" t="str">
        <f t="shared" si="586"/>
        <v>---</v>
      </c>
      <c r="D579" s="291" t="str">
        <f>IF(A579="---","---",IF(Type_Reinf="g","---",INPUT!P140))</f>
        <v>---</v>
      </c>
      <c r="E579" s="441" t="str">
        <f t="shared" si="576"/>
        <v>---</v>
      </c>
      <c r="F579" s="291" t="str">
        <f t="shared" si="577"/>
        <v>---</v>
      </c>
      <c r="G579" s="291" t="str">
        <f>IF(A579="---","---",IF(Type_Reinf="g",(INPUT!M140+INPUT!N140),"---"))</f>
        <v>---</v>
      </c>
      <c r="H579" s="294" t="str">
        <f>IF(A579="---","---",IF(AND(Geo_Face="y",Geo_Conn="f")=TRUE,"---",IF(Type_Reinf="g",phi_Tensile_Combined*G579*INPUT!L140*I265/MAX(RF_D,1.1),"---")))</f>
        <v>---</v>
      </c>
      <c r="I579" s="441" t="str">
        <f t="shared" si="578"/>
        <v>---</v>
      </c>
      <c r="J579" s="291" t="str">
        <f t="shared" si="579"/>
        <v>---</v>
      </c>
      <c r="K579" s="291" t="str">
        <f>IF(A579="---","---",IF(AND(Geo_Face="y",Geo_Conn="f")=TRUE,"---",IF(Type_Reinf="g",IF(Geo_Conn="m",1,0.8)*phi_Tensile_Combined*INPUT!M140*INPUT!L140*I265/MAX(RF_D,1.1),"---")))</f>
        <v>---</v>
      </c>
      <c r="L579" s="441" t="str">
        <f t="shared" si="580"/>
        <v>---</v>
      </c>
      <c r="M579" s="290" t="str">
        <f t="shared" si="581"/>
        <v>---</v>
      </c>
      <c r="N579" s="291" t="str">
        <f>IF(A579="---","---",IF(AND(Geo_Face="y",Geo_Conn="f")=TRUE,"---",IF(Type_Reinf="g",IF(Geo_Conn="m",1,0.8)*phi_Tensile_Combined*INPUT!N140*INPUT!L140*RF_CR*I265/MAX(RF_D,1.1),"---")))</f>
        <v>---</v>
      </c>
      <c r="O579" s="441" t="str">
        <f t="shared" si="582"/>
        <v>---</v>
      </c>
      <c r="P579" s="291" t="str">
        <f>IF(A579="---","---",IF(AND(Geo_Face="y",Geo_Conn="f")=TRUE,INPUT!Q140,"---"))</f>
        <v>---</v>
      </c>
      <c r="Q579" s="291" t="str">
        <f t="shared" si="583"/>
        <v>---</v>
      </c>
      <c r="R579" s="441" t="str">
        <f t="shared" si="584"/>
        <v>---</v>
      </c>
    </row>
    <row r="580" spans="1:18">
      <c r="A580" s="438" t="str">
        <f t="shared" ref="A580:B580" si="615">A522</f>
        <v>---</v>
      </c>
      <c r="B580" s="294" t="str">
        <f t="shared" si="615"/>
        <v>---</v>
      </c>
      <c r="C580" s="291" t="str">
        <f t="shared" si="586"/>
        <v>---</v>
      </c>
      <c r="D580" s="291" t="str">
        <f>IF(A580="---","---",IF(Type_Reinf="g","---",INPUT!P141))</f>
        <v>---</v>
      </c>
      <c r="E580" s="441" t="str">
        <f t="shared" si="576"/>
        <v>---</v>
      </c>
      <c r="F580" s="291" t="str">
        <f t="shared" si="577"/>
        <v>---</v>
      </c>
      <c r="G580" s="291" t="str">
        <f>IF(A580="---","---",IF(Type_Reinf="g",(INPUT!M141+INPUT!N141),"---"))</f>
        <v>---</v>
      </c>
      <c r="H580" s="294" t="str">
        <f>IF(A580="---","---",IF(AND(Geo_Face="y",Geo_Conn="f")=TRUE,"---",IF(Type_Reinf="g",phi_Tensile_Combined*G580*INPUT!L141*I266/MAX(RF_D,1.1),"---")))</f>
        <v>---</v>
      </c>
      <c r="I580" s="441" t="str">
        <f t="shared" si="578"/>
        <v>---</v>
      </c>
      <c r="J580" s="291" t="str">
        <f t="shared" si="579"/>
        <v>---</v>
      </c>
      <c r="K580" s="291" t="str">
        <f>IF(A580="---","---",IF(AND(Geo_Face="y",Geo_Conn="f")=TRUE,"---",IF(Type_Reinf="g",IF(Geo_Conn="m",1,0.8)*phi_Tensile_Combined*INPUT!M141*INPUT!L141*I266/MAX(RF_D,1.1),"---")))</f>
        <v>---</v>
      </c>
      <c r="L580" s="441" t="str">
        <f t="shared" si="580"/>
        <v>---</v>
      </c>
      <c r="M580" s="290" t="str">
        <f t="shared" si="581"/>
        <v>---</v>
      </c>
      <c r="N580" s="291" t="str">
        <f>IF(A580="---","---",IF(AND(Geo_Face="y",Geo_Conn="f")=TRUE,"---",IF(Type_Reinf="g",IF(Geo_Conn="m",1,0.8)*phi_Tensile_Combined*INPUT!N141*INPUT!L141*RF_CR*I266/MAX(RF_D,1.1),"---")))</f>
        <v>---</v>
      </c>
      <c r="O580" s="441" t="str">
        <f t="shared" si="582"/>
        <v>---</v>
      </c>
      <c r="P580" s="291" t="str">
        <f>IF(A580="---","---",IF(AND(Geo_Face="y",Geo_Conn="f")=TRUE,INPUT!Q141,"---"))</f>
        <v>---</v>
      </c>
      <c r="Q580" s="291" t="str">
        <f t="shared" si="583"/>
        <v>---</v>
      </c>
      <c r="R580" s="441" t="str">
        <f t="shared" si="584"/>
        <v>---</v>
      </c>
    </row>
    <row r="581" spans="1:18">
      <c r="A581" s="438" t="str">
        <f t="shared" ref="A581:B581" si="616">A523</f>
        <v>---</v>
      </c>
      <c r="B581" s="294" t="str">
        <f t="shared" si="616"/>
        <v>---</v>
      </c>
      <c r="C581" s="291" t="str">
        <f t="shared" si="586"/>
        <v>---</v>
      </c>
      <c r="D581" s="291" t="str">
        <f>IF(A581="---","---",IF(Type_Reinf="g","---",INPUT!P142))</f>
        <v>---</v>
      </c>
      <c r="E581" s="441" t="str">
        <f t="shared" si="576"/>
        <v>---</v>
      </c>
      <c r="F581" s="291" t="str">
        <f t="shared" si="577"/>
        <v>---</v>
      </c>
      <c r="G581" s="291" t="str">
        <f>IF(A581="---","---",IF(Type_Reinf="g",(INPUT!M142+INPUT!N142),"---"))</f>
        <v>---</v>
      </c>
      <c r="H581" s="294" t="str">
        <f>IF(A581="---","---",IF(AND(Geo_Face="y",Geo_Conn="f")=TRUE,"---",IF(Type_Reinf="g",phi_Tensile_Combined*G581*INPUT!L142*I267/MAX(RF_D,1.1),"---")))</f>
        <v>---</v>
      </c>
      <c r="I581" s="441" t="str">
        <f t="shared" si="578"/>
        <v>---</v>
      </c>
      <c r="J581" s="291" t="str">
        <f t="shared" si="579"/>
        <v>---</v>
      </c>
      <c r="K581" s="291" t="str">
        <f>IF(A581="---","---",IF(AND(Geo_Face="y",Geo_Conn="f")=TRUE,"---",IF(Type_Reinf="g",IF(Geo_Conn="m",1,0.8)*phi_Tensile_Combined*INPUT!M142*INPUT!L142*I267/MAX(RF_D,1.1),"---")))</f>
        <v>---</v>
      </c>
      <c r="L581" s="441" t="str">
        <f t="shared" si="580"/>
        <v>---</v>
      </c>
      <c r="M581" s="290" t="str">
        <f t="shared" si="581"/>
        <v>---</v>
      </c>
      <c r="N581" s="291" t="str">
        <f>IF(A581="---","---",IF(AND(Geo_Face="y",Geo_Conn="f")=TRUE,"---",IF(Type_Reinf="g",IF(Geo_Conn="m",1,0.8)*phi_Tensile_Combined*INPUT!N142*INPUT!L142*RF_CR*I267/MAX(RF_D,1.1),"---")))</f>
        <v>---</v>
      </c>
      <c r="O581" s="441" t="str">
        <f t="shared" si="582"/>
        <v>---</v>
      </c>
      <c r="P581" s="291" t="str">
        <f>IF(A581="---","---",IF(AND(Geo_Face="y",Geo_Conn="f")=TRUE,INPUT!Q142,"---"))</f>
        <v>---</v>
      </c>
      <c r="Q581" s="291" t="str">
        <f t="shared" si="583"/>
        <v>---</v>
      </c>
      <c r="R581" s="441" t="str">
        <f t="shared" si="584"/>
        <v>---</v>
      </c>
    </row>
    <row r="582" spans="1:18">
      <c r="A582" s="438" t="str">
        <f t="shared" ref="A582:B582" si="617">A524</f>
        <v>---</v>
      </c>
      <c r="B582" s="294" t="str">
        <f t="shared" si="617"/>
        <v>---</v>
      </c>
      <c r="C582" s="291" t="str">
        <f t="shared" si="586"/>
        <v>---</v>
      </c>
      <c r="D582" s="291" t="str">
        <f>IF(A582="---","---",IF(Type_Reinf="g","---",INPUT!P143))</f>
        <v>---</v>
      </c>
      <c r="E582" s="441" t="str">
        <f t="shared" ref="E582:E599" si="618">IF(A582="---","---",IF(Type_Reinf="g","---",IF(D582&gt;=C582,"OK","NG!")))</f>
        <v>---</v>
      </c>
      <c r="F582" s="291" t="str">
        <f t="shared" ref="F582:F599" si="619">F524</f>
        <v>---</v>
      </c>
      <c r="G582" s="291" t="str">
        <f>IF(A582="---","---",IF(Type_Reinf="g",(INPUT!M143+INPUT!N143),"---"))</f>
        <v>---</v>
      </c>
      <c r="H582" s="294" t="str">
        <f>IF(A582="---","---",IF(AND(Geo_Face="y",Geo_Conn="f")=TRUE,"---",IF(Type_Reinf="g",phi_Tensile_Combined*G582*INPUT!L143*I268/MAX(RF_D,1.1),"---")))</f>
        <v>---</v>
      </c>
      <c r="I582" s="441" t="str">
        <f t="shared" ref="I582:I599" si="620">IF(A582="---","---",IF(AND(Geo_Face="y",Geo_Conn="f")=TRUE,"---",IF(Type_Reinf="g",IF(H582&gt;=F582,"OK","NG"),"---")))</f>
        <v>---</v>
      </c>
      <c r="J582" s="291" t="str">
        <f t="shared" ref="J582:J599" si="621">E524</f>
        <v>---</v>
      </c>
      <c r="K582" s="291" t="str">
        <f>IF(A582="---","---",IF(AND(Geo_Face="y",Geo_Conn="f")=TRUE,"---",IF(Type_Reinf="g",IF(Geo_Conn="m",1,0.8)*phi_Tensile_Combined*INPUT!M143*INPUT!L143*I268/MAX(RF_D,1.1),"---")))</f>
        <v>---</v>
      </c>
      <c r="L582" s="441" t="str">
        <f t="shared" ref="L582:L599" si="622">IF(A582="---","---",IF(AND(Geo_Face="y",Geo_Conn="f")=TRUE,"---",IF(Type_Reinf="g",IF(K582&gt;J582,"OK","NG!"),"---")))</f>
        <v>---</v>
      </c>
      <c r="M582" s="290" t="str">
        <f t="shared" ref="M582:M599" si="623">C524</f>
        <v>---</v>
      </c>
      <c r="N582" s="291" t="str">
        <f>IF(A582="---","---",IF(AND(Geo_Face="y",Geo_Conn="f")=TRUE,"---",IF(Type_Reinf="g",IF(Geo_Conn="m",1,0.8)*phi_Tensile_Combined*INPUT!N143*INPUT!L143*RF_CR*I268/MAX(RF_D,1.1),"---")))</f>
        <v>---</v>
      </c>
      <c r="O582" s="441" t="str">
        <f t="shared" ref="O582:O599" si="624">IF(A582="---","---",IF(AND(Geo_Face="y",Geo_Conn="f")=TRUE,"---",IF(Type_Reinf="g",IF(N582&gt;M582,"OK","NG"),"---")))</f>
        <v>---</v>
      </c>
      <c r="P582" s="291" t="str">
        <f>IF(A582="---","---",IF(AND(Geo_Face="y",Geo_Conn="f")=TRUE,INPUT!Q143,"---"))</f>
        <v>---</v>
      </c>
      <c r="Q582" s="291" t="str">
        <f t="shared" ref="Q582:Q599" si="625">IF(A582="---","---",IF(AND(Geo_Face="y",Geo_Conn="f")=TRUE,MAX(3,($M524/(phi_Pullout_Combined*0.8*$R387*alpha*$T387*C_surf_geo*$I268))/2),"---"))</f>
        <v>---</v>
      </c>
      <c r="R582" s="441" t="str">
        <f t="shared" ref="R582:R599" si="626">IF(A582="---","---",IF(AND(Geo_Face="y",Geo_Conn="f")=TRUE,IF(P582&lt;Q582,"NG!","OK"),"---"))</f>
        <v>---</v>
      </c>
    </row>
    <row r="583" spans="1:18">
      <c r="A583" s="438" t="str">
        <f t="shared" ref="A583:B583" si="627">A525</f>
        <v>---</v>
      </c>
      <c r="B583" s="294" t="str">
        <f t="shared" si="627"/>
        <v>---</v>
      </c>
      <c r="C583" s="291" t="str">
        <f t="shared" si="586"/>
        <v>---</v>
      </c>
      <c r="D583" s="291" t="str">
        <f>IF(A583="---","---",IF(Type_Reinf="g","---",INPUT!P144))</f>
        <v>---</v>
      </c>
      <c r="E583" s="441" t="str">
        <f t="shared" si="618"/>
        <v>---</v>
      </c>
      <c r="F583" s="291" t="str">
        <f t="shared" si="619"/>
        <v>---</v>
      </c>
      <c r="G583" s="291" t="str">
        <f>IF(A583="---","---",IF(Type_Reinf="g",(INPUT!M144+INPUT!N144),"---"))</f>
        <v>---</v>
      </c>
      <c r="H583" s="294" t="str">
        <f>IF(A583="---","---",IF(AND(Geo_Face="y",Geo_Conn="f")=TRUE,"---",IF(Type_Reinf="g",phi_Tensile_Combined*G583*INPUT!L144*I269/MAX(RF_D,1.1),"---")))</f>
        <v>---</v>
      </c>
      <c r="I583" s="441" t="str">
        <f t="shared" si="620"/>
        <v>---</v>
      </c>
      <c r="J583" s="291" t="str">
        <f t="shared" si="621"/>
        <v>---</v>
      </c>
      <c r="K583" s="291" t="str">
        <f>IF(A583="---","---",IF(AND(Geo_Face="y",Geo_Conn="f")=TRUE,"---",IF(Type_Reinf="g",IF(Geo_Conn="m",1,0.8)*phi_Tensile_Combined*INPUT!M144*INPUT!L144*I269/MAX(RF_D,1.1),"---")))</f>
        <v>---</v>
      </c>
      <c r="L583" s="441" t="str">
        <f t="shared" si="622"/>
        <v>---</v>
      </c>
      <c r="M583" s="290" t="str">
        <f t="shared" si="623"/>
        <v>---</v>
      </c>
      <c r="N583" s="291" t="str">
        <f>IF(A583="---","---",IF(AND(Geo_Face="y",Geo_Conn="f")=TRUE,"---",IF(Type_Reinf="g",IF(Geo_Conn="m",1,0.8)*phi_Tensile_Combined*INPUT!N144*INPUT!L144*RF_CR*I269/MAX(RF_D,1.1),"---")))</f>
        <v>---</v>
      </c>
      <c r="O583" s="441" t="str">
        <f t="shared" si="624"/>
        <v>---</v>
      </c>
      <c r="P583" s="291" t="str">
        <f>IF(A583="---","---",IF(AND(Geo_Face="y",Geo_Conn="f")=TRUE,INPUT!Q144,"---"))</f>
        <v>---</v>
      </c>
      <c r="Q583" s="291" t="str">
        <f t="shared" si="625"/>
        <v>---</v>
      </c>
      <c r="R583" s="441" t="str">
        <f t="shared" si="626"/>
        <v>---</v>
      </c>
    </row>
    <row r="584" spans="1:18">
      <c r="A584" s="438" t="str">
        <f t="shared" ref="A584:B584" si="628">A526</f>
        <v>---</v>
      </c>
      <c r="B584" s="294" t="str">
        <f t="shared" si="628"/>
        <v>---</v>
      </c>
      <c r="C584" s="291" t="str">
        <f t="shared" si="586"/>
        <v>---</v>
      </c>
      <c r="D584" s="291" t="str">
        <f>IF(A584="---","---",IF(Type_Reinf="g","---",INPUT!P145))</f>
        <v>---</v>
      </c>
      <c r="E584" s="441" t="str">
        <f t="shared" si="618"/>
        <v>---</v>
      </c>
      <c r="F584" s="291" t="str">
        <f t="shared" si="619"/>
        <v>---</v>
      </c>
      <c r="G584" s="291" t="str">
        <f>IF(A584="---","---",IF(Type_Reinf="g",(INPUT!M145+INPUT!N145),"---"))</f>
        <v>---</v>
      </c>
      <c r="H584" s="294" t="str">
        <f>IF(A584="---","---",IF(AND(Geo_Face="y",Geo_Conn="f")=TRUE,"---",IF(Type_Reinf="g",phi_Tensile_Combined*G584*INPUT!L145*I270/MAX(RF_D,1.1),"---")))</f>
        <v>---</v>
      </c>
      <c r="I584" s="441" t="str">
        <f t="shared" si="620"/>
        <v>---</v>
      </c>
      <c r="J584" s="291" t="str">
        <f t="shared" si="621"/>
        <v>---</v>
      </c>
      <c r="K584" s="291" t="str">
        <f>IF(A584="---","---",IF(AND(Geo_Face="y",Geo_Conn="f")=TRUE,"---",IF(Type_Reinf="g",IF(Geo_Conn="m",1,0.8)*phi_Tensile_Combined*INPUT!M145*INPUT!L145*I270/MAX(RF_D,1.1),"---")))</f>
        <v>---</v>
      </c>
      <c r="L584" s="441" t="str">
        <f t="shared" si="622"/>
        <v>---</v>
      </c>
      <c r="M584" s="290" t="str">
        <f t="shared" si="623"/>
        <v>---</v>
      </c>
      <c r="N584" s="291" t="str">
        <f>IF(A584="---","---",IF(AND(Geo_Face="y",Geo_Conn="f")=TRUE,"---",IF(Type_Reinf="g",IF(Geo_Conn="m",1,0.8)*phi_Tensile_Combined*INPUT!N145*INPUT!L145*RF_CR*I270/MAX(RF_D,1.1),"---")))</f>
        <v>---</v>
      </c>
      <c r="O584" s="441" t="str">
        <f t="shared" si="624"/>
        <v>---</v>
      </c>
      <c r="P584" s="291" t="str">
        <f>IF(A584="---","---",IF(AND(Geo_Face="y",Geo_Conn="f")=TRUE,INPUT!Q145,"---"))</f>
        <v>---</v>
      </c>
      <c r="Q584" s="291" t="str">
        <f t="shared" si="625"/>
        <v>---</v>
      </c>
      <c r="R584" s="441" t="str">
        <f t="shared" si="626"/>
        <v>---</v>
      </c>
    </row>
    <row r="585" spans="1:18">
      <c r="A585" s="438" t="str">
        <f t="shared" ref="A585:B585" si="629">A527</f>
        <v>---</v>
      </c>
      <c r="B585" s="294" t="str">
        <f t="shared" si="629"/>
        <v>---</v>
      </c>
      <c r="C585" s="291" t="str">
        <f t="shared" si="586"/>
        <v>---</v>
      </c>
      <c r="D585" s="291" t="str">
        <f>IF(A585="---","---",IF(Type_Reinf="g","---",INPUT!P146))</f>
        <v>---</v>
      </c>
      <c r="E585" s="441" t="str">
        <f t="shared" si="618"/>
        <v>---</v>
      </c>
      <c r="F585" s="291" t="str">
        <f t="shared" si="619"/>
        <v>---</v>
      </c>
      <c r="G585" s="291" t="str">
        <f>IF(A585="---","---",IF(Type_Reinf="g",(INPUT!M146+INPUT!N146),"---"))</f>
        <v>---</v>
      </c>
      <c r="H585" s="294" t="str">
        <f>IF(A585="---","---",IF(AND(Geo_Face="y",Geo_Conn="f")=TRUE,"---",IF(Type_Reinf="g",phi_Tensile_Combined*G585*INPUT!L146*I271/MAX(RF_D,1.1),"---")))</f>
        <v>---</v>
      </c>
      <c r="I585" s="441" t="str">
        <f t="shared" si="620"/>
        <v>---</v>
      </c>
      <c r="J585" s="291" t="str">
        <f t="shared" si="621"/>
        <v>---</v>
      </c>
      <c r="K585" s="291" t="str">
        <f>IF(A585="---","---",IF(AND(Geo_Face="y",Geo_Conn="f")=TRUE,"---",IF(Type_Reinf="g",IF(Geo_Conn="m",1,0.8)*phi_Tensile_Combined*INPUT!M146*INPUT!L146*I271/MAX(RF_D,1.1),"---")))</f>
        <v>---</v>
      </c>
      <c r="L585" s="441" t="str">
        <f t="shared" si="622"/>
        <v>---</v>
      </c>
      <c r="M585" s="290" t="str">
        <f t="shared" si="623"/>
        <v>---</v>
      </c>
      <c r="N585" s="291" t="str">
        <f>IF(A585="---","---",IF(AND(Geo_Face="y",Geo_Conn="f")=TRUE,"---",IF(Type_Reinf="g",IF(Geo_Conn="m",1,0.8)*phi_Tensile_Combined*INPUT!N146*INPUT!L146*RF_CR*I271/MAX(RF_D,1.1),"---")))</f>
        <v>---</v>
      </c>
      <c r="O585" s="441" t="str">
        <f t="shared" si="624"/>
        <v>---</v>
      </c>
      <c r="P585" s="291" t="str">
        <f>IF(A585="---","---",IF(AND(Geo_Face="y",Geo_Conn="f")=TRUE,INPUT!Q146,"---"))</f>
        <v>---</v>
      </c>
      <c r="Q585" s="291" t="str">
        <f t="shared" si="625"/>
        <v>---</v>
      </c>
      <c r="R585" s="441" t="str">
        <f t="shared" si="626"/>
        <v>---</v>
      </c>
    </row>
    <row r="586" spans="1:18">
      <c r="A586" s="438" t="str">
        <f t="shared" ref="A586:B586" si="630">A528</f>
        <v>---</v>
      </c>
      <c r="B586" s="294" t="str">
        <f t="shared" si="630"/>
        <v>---</v>
      </c>
      <c r="C586" s="291" t="str">
        <f t="shared" si="586"/>
        <v>---</v>
      </c>
      <c r="D586" s="291" t="str">
        <f>IF(A586="---","---",IF(Type_Reinf="g","---",INPUT!P147))</f>
        <v>---</v>
      </c>
      <c r="E586" s="441" t="str">
        <f t="shared" si="618"/>
        <v>---</v>
      </c>
      <c r="F586" s="291" t="str">
        <f t="shared" si="619"/>
        <v>---</v>
      </c>
      <c r="G586" s="291" t="str">
        <f>IF(A586="---","---",IF(Type_Reinf="g",(INPUT!M147+INPUT!N147),"---"))</f>
        <v>---</v>
      </c>
      <c r="H586" s="294" t="str">
        <f>IF(A586="---","---",IF(AND(Geo_Face="y",Geo_Conn="f")=TRUE,"---",IF(Type_Reinf="g",phi_Tensile_Combined*G586*INPUT!L147*I272/MAX(RF_D,1.1),"---")))</f>
        <v>---</v>
      </c>
      <c r="I586" s="441" t="str">
        <f t="shared" si="620"/>
        <v>---</v>
      </c>
      <c r="J586" s="291" t="str">
        <f t="shared" si="621"/>
        <v>---</v>
      </c>
      <c r="K586" s="291" t="str">
        <f>IF(A586="---","---",IF(AND(Geo_Face="y",Geo_Conn="f")=TRUE,"---",IF(Type_Reinf="g",IF(Geo_Conn="m",1,0.8)*phi_Tensile_Combined*INPUT!M147*INPUT!L147*I272/MAX(RF_D,1.1),"---")))</f>
        <v>---</v>
      </c>
      <c r="L586" s="441" t="str">
        <f t="shared" si="622"/>
        <v>---</v>
      </c>
      <c r="M586" s="290" t="str">
        <f t="shared" si="623"/>
        <v>---</v>
      </c>
      <c r="N586" s="291" t="str">
        <f>IF(A586="---","---",IF(AND(Geo_Face="y",Geo_Conn="f")=TRUE,"---",IF(Type_Reinf="g",IF(Geo_Conn="m",1,0.8)*phi_Tensile_Combined*INPUT!N147*INPUT!L147*RF_CR*I272/MAX(RF_D,1.1),"---")))</f>
        <v>---</v>
      </c>
      <c r="O586" s="441" t="str">
        <f t="shared" si="624"/>
        <v>---</v>
      </c>
      <c r="P586" s="291" t="str">
        <f>IF(A586="---","---",IF(AND(Geo_Face="y",Geo_Conn="f")=TRUE,INPUT!Q147,"---"))</f>
        <v>---</v>
      </c>
      <c r="Q586" s="291" t="str">
        <f t="shared" si="625"/>
        <v>---</v>
      </c>
      <c r="R586" s="441" t="str">
        <f t="shared" si="626"/>
        <v>---</v>
      </c>
    </row>
    <row r="587" spans="1:18">
      <c r="A587" s="438" t="str">
        <f t="shared" ref="A587:B587" si="631">A529</f>
        <v>---</v>
      </c>
      <c r="B587" s="294" t="str">
        <f t="shared" si="631"/>
        <v>---</v>
      </c>
      <c r="C587" s="291" t="str">
        <f t="shared" si="586"/>
        <v>---</v>
      </c>
      <c r="D587" s="291" t="str">
        <f>IF(A587="---","---",IF(Type_Reinf="g","---",INPUT!P148))</f>
        <v>---</v>
      </c>
      <c r="E587" s="441" t="str">
        <f t="shared" si="618"/>
        <v>---</v>
      </c>
      <c r="F587" s="291" t="str">
        <f t="shared" si="619"/>
        <v>---</v>
      </c>
      <c r="G587" s="291" t="str">
        <f>IF(A587="---","---",IF(Type_Reinf="g",(INPUT!M148+INPUT!N148),"---"))</f>
        <v>---</v>
      </c>
      <c r="H587" s="294" t="str">
        <f>IF(A587="---","---",IF(AND(Geo_Face="y",Geo_Conn="f")=TRUE,"---",IF(Type_Reinf="g",phi_Tensile_Combined*G587*INPUT!L148*I273/MAX(RF_D,1.1),"---")))</f>
        <v>---</v>
      </c>
      <c r="I587" s="441" t="str">
        <f t="shared" si="620"/>
        <v>---</v>
      </c>
      <c r="J587" s="291" t="str">
        <f t="shared" si="621"/>
        <v>---</v>
      </c>
      <c r="K587" s="291" t="str">
        <f>IF(A587="---","---",IF(AND(Geo_Face="y",Geo_Conn="f")=TRUE,"---",IF(Type_Reinf="g",IF(Geo_Conn="m",1,0.8)*phi_Tensile_Combined*INPUT!M148*INPUT!L148*I273/MAX(RF_D,1.1),"---")))</f>
        <v>---</v>
      </c>
      <c r="L587" s="441" t="str">
        <f t="shared" si="622"/>
        <v>---</v>
      </c>
      <c r="M587" s="290" t="str">
        <f t="shared" si="623"/>
        <v>---</v>
      </c>
      <c r="N587" s="291" t="str">
        <f>IF(A587="---","---",IF(AND(Geo_Face="y",Geo_Conn="f")=TRUE,"---",IF(Type_Reinf="g",IF(Geo_Conn="m",1,0.8)*phi_Tensile_Combined*INPUT!N148*INPUT!L148*RF_CR*I273/MAX(RF_D,1.1),"---")))</f>
        <v>---</v>
      </c>
      <c r="O587" s="441" t="str">
        <f t="shared" si="624"/>
        <v>---</v>
      </c>
      <c r="P587" s="291" t="str">
        <f>IF(A587="---","---",IF(AND(Geo_Face="y",Geo_Conn="f")=TRUE,INPUT!Q148,"---"))</f>
        <v>---</v>
      </c>
      <c r="Q587" s="291" t="str">
        <f t="shared" si="625"/>
        <v>---</v>
      </c>
      <c r="R587" s="441" t="str">
        <f t="shared" si="626"/>
        <v>---</v>
      </c>
    </row>
    <row r="588" spans="1:18">
      <c r="A588" s="438" t="str">
        <f t="shared" ref="A588:B588" si="632">A530</f>
        <v>---</v>
      </c>
      <c r="B588" s="294" t="str">
        <f t="shared" si="632"/>
        <v>---</v>
      </c>
      <c r="C588" s="291" t="str">
        <f t="shared" si="586"/>
        <v>---</v>
      </c>
      <c r="D588" s="291" t="str">
        <f>IF(A588="---","---",IF(Type_Reinf="g","---",INPUT!P149))</f>
        <v>---</v>
      </c>
      <c r="E588" s="441" t="str">
        <f t="shared" si="618"/>
        <v>---</v>
      </c>
      <c r="F588" s="291" t="str">
        <f t="shared" si="619"/>
        <v>---</v>
      </c>
      <c r="G588" s="291" t="str">
        <f>IF(A588="---","---",IF(Type_Reinf="g",(INPUT!M149+INPUT!N149),"---"))</f>
        <v>---</v>
      </c>
      <c r="H588" s="294" t="str">
        <f>IF(A588="---","---",IF(AND(Geo_Face="y",Geo_Conn="f")=TRUE,"---",IF(Type_Reinf="g",phi_Tensile_Combined*G588*INPUT!L149*I274/MAX(RF_D,1.1),"---")))</f>
        <v>---</v>
      </c>
      <c r="I588" s="441" t="str">
        <f t="shared" si="620"/>
        <v>---</v>
      </c>
      <c r="J588" s="291" t="str">
        <f t="shared" si="621"/>
        <v>---</v>
      </c>
      <c r="K588" s="291" t="str">
        <f>IF(A588="---","---",IF(AND(Geo_Face="y",Geo_Conn="f")=TRUE,"---",IF(Type_Reinf="g",IF(Geo_Conn="m",1,0.8)*phi_Tensile_Combined*INPUT!M149*INPUT!L149*I274/MAX(RF_D,1.1),"---")))</f>
        <v>---</v>
      </c>
      <c r="L588" s="441" t="str">
        <f t="shared" si="622"/>
        <v>---</v>
      </c>
      <c r="M588" s="290" t="str">
        <f t="shared" si="623"/>
        <v>---</v>
      </c>
      <c r="N588" s="291" t="str">
        <f>IF(A588="---","---",IF(AND(Geo_Face="y",Geo_Conn="f")=TRUE,"---",IF(Type_Reinf="g",IF(Geo_Conn="m",1,0.8)*phi_Tensile_Combined*INPUT!N149*INPUT!L149*RF_CR*I274/MAX(RF_D,1.1),"---")))</f>
        <v>---</v>
      </c>
      <c r="O588" s="441" t="str">
        <f t="shared" si="624"/>
        <v>---</v>
      </c>
      <c r="P588" s="291" t="str">
        <f>IF(A588="---","---",IF(AND(Geo_Face="y",Geo_Conn="f")=TRUE,INPUT!Q149,"---"))</f>
        <v>---</v>
      </c>
      <c r="Q588" s="291" t="str">
        <f t="shared" si="625"/>
        <v>---</v>
      </c>
      <c r="R588" s="441" t="str">
        <f t="shared" si="626"/>
        <v>---</v>
      </c>
    </row>
    <row r="589" spans="1:18">
      <c r="A589" s="438" t="str">
        <f t="shared" ref="A589:B589" si="633">A531</f>
        <v>---</v>
      </c>
      <c r="B589" s="294" t="str">
        <f t="shared" si="633"/>
        <v>---</v>
      </c>
      <c r="C589" s="291" t="str">
        <f t="shared" si="586"/>
        <v>---</v>
      </c>
      <c r="D589" s="291" t="str">
        <f>IF(A589="---","---",IF(Type_Reinf="g","---",INPUT!P150))</f>
        <v>---</v>
      </c>
      <c r="E589" s="441" t="str">
        <f t="shared" si="618"/>
        <v>---</v>
      </c>
      <c r="F589" s="291" t="str">
        <f t="shared" si="619"/>
        <v>---</v>
      </c>
      <c r="G589" s="291" t="str">
        <f>IF(A589="---","---",IF(Type_Reinf="g",(INPUT!M150+INPUT!N150),"---"))</f>
        <v>---</v>
      </c>
      <c r="H589" s="294" t="str">
        <f>IF(A589="---","---",IF(AND(Geo_Face="y",Geo_Conn="f")=TRUE,"---",IF(Type_Reinf="g",phi_Tensile_Combined*G589*INPUT!L150*I275/MAX(RF_D,1.1),"---")))</f>
        <v>---</v>
      </c>
      <c r="I589" s="441" t="str">
        <f t="shared" si="620"/>
        <v>---</v>
      </c>
      <c r="J589" s="291" t="str">
        <f t="shared" si="621"/>
        <v>---</v>
      </c>
      <c r="K589" s="291" t="str">
        <f>IF(A589="---","---",IF(AND(Geo_Face="y",Geo_Conn="f")=TRUE,"---",IF(Type_Reinf="g",IF(Geo_Conn="m",1,0.8)*phi_Tensile_Combined*INPUT!M150*INPUT!L150*I275/MAX(RF_D,1.1),"---")))</f>
        <v>---</v>
      </c>
      <c r="L589" s="441" t="str">
        <f t="shared" si="622"/>
        <v>---</v>
      </c>
      <c r="M589" s="290" t="str">
        <f t="shared" si="623"/>
        <v>---</v>
      </c>
      <c r="N589" s="291" t="str">
        <f>IF(A589="---","---",IF(AND(Geo_Face="y",Geo_Conn="f")=TRUE,"---",IF(Type_Reinf="g",IF(Geo_Conn="m",1,0.8)*phi_Tensile_Combined*INPUT!N150*INPUT!L150*RF_CR*I275/MAX(RF_D,1.1),"---")))</f>
        <v>---</v>
      </c>
      <c r="O589" s="441" t="str">
        <f t="shared" si="624"/>
        <v>---</v>
      </c>
      <c r="P589" s="291" t="str">
        <f>IF(A589="---","---",IF(AND(Geo_Face="y",Geo_Conn="f")=TRUE,INPUT!Q150,"---"))</f>
        <v>---</v>
      </c>
      <c r="Q589" s="291" t="str">
        <f t="shared" si="625"/>
        <v>---</v>
      </c>
      <c r="R589" s="441" t="str">
        <f t="shared" si="626"/>
        <v>---</v>
      </c>
    </row>
    <row r="590" spans="1:18">
      <c r="A590" s="438" t="str">
        <f t="shared" ref="A590:B590" si="634">A532</f>
        <v>---</v>
      </c>
      <c r="B590" s="294" t="str">
        <f t="shared" si="634"/>
        <v>---</v>
      </c>
      <c r="C590" s="291" t="str">
        <f t="shared" si="586"/>
        <v>---</v>
      </c>
      <c r="D590" s="291" t="str">
        <f>IF(A590="---","---",IF(Type_Reinf="g","---",INPUT!P151))</f>
        <v>---</v>
      </c>
      <c r="E590" s="441" t="str">
        <f t="shared" si="618"/>
        <v>---</v>
      </c>
      <c r="F590" s="291" t="str">
        <f t="shared" si="619"/>
        <v>---</v>
      </c>
      <c r="G590" s="291" t="str">
        <f>IF(A590="---","---",IF(Type_Reinf="g",(INPUT!M151+INPUT!N151),"---"))</f>
        <v>---</v>
      </c>
      <c r="H590" s="294" t="str">
        <f>IF(A590="---","---",IF(AND(Geo_Face="y",Geo_Conn="f")=TRUE,"---",IF(Type_Reinf="g",phi_Tensile_Combined*G590*INPUT!L151*I276/MAX(RF_D,1.1),"---")))</f>
        <v>---</v>
      </c>
      <c r="I590" s="441" t="str">
        <f t="shared" si="620"/>
        <v>---</v>
      </c>
      <c r="J590" s="291" t="str">
        <f t="shared" si="621"/>
        <v>---</v>
      </c>
      <c r="K590" s="291" t="str">
        <f>IF(A590="---","---",IF(AND(Geo_Face="y",Geo_Conn="f")=TRUE,"---",IF(Type_Reinf="g",IF(Geo_Conn="m",1,0.8)*phi_Tensile_Combined*INPUT!M151*INPUT!L151*I276/MAX(RF_D,1.1),"---")))</f>
        <v>---</v>
      </c>
      <c r="L590" s="441" t="str">
        <f t="shared" si="622"/>
        <v>---</v>
      </c>
      <c r="M590" s="290" t="str">
        <f t="shared" si="623"/>
        <v>---</v>
      </c>
      <c r="N590" s="291" t="str">
        <f>IF(A590="---","---",IF(AND(Geo_Face="y",Geo_Conn="f")=TRUE,"---",IF(Type_Reinf="g",IF(Geo_Conn="m",1,0.8)*phi_Tensile_Combined*INPUT!N151*INPUT!L151*RF_CR*I276/MAX(RF_D,1.1),"---")))</f>
        <v>---</v>
      </c>
      <c r="O590" s="441" t="str">
        <f t="shared" si="624"/>
        <v>---</v>
      </c>
      <c r="P590" s="291" t="str">
        <f>IF(A590="---","---",IF(AND(Geo_Face="y",Geo_Conn="f")=TRUE,INPUT!Q151,"---"))</f>
        <v>---</v>
      </c>
      <c r="Q590" s="291" t="str">
        <f t="shared" si="625"/>
        <v>---</v>
      </c>
      <c r="R590" s="441" t="str">
        <f t="shared" si="626"/>
        <v>---</v>
      </c>
    </row>
    <row r="591" spans="1:18">
      <c r="A591" s="438" t="str">
        <f t="shared" ref="A591:B591" si="635">A533</f>
        <v>---</v>
      </c>
      <c r="B591" s="294" t="str">
        <f t="shared" si="635"/>
        <v>---</v>
      </c>
      <c r="C591" s="291" t="str">
        <f t="shared" si="586"/>
        <v>---</v>
      </c>
      <c r="D591" s="291" t="str">
        <f>IF(A591="---","---",IF(Type_Reinf="g","---",INPUT!P152))</f>
        <v>---</v>
      </c>
      <c r="E591" s="441" t="str">
        <f t="shared" si="618"/>
        <v>---</v>
      </c>
      <c r="F591" s="291" t="str">
        <f t="shared" si="619"/>
        <v>---</v>
      </c>
      <c r="G591" s="291" t="str">
        <f>IF(A591="---","---",IF(Type_Reinf="g",(INPUT!M152+INPUT!N152),"---"))</f>
        <v>---</v>
      </c>
      <c r="H591" s="294" t="str">
        <f>IF(A591="---","---",IF(AND(Geo_Face="y",Geo_Conn="f")=TRUE,"---",IF(Type_Reinf="g",phi_Tensile_Combined*G591*INPUT!L152*I277/MAX(RF_D,1.1),"---")))</f>
        <v>---</v>
      </c>
      <c r="I591" s="441" t="str">
        <f t="shared" si="620"/>
        <v>---</v>
      </c>
      <c r="J591" s="291" t="str">
        <f t="shared" si="621"/>
        <v>---</v>
      </c>
      <c r="K591" s="291" t="str">
        <f>IF(A591="---","---",IF(AND(Geo_Face="y",Geo_Conn="f")=TRUE,"---",IF(Type_Reinf="g",IF(Geo_Conn="m",1,0.8)*phi_Tensile_Combined*INPUT!M152*INPUT!L152*I277/MAX(RF_D,1.1),"---")))</f>
        <v>---</v>
      </c>
      <c r="L591" s="441" t="str">
        <f t="shared" si="622"/>
        <v>---</v>
      </c>
      <c r="M591" s="290" t="str">
        <f t="shared" si="623"/>
        <v>---</v>
      </c>
      <c r="N591" s="291" t="str">
        <f>IF(A591="---","---",IF(AND(Geo_Face="y",Geo_Conn="f")=TRUE,"---",IF(Type_Reinf="g",IF(Geo_Conn="m",1,0.8)*phi_Tensile_Combined*INPUT!N152*INPUT!L152*RF_CR*I277/MAX(RF_D,1.1),"---")))</f>
        <v>---</v>
      </c>
      <c r="O591" s="441" t="str">
        <f t="shared" si="624"/>
        <v>---</v>
      </c>
      <c r="P591" s="291" t="str">
        <f>IF(A591="---","---",IF(AND(Geo_Face="y",Geo_Conn="f")=TRUE,INPUT!Q152,"---"))</f>
        <v>---</v>
      </c>
      <c r="Q591" s="291" t="str">
        <f t="shared" si="625"/>
        <v>---</v>
      </c>
      <c r="R591" s="441" t="str">
        <f t="shared" si="626"/>
        <v>---</v>
      </c>
    </row>
    <row r="592" spans="1:18">
      <c r="A592" s="438" t="str">
        <f t="shared" ref="A592:B592" si="636">A534</f>
        <v>---</v>
      </c>
      <c r="B592" s="294" t="str">
        <f t="shared" si="636"/>
        <v>---</v>
      </c>
      <c r="C592" s="291" t="str">
        <f t="shared" si="586"/>
        <v>---</v>
      </c>
      <c r="D592" s="291" t="str">
        <f>IF(A592="---","---",IF(Type_Reinf="g","---",INPUT!P153))</f>
        <v>---</v>
      </c>
      <c r="E592" s="441" t="str">
        <f t="shared" si="618"/>
        <v>---</v>
      </c>
      <c r="F592" s="291" t="str">
        <f t="shared" si="619"/>
        <v>---</v>
      </c>
      <c r="G592" s="291" t="str">
        <f>IF(A592="---","---",IF(Type_Reinf="g",(INPUT!M153+INPUT!N153),"---"))</f>
        <v>---</v>
      </c>
      <c r="H592" s="294" t="str">
        <f>IF(A592="---","---",IF(AND(Geo_Face="y",Geo_Conn="f")=TRUE,"---",IF(Type_Reinf="g",phi_Tensile_Combined*G592*INPUT!L153*I278/MAX(RF_D,1.1),"---")))</f>
        <v>---</v>
      </c>
      <c r="I592" s="441" t="str">
        <f t="shared" si="620"/>
        <v>---</v>
      </c>
      <c r="J592" s="291" t="str">
        <f t="shared" si="621"/>
        <v>---</v>
      </c>
      <c r="K592" s="291" t="str">
        <f>IF(A592="---","---",IF(AND(Geo_Face="y",Geo_Conn="f")=TRUE,"---",IF(Type_Reinf="g",IF(Geo_Conn="m",1,0.8)*phi_Tensile_Combined*INPUT!M153*INPUT!L153*I278/MAX(RF_D,1.1),"---")))</f>
        <v>---</v>
      </c>
      <c r="L592" s="441" t="str">
        <f t="shared" si="622"/>
        <v>---</v>
      </c>
      <c r="M592" s="290" t="str">
        <f t="shared" si="623"/>
        <v>---</v>
      </c>
      <c r="N592" s="291" t="str">
        <f>IF(A592="---","---",IF(AND(Geo_Face="y",Geo_Conn="f")=TRUE,"---",IF(Type_Reinf="g",IF(Geo_Conn="m",1,0.8)*phi_Tensile_Combined*INPUT!N153*INPUT!L153*RF_CR*I278/MAX(RF_D,1.1),"---")))</f>
        <v>---</v>
      </c>
      <c r="O592" s="441" t="str">
        <f t="shared" si="624"/>
        <v>---</v>
      </c>
      <c r="P592" s="291" t="str">
        <f>IF(A592="---","---",IF(AND(Geo_Face="y",Geo_Conn="f")=TRUE,INPUT!Q153,"---"))</f>
        <v>---</v>
      </c>
      <c r="Q592" s="291" t="str">
        <f t="shared" si="625"/>
        <v>---</v>
      </c>
      <c r="R592" s="441" t="str">
        <f t="shared" si="626"/>
        <v>---</v>
      </c>
    </row>
    <row r="593" spans="1:19">
      <c r="A593" s="438" t="str">
        <f t="shared" ref="A593:B593" si="637">A535</f>
        <v>---</v>
      </c>
      <c r="B593" s="294" t="str">
        <f t="shared" si="637"/>
        <v>---</v>
      </c>
      <c r="C593" s="291" t="str">
        <f t="shared" si="586"/>
        <v>---</v>
      </c>
      <c r="D593" s="291" t="str">
        <f>IF(A593="---","---",IF(Type_Reinf="g","---",INPUT!P154))</f>
        <v>---</v>
      </c>
      <c r="E593" s="441" t="str">
        <f t="shared" si="618"/>
        <v>---</v>
      </c>
      <c r="F593" s="291" t="str">
        <f t="shared" si="619"/>
        <v>---</v>
      </c>
      <c r="G593" s="291" t="str">
        <f>IF(A593="---","---",IF(Type_Reinf="g",(INPUT!M154+INPUT!N154),"---"))</f>
        <v>---</v>
      </c>
      <c r="H593" s="294" t="str">
        <f>IF(A593="---","---",IF(AND(Geo_Face="y",Geo_Conn="f")=TRUE,"---",IF(Type_Reinf="g",phi_Tensile_Combined*G593*INPUT!L154*I279/MAX(RF_D,1.1),"---")))</f>
        <v>---</v>
      </c>
      <c r="I593" s="441" t="str">
        <f t="shared" si="620"/>
        <v>---</v>
      </c>
      <c r="J593" s="291" t="str">
        <f t="shared" si="621"/>
        <v>---</v>
      </c>
      <c r="K593" s="291" t="str">
        <f>IF(A593="---","---",IF(AND(Geo_Face="y",Geo_Conn="f")=TRUE,"---",IF(Type_Reinf="g",IF(Geo_Conn="m",1,0.8)*phi_Tensile_Combined*INPUT!M154*INPUT!L154*I279/MAX(RF_D,1.1),"---")))</f>
        <v>---</v>
      </c>
      <c r="L593" s="441" t="str">
        <f t="shared" si="622"/>
        <v>---</v>
      </c>
      <c r="M593" s="290" t="str">
        <f t="shared" si="623"/>
        <v>---</v>
      </c>
      <c r="N593" s="291" t="str">
        <f>IF(A593="---","---",IF(AND(Geo_Face="y",Geo_Conn="f")=TRUE,"---",IF(Type_Reinf="g",IF(Geo_Conn="m",1,0.8)*phi_Tensile_Combined*INPUT!N154*INPUT!L154*RF_CR*I279/MAX(RF_D,1.1),"---")))</f>
        <v>---</v>
      </c>
      <c r="O593" s="441" t="str">
        <f t="shared" si="624"/>
        <v>---</v>
      </c>
      <c r="P593" s="291" t="str">
        <f>IF(A593="---","---",IF(AND(Geo_Face="y",Geo_Conn="f")=TRUE,INPUT!Q154,"---"))</f>
        <v>---</v>
      </c>
      <c r="Q593" s="291" t="str">
        <f t="shared" si="625"/>
        <v>---</v>
      </c>
      <c r="R593" s="441" t="str">
        <f t="shared" si="626"/>
        <v>---</v>
      </c>
    </row>
    <row r="594" spans="1:19">
      <c r="A594" s="438" t="str">
        <f t="shared" ref="A594:B594" si="638">A536</f>
        <v>---</v>
      </c>
      <c r="B594" s="294" t="str">
        <f t="shared" si="638"/>
        <v>---</v>
      </c>
      <c r="C594" s="291" t="str">
        <f t="shared" si="586"/>
        <v>---</v>
      </c>
      <c r="D594" s="291" t="str">
        <f>IF(A594="---","---",IF(Type_Reinf="g","---",INPUT!P155))</f>
        <v>---</v>
      </c>
      <c r="E594" s="441" t="str">
        <f t="shared" si="618"/>
        <v>---</v>
      </c>
      <c r="F594" s="291" t="str">
        <f t="shared" si="619"/>
        <v>---</v>
      </c>
      <c r="G594" s="291" t="str">
        <f>IF(A594="---","---",IF(Type_Reinf="g",(INPUT!M155+INPUT!N155),"---"))</f>
        <v>---</v>
      </c>
      <c r="H594" s="294" t="str">
        <f>IF(A594="---","---",IF(AND(Geo_Face="y",Geo_Conn="f")=TRUE,"---",IF(Type_Reinf="g",phi_Tensile_Combined*G594*INPUT!L155*I280/MAX(RF_D,1.1),"---")))</f>
        <v>---</v>
      </c>
      <c r="I594" s="441" t="str">
        <f t="shared" si="620"/>
        <v>---</v>
      </c>
      <c r="J594" s="291" t="str">
        <f t="shared" si="621"/>
        <v>---</v>
      </c>
      <c r="K594" s="291" t="str">
        <f>IF(A594="---","---",IF(AND(Geo_Face="y",Geo_Conn="f")=TRUE,"---",IF(Type_Reinf="g",IF(Geo_Conn="m",1,0.8)*phi_Tensile_Combined*INPUT!M155*INPUT!L155*I280/MAX(RF_D,1.1),"---")))</f>
        <v>---</v>
      </c>
      <c r="L594" s="441" t="str">
        <f t="shared" si="622"/>
        <v>---</v>
      </c>
      <c r="M594" s="290" t="str">
        <f t="shared" si="623"/>
        <v>---</v>
      </c>
      <c r="N594" s="291" t="str">
        <f>IF(A594="---","---",IF(AND(Geo_Face="y",Geo_Conn="f")=TRUE,"---",IF(Type_Reinf="g",IF(Geo_Conn="m",1,0.8)*phi_Tensile_Combined*INPUT!N155*INPUT!L155*RF_CR*I280/MAX(RF_D,1.1),"---")))</f>
        <v>---</v>
      </c>
      <c r="O594" s="441" t="str">
        <f t="shared" si="624"/>
        <v>---</v>
      </c>
      <c r="P594" s="291" t="str">
        <f>IF(A594="---","---",IF(AND(Geo_Face="y",Geo_Conn="f")=TRUE,INPUT!Q155,"---"))</f>
        <v>---</v>
      </c>
      <c r="Q594" s="291" t="str">
        <f t="shared" si="625"/>
        <v>---</v>
      </c>
      <c r="R594" s="441" t="str">
        <f t="shared" si="626"/>
        <v>---</v>
      </c>
    </row>
    <row r="595" spans="1:19">
      <c r="A595" s="438" t="str">
        <f t="shared" ref="A595:B595" si="639">A537</f>
        <v>---</v>
      </c>
      <c r="B595" s="294" t="str">
        <f t="shared" si="639"/>
        <v>---</v>
      </c>
      <c r="C595" s="291" t="str">
        <f t="shared" si="586"/>
        <v>---</v>
      </c>
      <c r="D595" s="291" t="str">
        <f>IF(A595="---","---",IF(Type_Reinf="g","---",INPUT!P156))</f>
        <v>---</v>
      </c>
      <c r="E595" s="441" t="str">
        <f t="shared" si="618"/>
        <v>---</v>
      </c>
      <c r="F595" s="291" t="str">
        <f t="shared" si="619"/>
        <v>---</v>
      </c>
      <c r="G595" s="291" t="str">
        <f>IF(A595="---","---",IF(Type_Reinf="g",(INPUT!M156+INPUT!N156),"---"))</f>
        <v>---</v>
      </c>
      <c r="H595" s="294" t="str">
        <f>IF(A595="---","---",IF(AND(Geo_Face="y",Geo_Conn="f")=TRUE,"---",IF(Type_Reinf="g",phi_Tensile_Combined*G595*INPUT!L156*I281/MAX(RF_D,1.1),"---")))</f>
        <v>---</v>
      </c>
      <c r="I595" s="441" t="str">
        <f t="shared" si="620"/>
        <v>---</v>
      </c>
      <c r="J595" s="291" t="str">
        <f t="shared" si="621"/>
        <v>---</v>
      </c>
      <c r="K595" s="291" t="str">
        <f>IF(A595="---","---",IF(AND(Geo_Face="y",Geo_Conn="f")=TRUE,"---",IF(Type_Reinf="g",IF(Geo_Conn="m",1,0.8)*phi_Tensile_Combined*INPUT!M156*INPUT!L156*I281/MAX(RF_D,1.1),"---")))</f>
        <v>---</v>
      </c>
      <c r="L595" s="441" t="str">
        <f t="shared" si="622"/>
        <v>---</v>
      </c>
      <c r="M595" s="290" t="str">
        <f t="shared" si="623"/>
        <v>---</v>
      </c>
      <c r="N595" s="291" t="str">
        <f>IF(A595="---","---",IF(AND(Geo_Face="y",Geo_Conn="f")=TRUE,"---",IF(Type_Reinf="g",IF(Geo_Conn="m",1,0.8)*phi_Tensile_Combined*INPUT!N156*INPUT!L156*RF_CR*I281/MAX(RF_D,1.1),"---")))</f>
        <v>---</v>
      </c>
      <c r="O595" s="441" t="str">
        <f t="shared" si="624"/>
        <v>---</v>
      </c>
      <c r="P595" s="291" t="str">
        <f>IF(A595="---","---",IF(AND(Geo_Face="y",Geo_Conn="f")=TRUE,INPUT!Q156,"---"))</f>
        <v>---</v>
      </c>
      <c r="Q595" s="291" t="str">
        <f t="shared" si="625"/>
        <v>---</v>
      </c>
      <c r="R595" s="441" t="str">
        <f t="shared" si="626"/>
        <v>---</v>
      </c>
    </row>
    <row r="596" spans="1:19">
      <c r="A596" s="438" t="str">
        <f t="shared" ref="A596:B596" si="640">A538</f>
        <v>---</v>
      </c>
      <c r="B596" s="294" t="str">
        <f t="shared" si="640"/>
        <v>---</v>
      </c>
      <c r="C596" s="291" t="str">
        <f t="shared" si="586"/>
        <v>---</v>
      </c>
      <c r="D596" s="291" t="str">
        <f>IF(A596="---","---",IF(Type_Reinf="g","---",INPUT!P157))</f>
        <v>---</v>
      </c>
      <c r="E596" s="441" t="str">
        <f t="shared" si="618"/>
        <v>---</v>
      </c>
      <c r="F596" s="291" t="str">
        <f t="shared" si="619"/>
        <v>---</v>
      </c>
      <c r="G596" s="291" t="str">
        <f>IF(A596="---","---",IF(Type_Reinf="g",(INPUT!M157+INPUT!N157),"---"))</f>
        <v>---</v>
      </c>
      <c r="H596" s="294" t="str">
        <f>IF(A596="---","---",IF(AND(Geo_Face="y",Geo_Conn="f")=TRUE,"---",IF(Type_Reinf="g",phi_Tensile_Combined*G596*INPUT!L157*I282/MAX(RF_D,1.1),"---")))</f>
        <v>---</v>
      </c>
      <c r="I596" s="441" t="str">
        <f t="shared" si="620"/>
        <v>---</v>
      </c>
      <c r="J596" s="291" t="str">
        <f t="shared" si="621"/>
        <v>---</v>
      </c>
      <c r="K596" s="291" t="str">
        <f>IF(A596="---","---",IF(AND(Geo_Face="y",Geo_Conn="f")=TRUE,"---",IF(Type_Reinf="g",IF(Geo_Conn="m",1,0.8)*phi_Tensile_Combined*INPUT!M157*INPUT!L157*I282/MAX(RF_D,1.1),"---")))</f>
        <v>---</v>
      </c>
      <c r="L596" s="441" t="str">
        <f t="shared" si="622"/>
        <v>---</v>
      </c>
      <c r="M596" s="290" t="str">
        <f t="shared" si="623"/>
        <v>---</v>
      </c>
      <c r="N596" s="291" t="str">
        <f>IF(A596="---","---",IF(AND(Geo_Face="y",Geo_Conn="f")=TRUE,"---",IF(Type_Reinf="g",IF(Geo_Conn="m",1,0.8)*phi_Tensile_Combined*INPUT!N157*INPUT!L157*RF_CR*I282/MAX(RF_D,1.1),"---")))</f>
        <v>---</v>
      </c>
      <c r="O596" s="441" t="str">
        <f t="shared" si="624"/>
        <v>---</v>
      </c>
      <c r="P596" s="291" t="str">
        <f>IF(A596="---","---",IF(AND(Geo_Face="y",Geo_Conn="f")=TRUE,INPUT!Q157,"---"))</f>
        <v>---</v>
      </c>
      <c r="Q596" s="291" t="str">
        <f t="shared" si="625"/>
        <v>---</v>
      </c>
      <c r="R596" s="441" t="str">
        <f t="shared" si="626"/>
        <v>---</v>
      </c>
    </row>
    <row r="597" spans="1:19">
      <c r="A597" s="438" t="str">
        <f t="shared" ref="A597:B597" si="641">A539</f>
        <v>---</v>
      </c>
      <c r="B597" s="294" t="str">
        <f t="shared" si="641"/>
        <v>---</v>
      </c>
      <c r="C597" s="291" t="str">
        <f t="shared" si="586"/>
        <v>---</v>
      </c>
      <c r="D597" s="291" t="str">
        <f>IF(A597="---","---",IF(Type_Reinf="g","---",INPUT!P158))</f>
        <v>---</v>
      </c>
      <c r="E597" s="441" t="str">
        <f t="shared" si="618"/>
        <v>---</v>
      </c>
      <c r="F597" s="291" t="str">
        <f t="shared" si="619"/>
        <v>---</v>
      </c>
      <c r="G597" s="291" t="str">
        <f>IF(A597="---","---",IF(Type_Reinf="g",(INPUT!M158+INPUT!N158),"---"))</f>
        <v>---</v>
      </c>
      <c r="H597" s="294" t="str">
        <f>IF(A597="---","---",IF(AND(Geo_Face="y",Geo_Conn="f")=TRUE,"---",IF(Type_Reinf="g",phi_Tensile_Combined*G597*INPUT!L158*I283/MAX(RF_D,1.1),"---")))</f>
        <v>---</v>
      </c>
      <c r="I597" s="441" t="str">
        <f t="shared" si="620"/>
        <v>---</v>
      </c>
      <c r="J597" s="291" t="str">
        <f t="shared" si="621"/>
        <v>---</v>
      </c>
      <c r="K597" s="291" t="str">
        <f>IF(A597="---","---",IF(AND(Geo_Face="y",Geo_Conn="f")=TRUE,"---",IF(Type_Reinf="g",IF(Geo_Conn="m",1,0.8)*phi_Tensile_Combined*INPUT!M158*INPUT!L158*I283/MAX(RF_D,1.1),"---")))</f>
        <v>---</v>
      </c>
      <c r="L597" s="441" t="str">
        <f t="shared" si="622"/>
        <v>---</v>
      </c>
      <c r="M597" s="290" t="str">
        <f t="shared" si="623"/>
        <v>---</v>
      </c>
      <c r="N597" s="291" t="str">
        <f>IF(A597="---","---",IF(AND(Geo_Face="y",Geo_Conn="f")=TRUE,"---",IF(Type_Reinf="g",IF(Geo_Conn="m",1,0.8)*phi_Tensile_Combined*INPUT!N158*INPUT!L158*RF_CR*I283/MAX(RF_D,1.1),"---")))</f>
        <v>---</v>
      </c>
      <c r="O597" s="441" t="str">
        <f t="shared" si="624"/>
        <v>---</v>
      </c>
      <c r="P597" s="291" t="str">
        <f>IF(A597="---","---",IF(AND(Geo_Face="y",Geo_Conn="f")=TRUE,INPUT!Q158,"---"))</f>
        <v>---</v>
      </c>
      <c r="Q597" s="291" t="str">
        <f t="shared" si="625"/>
        <v>---</v>
      </c>
      <c r="R597" s="441" t="str">
        <f t="shared" si="626"/>
        <v>---</v>
      </c>
    </row>
    <row r="598" spans="1:19">
      <c r="A598" s="438" t="str">
        <f t="shared" ref="A598:B598" si="642">A540</f>
        <v>---</v>
      </c>
      <c r="B598" s="294" t="str">
        <f t="shared" si="642"/>
        <v>---</v>
      </c>
      <c r="C598" s="291" t="str">
        <f t="shared" si="586"/>
        <v>---</v>
      </c>
      <c r="D598" s="291" t="str">
        <f>IF(A598="---","---",IF(Type_Reinf="g","---",INPUT!P159))</f>
        <v>---</v>
      </c>
      <c r="E598" s="441" t="str">
        <f t="shared" si="618"/>
        <v>---</v>
      </c>
      <c r="F598" s="291" t="str">
        <f t="shared" si="619"/>
        <v>---</v>
      </c>
      <c r="G598" s="291" t="str">
        <f>IF(A598="---","---",IF(Type_Reinf="g",(INPUT!M159+INPUT!N159),"---"))</f>
        <v>---</v>
      </c>
      <c r="H598" s="294" t="str">
        <f>IF(A598="---","---",IF(AND(Geo_Face="y",Geo_Conn="f")=TRUE,"---",IF(Type_Reinf="g",phi_Tensile_Combined*G598*INPUT!L159*I284/MAX(RF_D,1.1),"---")))</f>
        <v>---</v>
      </c>
      <c r="I598" s="441" t="str">
        <f t="shared" si="620"/>
        <v>---</v>
      </c>
      <c r="J598" s="291" t="str">
        <f t="shared" si="621"/>
        <v>---</v>
      </c>
      <c r="K598" s="291" t="str">
        <f>IF(A598="---","---",IF(AND(Geo_Face="y",Geo_Conn="f")=TRUE,"---",IF(Type_Reinf="g",IF(Geo_Conn="m",1,0.8)*phi_Tensile_Combined*INPUT!M159*INPUT!L159*I284/MAX(RF_D,1.1),"---")))</f>
        <v>---</v>
      </c>
      <c r="L598" s="441" t="str">
        <f t="shared" si="622"/>
        <v>---</v>
      </c>
      <c r="M598" s="290" t="str">
        <f t="shared" si="623"/>
        <v>---</v>
      </c>
      <c r="N598" s="291" t="str">
        <f>IF(A598="---","---",IF(AND(Geo_Face="y",Geo_Conn="f")=TRUE,"---",IF(Type_Reinf="g",IF(Geo_Conn="m",1,0.8)*phi_Tensile_Combined*INPUT!N159*INPUT!L159*RF_CR*I284/MAX(RF_D,1.1),"---")))</f>
        <v>---</v>
      </c>
      <c r="O598" s="441" t="str">
        <f t="shared" si="624"/>
        <v>---</v>
      </c>
      <c r="P598" s="291" t="str">
        <f>IF(A598="---","---",IF(AND(Geo_Face="y",Geo_Conn="f")=TRUE,INPUT!Q159,"---"))</f>
        <v>---</v>
      </c>
      <c r="Q598" s="291" t="str">
        <f t="shared" si="625"/>
        <v>---</v>
      </c>
      <c r="R598" s="441" t="str">
        <f t="shared" si="626"/>
        <v>---</v>
      </c>
    </row>
    <row r="599" spans="1:19">
      <c r="A599" s="438" t="str">
        <f t="shared" ref="A599:B599" si="643">A541</f>
        <v>---</v>
      </c>
      <c r="B599" s="294" t="str">
        <f t="shared" si="643"/>
        <v>---</v>
      </c>
      <c r="C599" s="291" t="str">
        <f t="shared" si="586"/>
        <v>---</v>
      </c>
      <c r="D599" s="291" t="str">
        <f>IF(A599="---","---",IF(Type_Reinf="g","---",INPUT!P160))</f>
        <v>---</v>
      </c>
      <c r="E599" s="441" t="str">
        <f t="shared" si="618"/>
        <v>---</v>
      </c>
      <c r="F599" s="291" t="str">
        <f t="shared" si="619"/>
        <v>---</v>
      </c>
      <c r="G599" s="291" t="str">
        <f>IF(A599="---","---",IF(Type_Reinf="g",(INPUT!M160+INPUT!N160),"---"))</f>
        <v>---</v>
      </c>
      <c r="H599" s="294" t="str">
        <f>IF(A599="---","---",IF(AND(Geo_Face="y",Geo_Conn="f")=TRUE,"---",IF(Type_Reinf="g",phi_Tensile_Combined*G599*INPUT!L160*I285/MAX(RF_D,1.1),"---")))</f>
        <v>---</v>
      </c>
      <c r="I599" s="441" t="str">
        <f t="shared" si="620"/>
        <v>---</v>
      </c>
      <c r="J599" s="291" t="str">
        <f t="shared" si="621"/>
        <v>---</v>
      </c>
      <c r="K599" s="291" t="str">
        <f>IF(A599="---","---",IF(AND(Geo_Face="y",Geo_Conn="f")=TRUE,"---",IF(Type_Reinf="g",IF(Geo_Conn="m",1,0.8)*phi_Tensile_Combined*INPUT!M160*INPUT!L160*I285/MAX(RF_D,1.1),"---")))</f>
        <v>---</v>
      </c>
      <c r="L599" s="441" t="str">
        <f t="shared" si="622"/>
        <v>---</v>
      </c>
      <c r="M599" s="290" t="str">
        <f t="shared" si="623"/>
        <v>---</v>
      </c>
      <c r="N599" s="291" t="str">
        <f>IF(A599="---","---",IF(AND(Geo_Face="y",Geo_Conn="f")=TRUE,"---",IF(Type_Reinf="g",IF(Geo_Conn="m",1,0.8)*phi_Tensile_Combined*INPUT!N160*INPUT!L160*RF_CR*I285/MAX(RF_D,1.1),"---")))</f>
        <v>---</v>
      </c>
      <c r="O599" s="441" t="str">
        <f t="shared" si="624"/>
        <v>---</v>
      </c>
      <c r="P599" s="291" t="str">
        <f>IF(A599="---","---",IF(AND(Geo_Face="y",Geo_Conn="f")=TRUE,INPUT!Q160,"---"))</f>
        <v>---</v>
      </c>
      <c r="Q599" s="291" t="str">
        <f t="shared" si="625"/>
        <v>---</v>
      </c>
      <c r="R599" s="441" t="str">
        <f t="shared" si="626"/>
        <v>---</v>
      </c>
    </row>
    <row r="601" spans="1:19">
      <c r="S601" s="37"/>
    </row>
    <row r="602" spans="1:19" ht="12.75" customHeight="1">
      <c r="A602" s="8" t="s">
        <v>419</v>
      </c>
      <c r="B602" s="8"/>
      <c r="D602" s="1" t="s">
        <v>524</v>
      </c>
      <c r="E602" s="1"/>
      <c r="J602" s="37"/>
      <c r="K602" s="225"/>
      <c r="L602" s="37"/>
      <c r="M602" s="37"/>
      <c r="S602" s="37"/>
    </row>
    <row r="603" spans="1:19" ht="12.75" customHeight="1">
      <c r="J603" s="597" t="s">
        <v>494</v>
      </c>
      <c r="K603" s="616"/>
      <c r="L603" s="616"/>
      <c r="M603" s="598"/>
      <c r="N603" s="597" t="s">
        <v>495</v>
      </c>
      <c r="O603" s="616"/>
      <c r="P603" s="598"/>
      <c r="Q603" s="597" t="s">
        <v>503</v>
      </c>
      <c r="R603" s="598"/>
    </row>
    <row r="604" spans="1:19">
      <c r="B604" s="37"/>
      <c r="J604" s="599"/>
      <c r="K604" s="636"/>
      <c r="L604" s="636"/>
      <c r="M604" s="600"/>
      <c r="N604" s="599"/>
      <c r="O604" s="636"/>
      <c r="P604" s="600"/>
      <c r="Q604" s="599"/>
      <c r="R604" s="600"/>
    </row>
    <row r="605" spans="1:19" ht="15.75">
      <c r="A605" s="100" t="s">
        <v>34</v>
      </c>
      <c r="B605" s="552" t="s">
        <v>540</v>
      </c>
      <c r="C605" s="203" t="s">
        <v>265</v>
      </c>
      <c r="D605" s="100" t="s">
        <v>266</v>
      </c>
      <c r="E605" s="202" t="s">
        <v>66</v>
      </c>
      <c r="F605" s="100" t="s">
        <v>555</v>
      </c>
      <c r="G605" s="139" t="s">
        <v>556</v>
      </c>
      <c r="H605" s="100" t="s">
        <v>295</v>
      </c>
      <c r="I605" s="203" t="s">
        <v>296</v>
      </c>
      <c r="J605" s="465" t="s">
        <v>508</v>
      </c>
      <c r="K605" s="465" t="s">
        <v>509</v>
      </c>
      <c r="L605" s="250" t="s">
        <v>510</v>
      </c>
      <c r="M605" s="98" t="s">
        <v>298</v>
      </c>
      <c r="N605" s="100" t="s">
        <v>552</v>
      </c>
      <c r="O605" s="97" t="s">
        <v>297</v>
      </c>
      <c r="P605" s="100" t="s">
        <v>520</v>
      </c>
      <c r="Q605" s="465" t="s">
        <v>499</v>
      </c>
      <c r="R605" s="465" t="s">
        <v>500</v>
      </c>
    </row>
    <row r="606" spans="1:19" ht="14.25">
      <c r="A606" s="199" t="s">
        <v>352</v>
      </c>
      <c r="B606" s="414" t="s">
        <v>42</v>
      </c>
      <c r="C606" s="130" t="s">
        <v>262</v>
      </c>
      <c r="D606" s="199" t="s">
        <v>262</v>
      </c>
      <c r="E606" s="130" t="s">
        <v>262</v>
      </c>
      <c r="F606" s="199" t="s">
        <v>263</v>
      </c>
      <c r="G606" s="199" t="s">
        <v>263</v>
      </c>
      <c r="H606" s="199" t="s">
        <v>263</v>
      </c>
      <c r="I606" s="130" t="s">
        <v>525</v>
      </c>
      <c r="J606" s="466" t="s">
        <v>154</v>
      </c>
      <c r="K606" s="466" t="s">
        <v>154</v>
      </c>
      <c r="L606" s="466" t="s">
        <v>154</v>
      </c>
      <c r="M606" s="466" t="s">
        <v>154</v>
      </c>
      <c r="N606" s="28" t="s">
        <v>154</v>
      </c>
      <c r="O606" s="178" t="s">
        <v>154</v>
      </c>
      <c r="P606" s="28" t="s">
        <v>154</v>
      </c>
      <c r="Q606" s="28" t="s">
        <v>154</v>
      </c>
      <c r="R606" s="28" t="s">
        <v>154</v>
      </c>
    </row>
    <row r="607" spans="1:19">
      <c r="A607" s="435">
        <f>IF(INPUT!B169="---","---",INPUT!A169)</f>
        <v>1</v>
      </c>
      <c r="B607" s="309">
        <f>IF($A607="---","---",IF($A607=1,Z_1a,INPUT!B169))</f>
        <v>5.39</v>
      </c>
      <c r="C607" s="309">
        <f>IF(INPUT!D169="","---",INPUT!G169)</f>
        <v>0.16300000000000001</v>
      </c>
      <c r="D607" s="309">
        <f>IF(C607="---","---",IF(C607=0,0,C607-2*$F$228))</f>
        <v>8.4040000000000017E-2</v>
      </c>
      <c r="E607" s="309">
        <f>IF(C607="---","---",INPUT!H169-2*$F$228)</f>
        <v>-7.8959999999999989E-2</v>
      </c>
      <c r="F607" s="309">
        <f>IF(C607="---","---",IF(INPUT!K169&gt;0,INPUT!K169,IF(INPUT!H169&gt;0,INPUT!F169*E607^2*PI()/4,D607*INPUT!E169)))</f>
        <v>0.16808000000000003</v>
      </c>
      <c r="G607" s="309">
        <f>IF(C607="---","---",IF(INPUT!K169&gt;0,INPUT!K169,INPUT!E169*INPUT!G169))</f>
        <v>0.32600000000000001</v>
      </c>
      <c r="H607" s="309">
        <f t="shared" ref="H607" si="644">IF(C607="---","---",IF(Type_Reinf="g",G607,F607))</f>
        <v>0.16808000000000003</v>
      </c>
      <c r="I607" s="436">
        <f>IF(C607="---","---",IF(Reinf_cont="y",1,IF(INPUT!D169=0,0,INPUT!E169/(INPUT!D169*12))))</f>
        <v>6.7204301075268827E-2</v>
      </c>
      <c r="J607" s="309">
        <f>IF(C607="---","---",IF(Type_Reinf="g","---",IF(INPUT!D169=0,0,H607*(Fy/2)/(INPUT!E169/12))))</f>
        <v>30.254400000000004</v>
      </c>
      <c r="K607" s="309" t="str">
        <f>IF(C607="---","---",IF(Type_Reinf="g",(INPUT!M169+INPUT!N169),"---"))</f>
        <v>---</v>
      </c>
      <c r="L607" s="309" t="str">
        <f t="shared" ref="L607" si="645">IF(C607="---","---",IF(Type_Reinf="g",K607/$D$231,"---"))</f>
        <v>---</v>
      </c>
      <c r="M607" s="309">
        <f t="shared" ref="M607" si="646">IF(C607="---","---",IF(Type_Reinf="g",L607,J607)*phi_Tensile_Static*I607)</f>
        <v>1.5249193548387101</v>
      </c>
      <c r="N607" s="309" t="str">
        <f>IF(C607="---","---",IF(Type_Reinf="g",K607*INPUT!L169/MAX(RF_D,1.1),"---"))</f>
        <v>---</v>
      </c>
      <c r="O607" s="309" t="str">
        <f t="shared" ref="O607" si="647">IF(C607="---","---",IF(Type_Reinf="g",phi_Tensile_Static*N607*I607,"---"))</f>
        <v>---</v>
      </c>
      <c r="P607" s="309">
        <f>IF(C607="---","---",IF(Type_Reinf="g","---",INPUT!O169))</f>
        <v>5</v>
      </c>
      <c r="Q607" s="309" t="str">
        <f>IF(Type_Reinf="g",IF(A607="---","---",phi_Tensile_Static*I607*INPUT!M169/$D$231),"---")</f>
        <v>---</v>
      </c>
      <c r="R607" s="337" t="str">
        <f>IF(Type_Reinf="g",IF(A607="---","---",phi_Tensile_Combined*I607*INPUT!N169/(MAX(RF_ID,1.1)*MAX(RF_D,1.1))),"---")</f>
        <v>---</v>
      </c>
    </row>
    <row r="608" spans="1:19">
      <c r="A608" s="435">
        <f>IF(INPUT!B170="---","---",INPUT!A170)</f>
        <v>2</v>
      </c>
      <c r="B608" s="309">
        <f>IF($A608="---","---",IF($A608=1,Z_1a,INPUT!B170))</f>
        <v>6.14</v>
      </c>
      <c r="C608" s="309">
        <f>IF(INPUT!D170="","---",INPUT!G170)</f>
        <v>0.16300000000000001</v>
      </c>
      <c r="D608" s="309">
        <f t="shared" ref="D608:D616" si="648">IF(C608="---","---",IF(C608=0,0,C608-2*$F$228))</f>
        <v>8.4040000000000017E-2</v>
      </c>
      <c r="E608" s="309">
        <f>IF(C608="---","---",INPUT!H170-2*$F$228)</f>
        <v>-7.8959999999999989E-2</v>
      </c>
      <c r="F608" s="309">
        <f>IF(C608="---","---",IF(INPUT!K170&gt;0,INPUT!K170,IF(INPUT!H170&gt;0,INPUT!F170*E608^2*PI()/4,D608*INPUT!E170)))</f>
        <v>0.16808000000000003</v>
      </c>
      <c r="G608" s="309">
        <f>IF(C608="---","---",IF(INPUT!K170&gt;0,INPUT!K170,INPUT!E170*INPUT!G170))</f>
        <v>0.32600000000000001</v>
      </c>
      <c r="H608" s="309">
        <f t="shared" ref="H608:H616" si="649">IF(C608="---","---",IF(Type_Reinf="g",G608,F608))</f>
        <v>0.16808000000000003</v>
      </c>
      <c r="I608" s="436">
        <f>IF(C608="---","---",IF(Reinf_cont="y",1,IF(INPUT!D170=0,0,INPUT!E170/(INPUT!D170*12))))</f>
        <v>6.7204301075268827E-2</v>
      </c>
      <c r="J608" s="309">
        <f>IF(C608="---","---",IF(Type_Reinf="g","---",IF(INPUT!D170=0,0,H608*(Fy/2)/(INPUT!E170/12))))</f>
        <v>30.254400000000004</v>
      </c>
      <c r="K608" s="309" t="str">
        <f>IF(C608="---","---",IF(Type_Reinf="g",(INPUT!M170+INPUT!N170),"---"))</f>
        <v>---</v>
      </c>
      <c r="L608" s="309" t="str">
        <f t="shared" ref="L608:L616" si="650">IF(C608="---","---",IF(Type_Reinf="g",K608/$D$231,"---"))</f>
        <v>---</v>
      </c>
      <c r="M608" s="309">
        <f t="shared" ref="M608:M616" si="651">IF(C608="---","---",IF(Type_Reinf="g",L608,J608)*phi_Tensile_Static*I608)</f>
        <v>1.5249193548387101</v>
      </c>
      <c r="N608" s="309" t="str">
        <f>IF(C608="---","---",IF(Type_Reinf="g",K608*INPUT!L170/MAX(RF_D,1.1),"---"))</f>
        <v>---</v>
      </c>
      <c r="O608" s="309" t="str">
        <f t="shared" ref="O608:O616" si="652">IF(C608="---","---",IF(Type_Reinf="g",phi_Tensile_Static*N608*I608,"---"))</f>
        <v>---</v>
      </c>
      <c r="P608" s="309">
        <f>IF(C608="---","---",IF(Type_Reinf="g","---",INPUT!O170))</f>
        <v>5</v>
      </c>
      <c r="Q608" s="309" t="str">
        <f>IF(Type_Reinf="g",IF(A608="---","---",phi_Tensile_Static*I608*INPUT!M170/$D$231),"---")</f>
        <v>---</v>
      </c>
      <c r="R608" s="337" t="str">
        <f>IF(Type_Reinf="g",IF(A608="---","---",phi_Tensile_Combined*I608*INPUT!N170/(MAX(RF_ID,1.1)*MAX(RF_D,1.1))),"---")</f>
        <v>---</v>
      </c>
    </row>
    <row r="609" spans="1:50">
      <c r="A609" s="435">
        <f>IF(INPUT!B171="---","---",INPUT!A171)</f>
        <v>3</v>
      </c>
      <c r="B609" s="309">
        <f>IF($A609="---","---",IF($A609=1,Z_1a,INPUT!B171))</f>
        <v>6.89</v>
      </c>
      <c r="C609" s="309">
        <f>IF(INPUT!D171="","---",INPUT!G171)</f>
        <v>0.16300000000000001</v>
      </c>
      <c r="D609" s="309">
        <f t="shared" si="648"/>
        <v>8.4040000000000017E-2</v>
      </c>
      <c r="E609" s="309">
        <f>IF(C609="---","---",INPUT!H171-2*$F$228)</f>
        <v>-7.8959999999999989E-2</v>
      </c>
      <c r="F609" s="309">
        <f>IF(C609="---","---",IF(INPUT!K171&gt;0,INPUT!K171,IF(INPUT!H171&gt;0,INPUT!F171*E609^2*PI()/4,D609*INPUT!E171)))</f>
        <v>0.16808000000000003</v>
      </c>
      <c r="G609" s="309">
        <f>IF(C609="---","---",IF(INPUT!K171&gt;0,INPUT!K171,INPUT!E171*INPUT!G171))</f>
        <v>0.32600000000000001</v>
      </c>
      <c r="H609" s="309">
        <f t="shared" si="649"/>
        <v>0.16808000000000003</v>
      </c>
      <c r="I609" s="436">
        <f>IF(C609="---","---",IF(Reinf_cont="y",1,IF(INPUT!D171=0,0,INPUT!E171/(INPUT!D171*12))))</f>
        <v>6.7204301075268827E-2</v>
      </c>
      <c r="J609" s="309">
        <f>IF(C609="---","---",IF(Type_Reinf="g","---",IF(INPUT!D171=0,0,H609*(Fy/2)/(INPUT!E171/12))))</f>
        <v>30.254400000000004</v>
      </c>
      <c r="K609" s="309" t="str">
        <f>IF(C609="---","---",IF(Type_Reinf="g",(INPUT!M171+INPUT!N171),"---"))</f>
        <v>---</v>
      </c>
      <c r="L609" s="309" t="str">
        <f t="shared" si="650"/>
        <v>---</v>
      </c>
      <c r="M609" s="309">
        <f t="shared" si="651"/>
        <v>1.5249193548387101</v>
      </c>
      <c r="N609" s="309" t="str">
        <f>IF(C609="---","---",IF(Type_Reinf="g",K609*INPUT!L171/MAX(RF_D,1.1),"---"))</f>
        <v>---</v>
      </c>
      <c r="O609" s="309" t="str">
        <f t="shared" si="652"/>
        <v>---</v>
      </c>
      <c r="P609" s="309">
        <f>IF(C609="---","---",IF(Type_Reinf="g","---",INPUT!O171))</f>
        <v>5</v>
      </c>
      <c r="Q609" s="309" t="str">
        <f>IF(Type_Reinf="g",IF(A609="---","---",phi_Tensile_Static*I609*INPUT!M171/$D$231),"---")</f>
        <v>---</v>
      </c>
      <c r="R609" s="337" t="str">
        <f>IF(Type_Reinf="g",IF(A609="---","---",phi_Tensile_Combined*I609*INPUT!N171/(MAX(RF_ID,1.1)*MAX(RF_D,1.1))),"---")</f>
        <v>---</v>
      </c>
    </row>
    <row r="610" spans="1:50">
      <c r="A610" s="435" t="str">
        <f>IF(INPUT!B172="---","---",INPUT!A172)</f>
        <v>---</v>
      </c>
      <c r="B610" s="309" t="str">
        <f>IF($A610="---","---",IF($A610=1,Z_1a,INPUT!B172))</f>
        <v>---</v>
      </c>
      <c r="C610" s="309" t="str">
        <f>IF(INPUT!D172="","---",INPUT!G172)</f>
        <v>---</v>
      </c>
      <c r="D610" s="309" t="str">
        <f t="shared" si="648"/>
        <v>---</v>
      </c>
      <c r="E610" s="309" t="str">
        <f>IF(C610="---","---",INPUT!H172-2*$F$228)</f>
        <v>---</v>
      </c>
      <c r="F610" s="309" t="str">
        <f>IF(C610="---","---",IF(INPUT!K172&gt;0,INPUT!K172,IF(INPUT!H172&gt;0,INPUT!F172*E610^2*PI()/4,D610*INPUT!E172)))</f>
        <v>---</v>
      </c>
      <c r="G610" s="309" t="str">
        <f>IF(C610="---","---",IF(INPUT!K172&gt;0,INPUT!K172,INPUT!E172*INPUT!G172))</f>
        <v>---</v>
      </c>
      <c r="H610" s="309" t="str">
        <f t="shared" si="649"/>
        <v>---</v>
      </c>
      <c r="I610" s="436" t="str">
        <f>IF(C610="---","---",IF(Reinf_cont="y",1,IF(INPUT!D172=0,0,INPUT!E172/(INPUT!D172*12))))</f>
        <v>---</v>
      </c>
      <c r="J610" s="309" t="str">
        <f>IF(C610="---","---",IF(Type_Reinf="g","---",IF(INPUT!D172=0,0,H610*(Fy/2)/(INPUT!E172/12))))</f>
        <v>---</v>
      </c>
      <c r="K610" s="309" t="str">
        <f>IF(C610="---","---",IF(Type_Reinf="g",(INPUT!M172+INPUT!N172),"---"))</f>
        <v>---</v>
      </c>
      <c r="L610" s="309" t="str">
        <f t="shared" si="650"/>
        <v>---</v>
      </c>
      <c r="M610" s="309" t="str">
        <f t="shared" si="651"/>
        <v>---</v>
      </c>
      <c r="N610" s="309" t="str">
        <f>IF(C610="---","---",IF(Type_Reinf="g",K610*INPUT!L172/MAX(RF_D,1.1),"---"))</f>
        <v>---</v>
      </c>
      <c r="O610" s="309" t="str">
        <f t="shared" si="652"/>
        <v>---</v>
      </c>
      <c r="P610" s="309" t="str">
        <f>IF(C610="---","---",IF(Type_Reinf="g","---",INPUT!O172))</f>
        <v>---</v>
      </c>
      <c r="Q610" s="309" t="str">
        <f>IF(Type_Reinf="g",IF(A610="---","---",phi_Tensile_Static*I610*INPUT!M172/$D$231),"---")</f>
        <v>---</v>
      </c>
      <c r="R610" s="337" t="str">
        <f>IF(Type_Reinf="g",IF(A610="---","---",phi_Tensile_Combined*I610*INPUT!N172/(MAX(RF_ID,1.1)*MAX(RF_D,1.1))),"---")</f>
        <v>---</v>
      </c>
    </row>
    <row r="611" spans="1:50">
      <c r="A611" s="435" t="str">
        <f>IF(INPUT!B173="---","---",INPUT!A173)</f>
        <v>---</v>
      </c>
      <c r="B611" s="309" t="str">
        <f>IF($A611="---","---",IF($A611=1,Z_1a,INPUT!B173))</f>
        <v>---</v>
      </c>
      <c r="C611" s="309" t="str">
        <f>IF(INPUT!D173="","---",INPUT!G173)</f>
        <v>---</v>
      </c>
      <c r="D611" s="309" t="str">
        <f t="shared" si="648"/>
        <v>---</v>
      </c>
      <c r="E611" s="309" t="str">
        <f>IF(C611="---","---",INPUT!H173-2*$F$228)</f>
        <v>---</v>
      </c>
      <c r="F611" s="309" t="str">
        <f>IF(C611="---","---",IF(INPUT!K173&gt;0,INPUT!K173,IF(INPUT!H173&gt;0,INPUT!F173*E611^2*PI()/4,D611*INPUT!E173)))</f>
        <v>---</v>
      </c>
      <c r="G611" s="309" t="str">
        <f>IF(C611="---","---",IF(INPUT!K173&gt;0,INPUT!K173,INPUT!E173*INPUT!G173))</f>
        <v>---</v>
      </c>
      <c r="H611" s="309" t="str">
        <f t="shared" si="649"/>
        <v>---</v>
      </c>
      <c r="I611" s="436" t="str">
        <f>IF(C611="---","---",IF(Reinf_cont="y",1,IF(INPUT!D173=0,0,INPUT!E173/(INPUT!D173*12))))</f>
        <v>---</v>
      </c>
      <c r="J611" s="309" t="str">
        <f>IF(C611="---","---",IF(Type_Reinf="g","---",IF(INPUT!D173=0,0,H611*(Fy/2)/(INPUT!E173/12))))</f>
        <v>---</v>
      </c>
      <c r="K611" s="309" t="str">
        <f>IF(C611="---","---",IF(Type_Reinf="g",(INPUT!M173+INPUT!N173),"---"))</f>
        <v>---</v>
      </c>
      <c r="L611" s="309" t="str">
        <f t="shared" si="650"/>
        <v>---</v>
      </c>
      <c r="M611" s="309" t="str">
        <f t="shared" si="651"/>
        <v>---</v>
      </c>
      <c r="N611" s="309" t="str">
        <f>IF(C611="---","---",IF(Type_Reinf="g",K611*INPUT!L173/MAX(RF_D,1.1),"---"))</f>
        <v>---</v>
      </c>
      <c r="O611" s="309" t="str">
        <f t="shared" si="652"/>
        <v>---</v>
      </c>
      <c r="P611" s="309" t="str">
        <f>IF(C611="---","---",IF(Type_Reinf="g","---",INPUT!O173))</f>
        <v>---</v>
      </c>
      <c r="Q611" s="309" t="str">
        <f>IF(Type_Reinf="g",IF(A611="---","---",phi_Tensile_Static*I611*INPUT!M173/$D$231),"---")</f>
        <v>---</v>
      </c>
      <c r="R611" s="337" t="str">
        <f>IF(Type_Reinf="g",IF(A611="---","---",phi_Tensile_Combined*I611*INPUT!N173/(MAX(RF_ID,1.1)*MAX(RF_D,1.1))),"---")</f>
        <v>---</v>
      </c>
    </row>
    <row r="612" spans="1:50">
      <c r="A612" s="435" t="str">
        <f>IF(INPUT!B174="---","---",INPUT!A174)</f>
        <v>---</v>
      </c>
      <c r="B612" s="309" t="str">
        <f>IF($A612="---","---",IF($A612=1,Z_1a,INPUT!B174))</f>
        <v>---</v>
      </c>
      <c r="C612" s="309" t="str">
        <f>IF(INPUT!D174="","---",INPUT!G174)</f>
        <v>---</v>
      </c>
      <c r="D612" s="309" t="str">
        <f t="shared" si="648"/>
        <v>---</v>
      </c>
      <c r="E612" s="309" t="str">
        <f>IF(C612="---","---",INPUT!H174-2*$F$228)</f>
        <v>---</v>
      </c>
      <c r="F612" s="309" t="str">
        <f>IF(C612="---","---",IF(INPUT!K174&gt;0,INPUT!K174,IF(INPUT!H174&gt;0,INPUT!F174*E612^2*PI()/4,D612*INPUT!E174)))</f>
        <v>---</v>
      </c>
      <c r="G612" s="309" t="str">
        <f>IF(C612="---","---",IF(INPUT!K174&gt;0,INPUT!K174,INPUT!E174*INPUT!G174))</f>
        <v>---</v>
      </c>
      <c r="H612" s="309" t="str">
        <f t="shared" si="649"/>
        <v>---</v>
      </c>
      <c r="I612" s="436" t="str">
        <f>IF(C612="---","---",IF(Reinf_cont="y",1,IF(INPUT!D174=0,0,INPUT!E174/(INPUT!D174*12))))</f>
        <v>---</v>
      </c>
      <c r="J612" s="309" t="str">
        <f>IF(C612="---","---",IF(Type_Reinf="g","---",IF(INPUT!D174=0,0,H612*(Fy/2)/(INPUT!E174/12))))</f>
        <v>---</v>
      </c>
      <c r="K612" s="309" t="str">
        <f>IF(C612="---","---",IF(Type_Reinf="g",(INPUT!M174+INPUT!N174),"---"))</f>
        <v>---</v>
      </c>
      <c r="L612" s="309" t="str">
        <f t="shared" si="650"/>
        <v>---</v>
      </c>
      <c r="M612" s="309" t="str">
        <f t="shared" si="651"/>
        <v>---</v>
      </c>
      <c r="N612" s="309" t="str">
        <f>IF(C612="---","---",IF(Type_Reinf="g",K612*INPUT!L174/MAX(RF_D,1.1),"---"))</f>
        <v>---</v>
      </c>
      <c r="O612" s="309" t="str">
        <f t="shared" si="652"/>
        <v>---</v>
      </c>
      <c r="P612" s="309" t="str">
        <f>IF(C612="---","---",IF(Type_Reinf="g","---",INPUT!O174))</f>
        <v>---</v>
      </c>
      <c r="Q612" s="309" t="str">
        <f>IF(Type_Reinf="g",IF(A612="---","---",phi_Tensile_Static*I612*INPUT!M174/$D$231),"---")</f>
        <v>---</v>
      </c>
      <c r="R612" s="337" t="str">
        <f>IF(Type_Reinf="g",IF(A612="---","---",phi_Tensile_Combined*I612*INPUT!N174/(MAX(RF_ID,1.1)*MAX(RF_D,1.1))),"---")</f>
        <v>---</v>
      </c>
    </row>
    <row r="613" spans="1:50">
      <c r="A613" s="435" t="str">
        <f>IF(INPUT!B175="---","---",INPUT!A175)</f>
        <v>---</v>
      </c>
      <c r="B613" s="309" t="str">
        <f>IF($A613="---","---",IF($A613=1,Z_1a,INPUT!B175))</f>
        <v>---</v>
      </c>
      <c r="C613" s="309" t="str">
        <f>IF(INPUT!D175="","---",INPUT!G175)</f>
        <v>---</v>
      </c>
      <c r="D613" s="309" t="str">
        <f t="shared" si="648"/>
        <v>---</v>
      </c>
      <c r="E613" s="309" t="str">
        <f>IF(C613="---","---",INPUT!H175-2*$F$228)</f>
        <v>---</v>
      </c>
      <c r="F613" s="309" t="str">
        <f>IF(C613="---","---",IF(INPUT!K175&gt;0,INPUT!K175,IF(INPUT!H175&gt;0,INPUT!F175*E613^2*PI()/4,D613*INPUT!E175)))</f>
        <v>---</v>
      </c>
      <c r="G613" s="309" t="str">
        <f>IF(C613="---","---",IF(INPUT!K175&gt;0,INPUT!K175,INPUT!E175*INPUT!G175))</f>
        <v>---</v>
      </c>
      <c r="H613" s="309" t="str">
        <f t="shared" si="649"/>
        <v>---</v>
      </c>
      <c r="I613" s="436" t="str">
        <f>IF(C613="---","---",IF(Reinf_cont="y",1,IF(INPUT!D175=0,0,INPUT!E175/(INPUT!D175*12))))</f>
        <v>---</v>
      </c>
      <c r="J613" s="309" t="str">
        <f>IF(C613="---","---",IF(Type_Reinf="g","---",IF(INPUT!D175=0,0,H613*(Fy/2)/(INPUT!E175/12))))</f>
        <v>---</v>
      </c>
      <c r="K613" s="309" t="str">
        <f>IF(C613="---","---",IF(Type_Reinf="g",(INPUT!M175+INPUT!N175),"---"))</f>
        <v>---</v>
      </c>
      <c r="L613" s="309" t="str">
        <f t="shared" si="650"/>
        <v>---</v>
      </c>
      <c r="M613" s="309" t="str">
        <f t="shared" si="651"/>
        <v>---</v>
      </c>
      <c r="N613" s="309" t="str">
        <f>IF(C613="---","---",IF(Type_Reinf="g",K613*INPUT!L175/MAX(RF_D,1.1),"---"))</f>
        <v>---</v>
      </c>
      <c r="O613" s="309" t="str">
        <f t="shared" si="652"/>
        <v>---</v>
      </c>
      <c r="P613" s="309" t="str">
        <f>IF(C613="---","---",IF(Type_Reinf="g","---",INPUT!O175))</f>
        <v>---</v>
      </c>
      <c r="Q613" s="309" t="str">
        <f>IF(Type_Reinf="g",IF(A613="---","---",phi_Tensile_Static*I613*INPUT!M175/$D$231),"---")</f>
        <v>---</v>
      </c>
      <c r="R613" s="337" t="str">
        <f>IF(Type_Reinf="g",IF(A613="---","---",phi_Tensile_Combined*I613*INPUT!N175/(MAX(RF_ID,1.1)*MAX(RF_D,1.1))),"---")</f>
        <v>---</v>
      </c>
    </row>
    <row r="614" spans="1:50">
      <c r="A614" s="435" t="str">
        <f>IF(INPUT!B176="---","---",INPUT!A176)</f>
        <v>---</v>
      </c>
      <c r="B614" s="309" t="str">
        <f>IF($A614="---","---",IF($A614=1,Z_1a,INPUT!B176))</f>
        <v>---</v>
      </c>
      <c r="C614" s="309" t="str">
        <f>IF(INPUT!D176="","---",INPUT!G176)</f>
        <v>---</v>
      </c>
      <c r="D614" s="309" t="str">
        <f t="shared" si="648"/>
        <v>---</v>
      </c>
      <c r="E614" s="309" t="str">
        <f>IF(C614="---","---",INPUT!H176-2*$F$228)</f>
        <v>---</v>
      </c>
      <c r="F614" s="309" t="str">
        <f>IF(C614="---","---",IF(INPUT!K176&gt;0,INPUT!K176,IF(INPUT!H176&gt;0,INPUT!F176*E614^2*PI()/4,D614*INPUT!E176)))</f>
        <v>---</v>
      </c>
      <c r="G614" s="309" t="str">
        <f>IF(C614="---","---",IF(INPUT!K176&gt;0,INPUT!K176,INPUT!E176*INPUT!G176))</f>
        <v>---</v>
      </c>
      <c r="H614" s="309" t="str">
        <f t="shared" si="649"/>
        <v>---</v>
      </c>
      <c r="I614" s="436" t="str">
        <f>IF(C614="---","---",IF(Reinf_cont="y",1,IF(INPUT!D176=0,0,INPUT!E176/(INPUT!D176*12))))</f>
        <v>---</v>
      </c>
      <c r="J614" s="309" t="str">
        <f>IF(C614="---","---",IF(Type_Reinf="g","---",IF(INPUT!D176=0,0,H614*(Fy/2)/(INPUT!E176/12))))</f>
        <v>---</v>
      </c>
      <c r="K614" s="309" t="str">
        <f>IF(C614="---","---",IF(Type_Reinf="g",(INPUT!M176+INPUT!N176),"---"))</f>
        <v>---</v>
      </c>
      <c r="L614" s="309" t="str">
        <f t="shared" si="650"/>
        <v>---</v>
      </c>
      <c r="M614" s="309" t="str">
        <f t="shared" si="651"/>
        <v>---</v>
      </c>
      <c r="N614" s="309" t="str">
        <f>IF(C614="---","---",IF(Type_Reinf="g",K614*INPUT!L176/MAX(RF_D,1.1),"---"))</f>
        <v>---</v>
      </c>
      <c r="O614" s="309" t="str">
        <f t="shared" si="652"/>
        <v>---</v>
      </c>
      <c r="P614" s="309" t="str">
        <f>IF(C614="---","---",IF(Type_Reinf="g","---",INPUT!O176))</f>
        <v>---</v>
      </c>
      <c r="Q614" s="309" t="str">
        <f>IF(Type_Reinf="g",IF(A614="---","---",phi_Tensile_Static*I614*INPUT!M176/$D$231),"---")</f>
        <v>---</v>
      </c>
      <c r="R614" s="337" t="str">
        <f>IF(Type_Reinf="g",IF(A614="---","---",phi_Tensile_Combined*I614*INPUT!N176/(MAX(RF_ID,1.1)*MAX(RF_D,1.1))),"---")</f>
        <v>---</v>
      </c>
    </row>
    <row r="615" spans="1:50">
      <c r="A615" s="435" t="str">
        <f>IF(INPUT!B177="---","---",INPUT!A177)</f>
        <v>---</v>
      </c>
      <c r="B615" s="309" t="str">
        <f>IF($A615="---","---",IF($A615=1,Z_1a,INPUT!B177))</f>
        <v>---</v>
      </c>
      <c r="C615" s="309" t="str">
        <f>IF(INPUT!D177="","---",INPUT!G177)</f>
        <v>---</v>
      </c>
      <c r="D615" s="309" t="str">
        <f t="shared" si="648"/>
        <v>---</v>
      </c>
      <c r="E615" s="309" t="str">
        <f>IF(C615="---","---",INPUT!H177-2*$F$228)</f>
        <v>---</v>
      </c>
      <c r="F615" s="309" t="str">
        <f>IF(C615="---","---",IF(INPUT!K177&gt;0,INPUT!K177,IF(INPUT!H177&gt;0,INPUT!F177*E615^2*PI()/4,D615*INPUT!E177)))</f>
        <v>---</v>
      </c>
      <c r="G615" s="309" t="str">
        <f>IF(C615="---","---",IF(INPUT!K177&gt;0,INPUT!K177,INPUT!E177*INPUT!G177))</f>
        <v>---</v>
      </c>
      <c r="H615" s="309" t="str">
        <f t="shared" si="649"/>
        <v>---</v>
      </c>
      <c r="I615" s="436" t="str">
        <f>IF(C615="---","---",IF(Reinf_cont="y",1,IF(INPUT!D177=0,0,INPUT!E177/(INPUT!D177*12))))</f>
        <v>---</v>
      </c>
      <c r="J615" s="309" t="str">
        <f>IF(C615="---","---",IF(Type_Reinf="g","---",IF(INPUT!D177=0,0,H615*(Fy/2)/(INPUT!E177/12))))</f>
        <v>---</v>
      </c>
      <c r="K615" s="309" t="str">
        <f>IF(C615="---","---",IF(Type_Reinf="g",(INPUT!M177+INPUT!N177),"---"))</f>
        <v>---</v>
      </c>
      <c r="L615" s="309" t="str">
        <f t="shared" si="650"/>
        <v>---</v>
      </c>
      <c r="M615" s="309" t="str">
        <f t="shared" si="651"/>
        <v>---</v>
      </c>
      <c r="N615" s="309" t="str">
        <f>IF(C615="---","---",IF(Type_Reinf="g",K615*INPUT!L177/MAX(RF_D,1.1),"---"))</f>
        <v>---</v>
      </c>
      <c r="O615" s="309" t="str">
        <f t="shared" si="652"/>
        <v>---</v>
      </c>
      <c r="P615" s="309" t="str">
        <f>IF(C615="---","---",IF(Type_Reinf="g","---",INPUT!O177))</f>
        <v>---</v>
      </c>
      <c r="Q615" s="309" t="str">
        <f>IF(Type_Reinf="g",IF(A615="---","---",phi_Tensile_Static*I615*INPUT!M177/$D$231),"---")</f>
        <v>---</v>
      </c>
      <c r="R615" s="337" t="str">
        <f>IF(Type_Reinf="g",IF(A615="---","---",phi_Tensile_Combined*I615*INPUT!N177/(MAX(RF_ID,1.1)*MAX(RF_D,1.1))),"---")</f>
        <v>---</v>
      </c>
    </row>
    <row r="616" spans="1:50">
      <c r="A616" s="435" t="str">
        <f>IF(INPUT!B178="---","---",INPUT!A178)</f>
        <v>---</v>
      </c>
      <c r="B616" s="309" t="str">
        <f>IF($A616="---","---",IF($A616=1,Z_1a,INPUT!B178))</f>
        <v>---</v>
      </c>
      <c r="C616" s="309" t="str">
        <f>IF(INPUT!D178="","---",INPUT!G178)</f>
        <v>---</v>
      </c>
      <c r="D616" s="309" t="str">
        <f t="shared" si="648"/>
        <v>---</v>
      </c>
      <c r="E616" s="309" t="str">
        <f>IF(C616="---","---",INPUT!H178-2*$F$228)</f>
        <v>---</v>
      </c>
      <c r="F616" s="309" t="str">
        <f>IF(C616="---","---",IF(INPUT!K178&gt;0,INPUT!K178,IF(INPUT!H178&gt;0,INPUT!F178*E616^2*PI()/4,D616*INPUT!E178)))</f>
        <v>---</v>
      </c>
      <c r="G616" s="309" t="str">
        <f>IF(C616="---","---",IF(INPUT!K178&gt;0,INPUT!K178,INPUT!E178*INPUT!G178))</f>
        <v>---</v>
      </c>
      <c r="H616" s="309" t="str">
        <f t="shared" si="649"/>
        <v>---</v>
      </c>
      <c r="I616" s="436" t="str">
        <f>IF(C616="---","---",IF(Reinf_cont="y",1,IF(INPUT!D178=0,0,INPUT!E178/(INPUT!D178*12))))</f>
        <v>---</v>
      </c>
      <c r="J616" s="309" t="str">
        <f>IF(C616="---","---",IF(Type_Reinf="g","---",IF(INPUT!D178=0,0,H616*(Fy/2)/(INPUT!E178/12))))</f>
        <v>---</v>
      </c>
      <c r="K616" s="309" t="str">
        <f>IF(C616="---","---",IF(Type_Reinf="g",(INPUT!M178+INPUT!N178),"---"))</f>
        <v>---</v>
      </c>
      <c r="L616" s="309" t="str">
        <f t="shared" si="650"/>
        <v>---</v>
      </c>
      <c r="M616" s="309" t="str">
        <f t="shared" si="651"/>
        <v>---</v>
      </c>
      <c r="N616" s="309" t="str">
        <f>IF(C616="---","---",IF(Type_Reinf="g",K616*INPUT!L178/MAX(RF_D,1.1),"---"))</f>
        <v>---</v>
      </c>
      <c r="O616" s="309" t="str">
        <f t="shared" si="652"/>
        <v>---</v>
      </c>
      <c r="P616" s="309" t="str">
        <f>IF(C616="---","---",IF(Type_Reinf="g","---",INPUT!O178))</f>
        <v>---</v>
      </c>
      <c r="Q616" s="309" t="str">
        <f>IF(Type_Reinf="g",IF(A616="---","---",phi_Tensile_Static*I616*INPUT!M178/$D$231),"---")</f>
        <v>---</v>
      </c>
      <c r="R616" s="337" t="str">
        <f>IF(Type_Reinf="g",IF(A616="---","---",phi_Tensile_Combined*I616*INPUT!N178/(MAX(RF_ID,1.1)*MAX(RF_D,1.1))),"---")</f>
        <v>---</v>
      </c>
    </row>
    <row r="619" spans="1:50">
      <c r="A619" s="33" t="s">
        <v>361</v>
      </c>
      <c r="E619" s="37" t="s">
        <v>607</v>
      </c>
      <c r="O619" s="142"/>
    </row>
    <row r="620" spans="1:50" ht="12.75" customHeight="1">
      <c r="A620" s="37" t="s">
        <v>546</v>
      </c>
      <c r="D620" s="2"/>
      <c r="I620" s="2"/>
      <c r="J620" s="465" t="s">
        <v>528</v>
      </c>
      <c r="K620" s="597" t="s">
        <v>551</v>
      </c>
      <c r="L620" s="637"/>
      <c r="M620" s="597" t="s">
        <v>557</v>
      </c>
      <c r="N620" s="598"/>
      <c r="O620" s="551"/>
      <c r="P620" s="500"/>
      <c r="Q620" s="500"/>
      <c r="AE620" s="10" t="s">
        <v>645</v>
      </c>
      <c r="AH620" s="37"/>
      <c r="AI620" s="195" t="s">
        <v>646</v>
      </c>
      <c r="AL620" s="37"/>
      <c r="AM620" s="37"/>
      <c r="AN620" s="37"/>
      <c r="AO620" s="37"/>
      <c r="AP620" s="37"/>
      <c r="AQ620" s="195" t="s">
        <v>655</v>
      </c>
      <c r="AU620" s="43"/>
      <c r="AW620" s="102"/>
    </row>
    <row r="621" spans="1:50">
      <c r="C621" s="37"/>
      <c r="D621" s="198"/>
      <c r="I621" s="198"/>
      <c r="J621" s="490" t="s">
        <v>535</v>
      </c>
      <c r="K621" s="625"/>
      <c r="L621" s="638"/>
      <c r="M621" s="599"/>
      <c r="N621" s="600"/>
      <c r="O621" s="500"/>
      <c r="P621" s="500"/>
      <c r="Q621" s="500"/>
      <c r="AE621" s="37" t="s">
        <v>654</v>
      </c>
      <c r="AI621" s="56" t="s">
        <v>653</v>
      </c>
      <c r="AJ621" s="251"/>
      <c r="AM621" s="268" t="s">
        <v>652</v>
      </c>
      <c r="AQ621" s="56" t="s">
        <v>658</v>
      </c>
      <c r="AT621" s="10"/>
      <c r="AU621" s="268" t="s">
        <v>659</v>
      </c>
      <c r="AX621" s="10"/>
    </row>
    <row r="622" spans="1:50" ht="15.75" customHeight="1">
      <c r="A622" s="198" t="s">
        <v>34</v>
      </c>
      <c r="B622" s="197" t="s">
        <v>540</v>
      </c>
      <c r="C622" s="87" t="s">
        <v>274</v>
      </c>
      <c r="D622" s="197" t="s">
        <v>341</v>
      </c>
      <c r="E622" s="197" t="s">
        <v>342</v>
      </c>
      <c r="F622" s="19" t="s">
        <v>53</v>
      </c>
      <c r="G622" s="50" t="s">
        <v>526</v>
      </c>
      <c r="H622" s="19" t="s">
        <v>527</v>
      </c>
      <c r="I622" s="200" t="s">
        <v>54</v>
      </c>
      <c r="J622" s="501" t="s">
        <v>30</v>
      </c>
      <c r="K622" s="223" t="s">
        <v>30</v>
      </c>
      <c r="L622" s="215" t="s">
        <v>30</v>
      </c>
      <c r="M622" s="488" t="s">
        <v>30</v>
      </c>
      <c r="N622" s="491" t="s">
        <v>30</v>
      </c>
      <c r="O622" s="216"/>
      <c r="P622" s="216"/>
      <c r="Q622" s="216"/>
      <c r="AE622" s="212" t="s">
        <v>643</v>
      </c>
      <c r="AF622" s="251"/>
      <c r="AH622" s="251"/>
      <c r="AI622" s="224" t="s">
        <v>643</v>
      </c>
      <c r="AJ622" s="251"/>
      <c r="AK622" s="251"/>
      <c r="AL622" s="212"/>
      <c r="AM622" s="225" t="s">
        <v>643</v>
      </c>
      <c r="AN622" s="212"/>
      <c r="AO622" s="212"/>
      <c r="AP622" s="212"/>
      <c r="AQ622" s="224" t="s">
        <v>643</v>
      </c>
      <c r="AR622" s="251"/>
      <c r="AS622" s="251"/>
      <c r="AT622" s="212"/>
      <c r="AU622" s="225" t="s">
        <v>643</v>
      </c>
      <c r="AV622" s="251"/>
      <c r="AW622" s="251"/>
      <c r="AX622" s="212"/>
    </row>
    <row r="623" spans="1:50" ht="15.75">
      <c r="A623" s="197" t="s">
        <v>352</v>
      </c>
      <c r="B623" s="198" t="s">
        <v>42</v>
      </c>
      <c r="C623" s="7" t="s">
        <v>42</v>
      </c>
      <c r="D623" s="197" t="s">
        <v>343</v>
      </c>
      <c r="E623" s="213" t="s">
        <v>531</v>
      </c>
      <c r="F623" s="2" t="s">
        <v>41</v>
      </c>
      <c r="G623" s="2" t="s">
        <v>41</v>
      </c>
      <c r="H623" s="2" t="s">
        <v>41</v>
      </c>
      <c r="I623" s="200" t="s">
        <v>154</v>
      </c>
      <c r="J623" s="502" t="s">
        <v>298</v>
      </c>
      <c r="K623" s="493" t="s">
        <v>297</v>
      </c>
      <c r="L623" s="491" t="s">
        <v>520</v>
      </c>
      <c r="M623" s="488" t="s">
        <v>501</v>
      </c>
      <c r="N623" s="491" t="s">
        <v>502</v>
      </c>
      <c r="O623" s="216"/>
      <c r="P623" s="216"/>
      <c r="Q623" s="216"/>
      <c r="AE623" s="253" t="s">
        <v>57</v>
      </c>
      <c r="AF623" s="251" t="s">
        <v>36</v>
      </c>
      <c r="AG623" s="247" t="s">
        <v>78</v>
      </c>
      <c r="AH623" s="251" t="s">
        <v>79</v>
      </c>
      <c r="AI623" s="252" t="s">
        <v>73</v>
      </c>
      <c r="AJ623" s="251" t="s">
        <v>36</v>
      </c>
      <c r="AK623" s="247" t="s">
        <v>78</v>
      </c>
      <c r="AL623" s="251" t="s">
        <v>79</v>
      </c>
      <c r="AM623" s="247" t="s">
        <v>692</v>
      </c>
      <c r="AN623" s="251" t="s">
        <v>36</v>
      </c>
      <c r="AO623" s="247" t="s">
        <v>78</v>
      </c>
      <c r="AP623" s="251" t="s">
        <v>79</v>
      </c>
      <c r="AQ623" s="255" t="s">
        <v>657</v>
      </c>
      <c r="AR623" s="249" t="s">
        <v>36</v>
      </c>
      <c r="AS623" s="247" t="s">
        <v>78</v>
      </c>
      <c r="AT623" s="251" t="s">
        <v>79</v>
      </c>
      <c r="AU623" s="248" t="s">
        <v>660</v>
      </c>
      <c r="AV623" s="248" t="s">
        <v>81</v>
      </c>
      <c r="AW623" s="247" t="s">
        <v>78</v>
      </c>
      <c r="AX623" s="251" t="s">
        <v>79</v>
      </c>
    </row>
    <row r="624" spans="1:50">
      <c r="A624" s="438">
        <f>A607</f>
        <v>1</v>
      </c>
      <c r="B624" s="294">
        <f>B607</f>
        <v>5.39</v>
      </c>
      <c r="C624" s="294">
        <f>IF($A624="---","---",INPUT!C169)</f>
        <v>1.125</v>
      </c>
      <c r="D624" s="294">
        <f t="shared" ref="D624" si="653">IF($A624="---","---",IF(Type_Reinf="g",1,IF(Type_Reinf="s",MAX((1.2+0.5*(20-B624)/20),1.2),MAX((1.2+1.3*(20-B624)/20),1.2))))</f>
        <v>1.5652499999999998</v>
      </c>
      <c r="E624" s="294">
        <f t="shared" ref="E624" si="654">IF($A624="---","---",D624*ka_int)</f>
        <v>0.44251952808824374</v>
      </c>
      <c r="F624" s="294">
        <f>IF($A624="---","---",gamma_reinf*B624+q_LS+q_DW)</f>
        <v>0.5484</v>
      </c>
      <c r="G624" s="294">
        <f t="shared" ref="G624:G633" si="655">IF($A624="---","---",PH1_a/IF(Backwall_Present="y",Ah,Af))</f>
        <v>0.23333333333333331</v>
      </c>
      <c r="H624" s="294">
        <f t="shared" ref="H624" si="656">IF($A624="---","---",gamma_P*(F624*E624+G624))</f>
        <v>0.64261490742485039</v>
      </c>
      <c r="I624" s="443">
        <f t="shared" ref="I624" si="657">IF($A624="---","---",C624*H624)</f>
        <v>0.72294177085295663</v>
      </c>
      <c r="J624" s="503" t="str">
        <f t="shared" ref="J624" si="658">IF($A624="---","---",IF(M607&gt;I624,"OK","NG!"))</f>
        <v>OK</v>
      </c>
      <c r="K624" s="476" t="str">
        <f t="shared" ref="K624" si="659">IF($A624="---","---",IF(Type_Reinf="g",IF(O607&gt;I624,"OK","NG!"),"---"))</f>
        <v>---</v>
      </c>
      <c r="L624" s="505" t="str">
        <f t="shared" ref="L624" si="660">IF($A624="---","---",IF(Type_Reinf="g","---",IF(P607&gt;I624,"OK","NG!")))</f>
        <v>OK</v>
      </c>
      <c r="M624" s="508" t="str">
        <f t="shared" ref="M624" si="661">IF($A624="---","---",IF(Type_Reinf="g",IF(Q607&gt;I624,"OK","NG!"),"---"))</f>
        <v>---</v>
      </c>
      <c r="N624" s="505" t="str">
        <f>IF($A624="---","---","N/A")</f>
        <v>N/A</v>
      </c>
      <c r="O624" s="143"/>
      <c r="P624" s="143"/>
      <c r="Q624" s="143"/>
      <c r="AE624" s="140">
        <f t="shared" ref="AE624:AE633" si="662">M607</f>
        <v>1.5249193548387101</v>
      </c>
      <c r="AF624" s="140">
        <f t="shared" ref="AF624:AF633" si="663">I624</f>
        <v>0.72294177085295663</v>
      </c>
      <c r="AG624" s="140">
        <f>IF(AE624="---",999.99,IF(AF624=0,999.99,AE624/AF624))</f>
        <v>2.1093252822278439</v>
      </c>
      <c r="AH624" s="263">
        <f>IF(MIN(AG624)=MIN($AG$624:$AG$633),1,0)</f>
        <v>0</v>
      </c>
      <c r="AI624" s="267" t="str">
        <f t="shared" ref="AI624:AI633" si="664">O607</f>
        <v>---</v>
      </c>
      <c r="AJ624" s="140">
        <f t="shared" ref="AJ624:AJ633" si="665">I624</f>
        <v>0.72294177085295663</v>
      </c>
      <c r="AK624" s="140">
        <f>IF(AI624="---",999.99,IF(AJ624=0,999.99,AI624/AJ624))</f>
        <v>999.99</v>
      </c>
      <c r="AL624" s="263">
        <f t="shared" ref="AL624:AL633" si="666">IF(AK624=MIN($AK$624:$AK$633),1,0)</f>
        <v>1</v>
      </c>
      <c r="AM624" s="263">
        <f t="shared" ref="AM624:AM633" si="667">P607</f>
        <v>5</v>
      </c>
      <c r="AN624" s="140">
        <f>AJ624</f>
        <v>0.72294177085295663</v>
      </c>
      <c r="AO624" s="140">
        <f>IF(AM624="---",999.99,IF(AN624=0,999.99,AM624/AN624))</f>
        <v>6.9161863397390819</v>
      </c>
      <c r="AP624" s="263">
        <f t="shared" ref="AP624:AP633" si="668">IF(AO624=MIN($AO$624:$AO$633),1,0)</f>
        <v>0</v>
      </c>
      <c r="AQ624" s="267" t="str">
        <f t="shared" ref="AQ624:AQ633" si="669">Q607</f>
        <v>---</v>
      </c>
      <c r="AR624" s="210">
        <f t="shared" ref="AR624:AR633" si="670">I624</f>
        <v>0.72294177085295663</v>
      </c>
      <c r="AS624" s="140">
        <f>IF(AQ624="---",999.99,IF(AR624=0,999.99,AQ624/AR624))</f>
        <v>999.99</v>
      </c>
      <c r="AT624" s="263">
        <f t="shared" ref="AT624:AT633" si="671">IF(AS624=MIN($AS$624:$AS$633),1,0)</f>
        <v>1</v>
      </c>
      <c r="AU624" s="210" t="str">
        <f t="shared" ref="AU624:AU633" si="672">R607</f>
        <v>---</v>
      </c>
      <c r="AV624" s="210" t="str">
        <f>IF(AU624="---","---",0)</f>
        <v>---</v>
      </c>
      <c r="AW624" s="140">
        <f>IF(AU624="---",999.99,IF(AV624=0,999.99,AU624/AV624))</f>
        <v>999.99</v>
      </c>
      <c r="AX624" s="263">
        <f t="shared" ref="AX624:AX633" si="673">IF(AW624=MIN($AW$624:$AW$633),1,0)</f>
        <v>1</v>
      </c>
    </row>
    <row r="625" spans="1:50">
      <c r="A625" s="438">
        <f t="shared" ref="A625:B625" si="674">A608</f>
        <v>2</v>
      </c>
      <c r="B625" s="294">
        <f t="shared" si="674"/>
        <v>6.14</v>
      </c>
      <c r="C625" s="294">
        <f>IF($A625="---","---",INPUT!C170)</f>
        <v>0.75</v>
      </c>
      <c r="D625" s="294">
        <f t="shared" ref="D625:D633" si="675">IF($A625="---","---",IF(Type_Reinf="g",1,IF(Type_Reinf="s",MAX((1.2+0.5*(20-B625)/20),1.2),MAX((1.2+1.3*(20-B625)/20),1.2))))</f>
        <v>1.5465</v>
      </c>
      <c r="E625" s="294">
        <f t="shared" ref="E625:E633" si="676">IF($A625="---","---",D625*ka_int)</f>
        <v>0.43721862334353556</v>
      </c>
      <c r="F625" s="294">
        <f t="shared" ref="F625:F633" si="677">IF($A625="---","---",gamma_reinf*B625+q_LS+q_DW)</f>
        <v>0.59340000000000004</v>
      </c>
      <c r="G625" s="294">
        <f t="shared" si="655"/>
        <v>0.23333333333333331</v>
      </c>
      <c r="H625" s="294">
        <f t="shared" ref="H625:H633" si="678">IF($A625="---","---",gamma_P*(F625*E625+G625))</f>
        <v>0.66525146697427295</v>
      </c>
      <c r="I625" s="443">
        <f t="shared" ref="I625:I633" si="679">IF($A625="---","---",C625*H625)</f>
        <v>0.49893860023070469</v>
      </c>
      <c r="J625" s="503" t="str">
        <f t="shared" ref="J625:J633" si="680">IF($A625="---","---",IF(M608&gt;I625,"OK","NG!"))</f>
        <v>OK</v>
      </c>
      <c r="K625" s="476" t="str">
        <f t="shared" ref="K625:K633" si="681">IF($A625="---","---",IF(Type_Reinf="g",IF(O608&gt;I625,"OK","NG!"),"---"))</f>
        <v>---</v>
      </c>
      <c r="L625" s="505" t="str">
        <f t="shared" ref="L625:L633" si="682">IF($A625="---","---",IF(Type_Reinf="g","---",IF(P608&gt;I625,"OK","NG!")))</f>
        <v>OK</v>
      </c>
      <c r="M625" s="508" t="str">
        <f t="shared" ref="M625:M633" si="683">IF($A625="---","---",IF(Type_Reinf="g",IF(Q608&gt;I625,"OK","NG!"),"---"))</f>
        <v>---</v>
      </c>
      <c r="N625" s="505" t="str">
        <f t="shared" ref="N625:N633" si="684">IF($A625="---","---","N/A")</f>
        <v>N/A</v>
      </c>
      <c r="O625" s="143"/>
      <c r="P625" s="143"/>
      <c r="Q625" s="143"/>
      <c r="AE625" s="140">
        <f t="shared" si="662"/>
        <v>1.5249193548387101</v>
      </c>
      <c r="AF625" s="140">
        <f t="shared" si="663"/>
        <v>0.49893860023070469</v>
      </c>
      <c r="AG625" s="140">
        <f t="shared" ref="AG625:AG633" si="685">IF(AE625="---",999.99,IF(AF625=0,999.99,AE625/AF625))</f>
        <v>3.0563266785404082</v>
      </c>
      <c r="AH625" s="263">
        <f t="shared" ref="AH625:AH633" si="686">IF(MIN(AG625)=MIN($AG$624:$AG$633),1,0)</f>
        <v>0</v>
      </c>
      <c r="AI625" s="267" t="str">
        <f t="shared" si="664"/>
        <v>---</v>
      </c>
      <c r="AJ625" s="140">
        <f t="shared" si="665"/>
        <v>0.49893860023070469</v>
      </c>
      <c r="AK625" s="140">
        <f t="shared" ref="AK625:AK633" si="687">IF(AI625="---",999.99,IF(AJ625=0,999.99,AI625/AJ625))</f>
        <v>999.99</v>
      </c>
      <c r="AL625" s="263">
        <f t="shared" si="666"/>
        <v>1</v>
      </c>
      <c r="AM625" s="263">
        <f t="shared" si="667"/>
        <v>5</v>
      </c>
      <c r="AN625" s="140">
        <f t="shared" ref="AN625:AN633" si="688">AJ625</f>
        <v>0.49893860023070469</v>
      </c>
      <c r="AO625" s="140">
        <f t="shared" ref="AO625:AO633" si="689">IF(AM625="---",999.99,IF(AN625=0,999.99,AM625/AN625))</f>
        <v>10.02127315402746</v>
      </c>
      <c r="AP625" s="263">
        <f t="shared" si="668"/>
        <v>0</v>
      </c>
      <c r="AQ625" s="267" t="str">
        <f t="shared" si="669"/>
        <v>---</v>
      </c>
      <c r="AR625" s="210">
        <f t="shared" si="670"/>
        <v>0.49893860023070469</v>
      </c>
      <c r="AS625" s="140">
        <f t="shared" ref="AS625:AS633" si="690">IF(AQ625="---",999.99,IF(AR625=0,999.99,AQ625/AR625))</f>
        <v>999.99</v>
      </c>
      <c r="AT625" s="263">
        <f t="shared" si="671"/>
        <v>1</v>
      </c>
      <c r="AU625" s="210" t="str">
        <f t="shared" si="672"/>
        <v>---</v>
      </c>
      <c r="AV625" s="210" t="str">
        <f t="shared" ref="AV625:AV633" si="691">IF(AU625="---","---",0)</f>
        <v>---</v>
      </c>
      <c r="AW625" s="140">
        <f t="shared" ref="AW625:AW633" si="692">IF(AU625="---",999.99,IF(AV625=0,999.99,AU625/AV625))</f>
        <v>999.99</v>
      </c>
      <c r="AX625" s="263">
        <f t="shared" si="673"/>
        <v>1</v>
      </c>
    </row>
    <row r="626" spans="1:50">
      <c r="A626" s="438">
        <f t="shared" ref="A626:B626" si="693">A609</f>
        <v>3</v>
      </c>
      <c r="B626" s="294">
        <f t="shared" si="693"/>
        <v>6.89</v>
      </c>
      <c r="C626" s="294">
        <f>IF($A626="---","---",INPUT!C171)</f>
        <v>1.125</v>
      </c>
      <c r="D626" s="294">
        <f t="shared" si="675"/>
        <v>1.5277499999999999</v>
      </c>
      <c r="E626" s="294">
        <f t="shared" si="676"/>
        <v>0.43191771859882727</v>
      </c>
      <c r="F626" s="294">
        <f t="shared" si="677"/>
        <v>0.63839999999999997</v>
      </c>
      <c r="G626" s="294">
        <f t="shared" si="655"/>
        <v>0.23333333333333331</v>
      </c>
      <c r="H626" s="294">
        <f t="shared" si="678"/>
        <v>0.68724396659721332</v>
      </c>
      <c r="I626" s="443">
        <f t="shared" si="679"/>
        <v>0.773149462421865</v>
      </c>
      <c r="J626" s="503" t="str">
        <f t="shared" si="680"/>
        <v>OK</v>
      </c>
      <c r="K626" s="476" t="str">
        <f t="shared" si="681"/>
        <v>---</v>
      </c>
      <c r="L626" s="505" t="str">
        <f t="shared" si="682"/>
        <v>OK</v>
      </c>
      <c r="M626" s="508" t="str">
        <f t="shared" si="683"/>
        <v>---</v>
      </c>
      <c r="N626" s="505" t="str">
        <f t="shared" si="684"/>
        <v>N/A</v>
      </c>
      <c r="O626" s="143"/>
      <c r="P626" s="143"/>
      <c r="Q626" s="143"/>
      <c r="AE626" s="140">
        <f t="shared" si="662"/>
        <v>1.5249193548387101</v>
      </c>
      <c r="AF626" s="140">
        <f t="shared" si="663"/>
        <v>0.773149462421865</v>
      </c>
      <c r="AG626" s="140">
        <f t="shared" si="685"/>
        <v>1.9723474295150525</v>
      </c>
      <c r="AH626" s="263">
        <f t="shared" si="686"/>
        <v>1</v>
      </c>
      <c r="AI626" s="267" t="str">
        <f t="shared" si="664"/>
        <v>---</v>
      </c>
      <c r="AJ626" s="140">
        <f t="shared" si="665"/>
        <v>0.773149462421865</v>
      </c>
      <c r="AK626" s="140">
        <f t="shared" si="687"/>
        <v>999.99</v>
      </c>
      <c r="AL626" s="263">
        <f t="shared" si="666"/>
        <v>1</v>
      </c>
      <c r="AM626" s="263">
        <f t="shared" si="667"/>
        <v>5</v>
      </c>
      <c r="AN626" s="140">
        <f t="shared" si="688"/>
        <v>0.773149462421865</v>
      </c>
      <c r="AO626" s="140">
        <f t="shared" si="689"/>
        <v>6.4670548749237513</v>
      </c>
      <c r="AP626" s="263">
        <f t="shared" si="668"/>
        <v>1</v>
      </c>
      <c r="AQ626" s="267" t="str">
        <f t="shared" si="669"/>
        <v>---</v>
      </c>
      <c r="AR626" s="210">
        <f t="shared" si="670"/>
        <v>0.773149462421865</v>
      </c>
      <c r="AS626" s="140">
        <f t="shared" si="690"/>
        <v>999.99</v>
      </c>
      <c r="AT626" s="263">
        <f t="shared" si="671"/>
        <v>1</v>
      </c>
      <c r="AU626" s="210" t="str">
        <f t="shared" si="672"/>
        <v>---</v>
      </c>
      <c r="AV626" s="210" t="str">
        <f t="shared" si="691"/>
        <v>---</v>
      </c>
      <c r="AW626" s="140">
        <f t="shared" si="692"/>
        <v>999.99</v>
      </c>
      <c r="AX626" s="263">
        <f t="shared" si="673"/>
        <v>1</v>
      </c>
    </row>
    <row r="627" spans="1:50">
      <c r="A627" s="438" t="str">
        <f t="shared" ref="A627:B627" si="694">A610</f>
        <v>---</v>
      </c>
      <c r="B627" s="294" t="str">
        <f t="shared" si="694"/>
        <v>---</v>
      </c>
      <c r="C627" s="294" t="str">
        <f>IF($A627="---","---",INPUT!C172)</f>
        <v>---</v>
      </c>
      <c r="D627" s="294" t="str">
        <f t="shared" si="675"/>
        <v>---</v>
      </c>
      <c r="E627" s="294" t="str">
        <f t="shared" si="676"/>
        <v>---</v>
      </c>
      <c r="F627" s="294" t="str">
        <f t="shared" si="677"/>
        <v>---</v>
      </c>
      <c r="G627" s="294" t="str">
        <f t="shared" si="655"/>
        <v>---</v>
      </c>
      <c r="H627" s="294" t="str">
        <f t="shared" si="678"/>
        <v>---</v>
      </c>
      <c r="I627" s="443" t="str">
        <f t="shared" si="679"/>
        <v>---</v>
      </c>
      <c r="J627" s="503" t="str">
        <f t="shared" si="680"/>
        <v>---</v>
      </c>
      <c r="K627" s="476" t="str">
        <f t="shared" si="681"/>
        <v>---</v>
      </c>
      <c r="L627" s="505" t="str">
        <f t="shared" si="682"/>
        <v>---</v>
      </c>
      <c r="M627" s="508" t="str">
        <f t="shared" si="683"/>
        <v>---</v>
      </c>
      <c r="N627" s="505" t="str">
        <f t="shared" si="684"/>
        <v>---</v>
      </c>
      <c r="O627" s="143"/>
      <c r="P627" s="143"/>
      <c r="Q627" s="143"/>
      <c r="AE627" s="140" t="str">
        <f t="shared" si="662"/>
        <v>---</v>
      </c>
      <c r="AF627" s="140" t="str">
        <f t="shared" si="663"/>
        <v>---</v>
      </c>
      <c r="AG627" s="140">
        <f t="shared" si="685"/>
        <v>999.99</v>
      </c>
      <c r="AH627" s="263">
        <f t="shared" si="686"/>
        <v>0</v>
      </c>
      <c r="AI627" s="267" t="str">
        <f t="shared" si="664"/>
        <v>---</v>
      </c>
      <c r="AJ627" s="140" t="str">
        <f t="shared" si="665"/>
        <v>---</v>
      </c>
      <c r="AK627" s="140">
        <f t="shared" si="687"/>
        <v>999.99</v>
      </c>
      <c r="AL627" s="263">
        <f t="shared" si="666"/>
        <v>1</v>
      </c>
      <c r="AM627" s="263" t="str">
        <f t="shared" si="667"/>
        <v>---</v>
      </c>
      <c r="AN627" s="140" t="str">
        <f t="shared" si="688"/>
        <v>---</v>
      </c>
      <c r="AO627" s="140">
        <f t="shared" si="689"/>
        <v>999.99</v>
      </c>
      <c r="AP627" s="263">
        <f t="shared" si="668"/>
        <v>0</v>
      </c>
      <c r="AQ627" s="267" t="str">
        <f t="shared" si="669"/>
        <v>---</v>
      </c>
      <c r="AR627" s="210" t="str">
        <f t="shared" si="670"/>
        <v>---</v>
      </c>
      <c r="AS627" s="140">
        <f t="shared" si="690"/>
        <v>999.99</v>
      </c>
      <c r="AT627" s="263">
        <f t="shared" si="671"/>
        <v>1</v>
      </c>
      <c r="AU627" s="210" t="str">
        <f t="shared" si="672"/>
        <v>---</v>
      </c>
      <c r="AV627" s="210" t="str">
        <f t="shared" si="691"/>
        <v>---</v>
      </c>
      <c r="AW627" s="140">
        <f t="shared" si="692"/>
        <v>999.99</v>
      </c>
      <c r="AX627" s="263">
        <f t="shared" si="673"/>
        <v>1</v>
      </c>
    </row>
    <row r="628" spans="1:50">
      <c r="A628" s="438" t="str">
        <f t="shared" ref="A628:B628" si="695">A611</f>
        <v>---</v>
      </c>
      <c r="B628" s="294" t="str">
        <f t="shared" si="695"/>
        <v>---</v>
      </c>
      <c r="C628" s="294" t="str">
        <f>IF($A628="---","---",INPUT!C173)</f>
        <v>---</v>
      </c>
      <c r="D628" s="294" t="str">
        <f t="shared" si="675"/>
        <v>---</v>
      </c>
      <c r="E628" s="294" t="str">
        <f t="shared" si="676"/>
        <v>---</v>
      </c>
      <c r="F628" s="294" t="str">
        <f t="shared" si="677"/>
        <v>---</v>
      </c>
      <c r="G628" s="294" t="str">
        <f t="shared" si="655"/>
        <v>---</v>
      </c>
      <c r="H628" s="294" t="str">
        <f t="shared" si="678"/>
        <v>---</v>
      </c>
      <c r="I628" s="443" t="str">
        <f t="shared" si="679"/>
        <v>---</v>
      </c>
      <c r="J628" s="503" t="str">
        <f t="shared" si="680"/>
        <v>---</v>
      </c>
      <c r="K628" s="476" t="str">
        <f t="shared" si="681"/>
        <v>---</v>
      </c>
      <c r="L628" s="505" t="str">
        <f t="shared" si="682"/>
        <v>---</v>
      </c>
      <c r="M628" s="508" t="str">
        <f t="shared" si="683"/>
        <v>---</v>
      </c>
      <c r="N628" s="505" t="str">
        <f t="shared" si="684"/>
        <v>---</v>
      </c>
      <c r="O628" s="143"/>
      <c r="P628" s="143"/>
      <c r="Q628" s="143"/>
      <c r="AE628" s="140" t="str">
        <f t="shared" si="662"/>
        <v>---</v>
      </c>
      <c r="AF628" s="140" t="str">
        <f t="shared" si="663"/>
        <v>---</v>
      </c>
      <c r="AG628" s="140">
        <f t="shared" si="685"/>
        <v>999.99</v>
      </c>
      <c r="AH628" s="263">
        <f t="shared" si="686"/>
        <v>0</v>
      </c>
      <c r="AI628" s="267" t="str">
        <f t="shared" si="664"/>
        <v>---</v>
      </c>
      <c r="AJ628" s="140" t="str">
        <f t="shared" si="665"/>
        <v>---</v>
      </c>
      <c r="AK628" s="140">
        <f t="shared" si="687"/>
        <v>999.99</v>
      </c>
      <c r="AL628" s="263">
        <f t="shared" si="666"/>
        <v>1</v>
      </c>
      <c r="AM628" s="263" t="str">
        <f t="shared" si="667"/>
        <v>---</v>
      </c>
      <c r="AN628" s="140" t="str">
        <f t="shared" si="688"/>
        <v>---</v>
      </c>
      <c r="AO628" s="140">
        <f t="shared" si="689"/>
        <v>999.99</v>
      </c>
      <c r="AP628" s="263">
        <f t="shared" si="668"/>
        <v>0</v>
      </c>
      <c r="AQ628" s="267" t="str">
        <f t="shared" si="669"/>
        <v>---</v>
      </c>
      <c r="AR628" s="210" t="str">
        <f t="shared" si="670"/>
        <v>---</v>
      </c>
      <c r="AS628" s="140">
        <f t="shared" si="690"/>
        <v>999.99</v>
      </c>
      <c r="AT628" s="263">
        <f t="shared" si="671"/>
        <v>1</v>
      </c>
      <c r="AU628" s="210" t="str">
        <f t="shared" si="672"/>
        <v>---</v>
      </c>
      <c r="AV628" s="210" t="str">
        <f t="shared" si="691"/>
        <v>---</v>
      </c>
      <c r="AW628" s="140">
        <f t="shared" si="692"/>
        <v>999.99</v>
      </c>
      <c r="AX628" s="263">
        <f t="shared" si="673"/>
        <v>1</v>
      </c>
    </row>
    <row r="629" spans="1:50">
      <c r="A629" s="438" t="str">
        <f t="shared" ref="A629:B629" si="696">A612</f>
        <v>---</v>
      </c>
      <c r="B629" s="294" t="str">
        <f t="shared" si="696"/>
        <v>---</v>
      </c>
      <c r="C629" s="294" t="str">
        <f>IF($A629="---","---",INPUT!C174)</f>
        <v>---</v>
      </c>
      <c r="D629" s="294" t="str">
        <f t="shared" si="675"/>
        <v>---</v>
      </c>
      <c r="E629" s="294" t="str">
        <f t="shared" si="676"/>
        <v>---</v>
      </c>
      <c r="F629" s="294" t="str">
        <f t="shared" si="677"/>
        <v>---</v>
      </c>
      <c r="G629" s="294" t="str">
        <f t="shared" si="655"/>
        <v>---</v>
      </c>
      <c r="H629" s="294" t="str">
        <f t="shared" si="678"/>
        <v>---</v>
      </c>
      <c r="I629" s="443" t="str">
        <f t="shared" si="679"/>
        <v>---</v>
      </c>
      <c r="J629" s="503" t="str">
        <f t="shared" si="680"/>
        <v>---</v>
      </c>
      <c r="K629" s="476" t="str">
        <f t="shared" si="681"/>
        <v>---</v>
      </c>
      <c r="L629" s="505" t="str">
        <f t="shared" si="682"/>
        <v>---</v>
      </c>
      <c r="M629" s="508" t="str">
        <f t="shared" si="683"/>
        <v>---</v>
      </c>
      <c r="N629" s="505" t="str">
        <f t="shared" si="684"/>
        <v>---</v>
      </c>
      <c r="O629" s="143"/>
      <c r="P629" s="143"/>
      <c r="Q629" s="143"/>
      <c r="AE629" s="140" t="str">
        <f t="shared" si="662"/>
        <v>---</v>
      </c>
      <c r="AF629" s="140" t="str">
        <f t="shared" si="663"/>
        <v>---</v>
      </c>
      <c r="AG629" s="140">
        <f t="shared" si="685"/>
        <v>999.99</v>
      </c>
      <c r="AH629" s="263">
        <f t="shared" si="686"/>
        <v>0</v>
      </c>
      <c r="AI629" s="267" t="str">
        <f t="shared" si="664"/>
        <v>---</v>
      </c>
      <c r="AJ629" s="140" t="str">
        <f t="shared" si="665"/>
        <v>---</v>
      </c>
      <c r="AK629" s="140">
        <f t="shared" si="687"/>
        <v>999.99</v>
      </c>
      <c r="AL629" s="263">
        <f t="shared" si="666"/>
        <v>1</v>
      </c>
      <c r="AM629" s="263" t="str">
        <f t="shared" si="667"/>
        <v>---</v>
      </c>
      <c r="AN629" s="140" t="str">
        <f t="shared" si="688"/>
        <v>---</v>
      </c>
      <c r="AO629" s="140">
        <f t="shared" si="689"/>
        <v>999.99</v>
      </c>
      <c r="AP629" s="263">
        <f t="shared" si="668"/>
        <v>0</v>
      </c>
      <c r="AQ629" s="267" t="str">
        <f t="shared" si="669"/>
        <v>---</v>
      </c>
      <c r="AR629" s="210" t="str">
        <f t="shared" si="670"/>
        <v>---</v>
      </c>
      <c r="AS629" s="140">
        <f t="shared" si="690"/>
        <v>999.99</v>
      </c>
      <c r="AT629" s="263">
        <f t="shared" si="671"/>
        <v>1</v>
      </c>
      <c r="AU629" s="210" t="str">
        <f t="shared" si="672"/>
        <v>---</v>
      </c>
      <c r="AV629" s="210" t="str">
        <f t="shared" si="691"/>
        <v>---</v>
      </c>
      <c r="AW629" s="140">
        <f t="shared" si="692"/>
        <v>999.99</v>
      </c>
      <c r="AX629" s="263">
        <f t="shared" si="673"/>
        <v>1</v>
      </c>
    </row>
    <row r="630" spans="1:50">
      <c r="A630" s="438" t="str">
        <f t="shared" ref="A630:B630" si="697">A613</f>
        <v>---</v>
      </c>
      <c r="B630" s="294" t="str">
        <f t="shared" si="697"/>
        <v>---</v>
      </c>
      <c r="C630" s="294" t="str">
        <f>IF($A630="---","---",INPUT!C175)</f>
        <v>---</v>
      </c>
      <c r="D630" s="294" t="str">
        <f t="shared" si="675"/>
        <v>---</v>
      </c>
      <c r="E630" s="294" t="str">
        <f t="shared" si="676"/>
        <v>---</v>
      </c>
      <c r="F630" s="294" t="str">
        <f t="shared" si="677"/>
        <v>---</v>
      </c>
      <c r="G630" s="294" t="str">
        <f t="shared" si="655"/>
        <v>---</v>
      </c>
      <c r="H630" s="294" t="str">
        <f t="shared" si="678"/>
        <v>---</v>
      </c>
      <c r="I630" s="443" t="str">
        <f t="shared" si="679"/>
        <v>---</v>
      </c>
      <c r="J630" s="503" t="str">
        <f t="shared" si="680"/>
        <v>---</v>
      </c>
      <c r="K630" s="476" t="str">
        <f t="shared" si="681"/>
        <v>---</v>
      </c>
      <c r="L630" s="505" t="str">
        <f t="shared" si="682"/>
        <v>---</v>
      </c>
      <c r="M630" s="508" t="str">
        <f t="shared" si="683"/>
        <v>---</v>
      </c>
      <c r="N630" s="505" t="str">
        <f t="shared" si="684"/>
        <v>---</v>
      </c>
      <c r="O630" s="143"/>
      <c r="P630" s="143"/>
      <c r="Q630" s="143"/>
      <c r="AE630" s="140" t="str">
        <f t="shared" si="662"/>
        <v>---</v>
      </c>
      <c r="AF630" s="140" t="str">
        <f t="shared" si="663"/>
        <v>---</v>
      </c>
      <c r="AG630" s="140">
        <f t="shared" si="685"/>
        <v>999.99</v>
      </c>
      <c r="AH630" s="263">
        <f t="shared" si="686"/>
        <v>0</v>
      </c>
      <c r="AI630" s="267" t="str">
        <f t="shared" si="664"/>
        <v>---</v>
      </c>
      <c r="AJ630" s="140" t="str">
        <f t="shared" si="665"/>
        <v>---</v>
      </c>
      <c r="AK630" s="140">
        <f t="shared" si="687"/>
        <v>999.99</v>
      </c>
      <c r="AL630" s="263">
        <f t="shared" si="666"/>
        <v>1</v>
      </c>
      <c r="AM630" s="263" t="str">
        <f t="shared" si="667"/>
        <v>---</v>
      </c>
      <c r="AN630" s="140" t="str">
        <f t="shared" si="688"/>
        <v>---</v>
      </c>
      <c r="AO630" s="140">
        <f t="shared" si="689"/>
        <v>999.99</v>
      </c>
      <c r="AP630" s="263">
        <f t="shared" si="668"/>
        <v>0</v>
      </c>
      <c r="AQ630" s="267" t="str">
        <f t="shared" si="669"/>
        <v>---</v>
      </c>
      <c r="AR630" s="210" t="str">
        <f t="shared" si="670"/>
        <v>---</v>
      </c>
      <c r="AS630" s="140">
        <f t="shared" si="690"/>
        <v>999.99</v>
      </c>
      <c r="AT630" s="263">
        <f t="shared" si="671"/>
        <v>1</v>
      </c>
      <c r="AU630" s="210" t="str">
        <f t="shared" si="672"/>
        <v>---</v>
      </c>
      <c r="AV630" s="210" t="str">
        <f t="shared" si="691"/>
        <v>---</v>
      </c>
      <c r="AW630" s="140">
        <f t="shared" si="692"/>
        <v>999.99</v>
      </c>
      <c r="AX630" s="263">
        <f t="shared" si="673"/>
        <v>1</v>
      </c>
    </row>
    <row r="631" spans="1:50">
      <c r="A631" s="438" t="str">
        <f t="shared" ref="A631:B631" si="698">A614</f>
        <v>---</v>
      </c>
      <c r="B631" s="294" t="str">
        <f t="shared" si="698"/>
        <v>---</v>
      </c>
      <c r="C631" s="294" t="str">
        <f>IF($A631="---","---",INPUT!C176)</f>
        <v>---</v>
      </c>
      <c r="D631" s="294" t="str">
        <f t="shared" si="675"/>
        <v>---</v>
      </c>
      <c r="E631" s="294" t="str">
        <f t="shared" si="676"/>
        <v>---</v>
      </c>
      <c r="F631" s="294" t="str">
        <f t="shared" si="677"/>
        <v>---</v>
      </c>
      <c r="G631" s="294" t="str">
        <f t="shared" si="655"/>
        <v>---</v>
      </c>
      <c r="H631" s="294" t="str">
        <f t="shared" si="678"/>
        <v>---</v>
      </c>
      <c r="I631" s="443" t="str">
        <f t="shared" si="679"/>
        <v>---</v>
      </c>
      <c r="J631" s="503" t="str">
        <f t="shared" si="680"/>
        <v>---</v>
      </c>
      <c r="K631" s="476" t="str">
        <f t="shared" si="681"/>
        <v>---</v>
      </c>
      <c r="L631" s="505" t="str">
        <f t="shared" si="682"/>
        <v>---</v>
      </c>
      <c r="M631" s="508" t="str">
        <f t="shared" si="683"/>
        <v>---</v>
      </c>
      <c r="N631" s="505" t="str">
        <f t="shared" si="684"/>
        <v>---</v>
      </c>
      <c r="O631" s="143"/>
      <c r="P631" s="143"/>
      <c r="Q631" s="143"/>
      <c r="AE631" s="140" t="str">
        <f t="shared" si="662"/>
        <v>---</v>
      </c>
      <c r="AF631" s="140" t="str">
        <f t="shared" si="663"/>
        <v>---</v>
      </c>
      <c r="AG631" s="140">
        <f t="shared" si="685"/>
        <v>999.99</v>
      </c>
      <c r="AH631" s="263">
        <f t="shared" si="686"/>
        <v>0</v>
      </c>
      <c r="AI631" s="267" t="str">
        <f t="shared" si="664"/>
        <v>---</v>
      </c>
      <c r="AJ631" s="140" t="str">
        <f t="shared" si="665"/>
        <v>---</v>
      </c>
      <c r="AK631" s="140">
        <f t="shared" si="687"/>
        <v>999.99</v>
      </c>
      <c r="AL631" s="263">
        <f t="shared" si="666"/>
        <v>1</v>
      </c>
      <c r="AM631" s="263" t="str">
        <f t="shared" si="667"/>
        <v>---</v>
      </c>
      <c r="AN631" s="140" t="str">
        <f t="shared" si="688"/>
        <v>---</v>
      </c>
      <c r="AO631" s="140">
        <f t="shared" si="689"/>
        <v>999.99</v>
      </c>
      <c r="AP631" s="263">
        <f t="shared" si="668"/>
        <v>0</v>
      </c>
      <c r="AQ631" s="267" t="str">
        <f t="shared" si="669"/>
        <v>---</v>
      </c>
      <c r="AR631" s="210" t="str">
        <f t="shared" si="670"/>
        <v>---</v>
      </c>
      <c r="AS631" s="140">
        <f t="shared" si="690"/>
        <v>999.99</v>
      </c>
      <c r="AT631" s="263">
        <f t="shared" si="671"/>
        <v>1</v>
      </c>
      <c r="AU631" s="210" t="str">
        <f t="shared" si="672"/>
        <v>---</v>
      </c>
      <c r="AV631" s="210" t="str">
        <f t="shared" si="691"/>
        <v>---</v>
      </c>
      <c r="AW631" s="140">
        <f t="shared" si="692"/>
        <v>999.99</v>
      </c>
      <c r="AX631" s="263">
        <f t="shared" si="673"/>
        <v>1</v>
      </c>
    </row>
    <row r="632" spans="1:50">
      <c r="A632" s="438" t="str">
        <f t="shared" ref="A632:B632" si="699">A615</f>
        <v>---</v>
      </c>
      <c r="B632" s="294" t="str">
        <f t="shared" si="699"/>
        <v>---</v>
      </c>
      <c r="C632" s="294" t="str">
        <f>IF($A632="---","---",INPUT!C177)</f>
        <v>---</v>
      </c>
      <c r="D632" s="294" t="str">
        <f t="shared" si="675"/>
        <v>---</v>
      </c>
      <c r="E632" s="294" t="str">
        <f t="shared" si="676"/>
        <v>---</v>
      </c>
      <c r="F632" s="294" t="str">
        <f t="shared" si="677"/>
        <v>---</v>
      </c>
      <c r="G632" s="294" t="str">
        <f t="shared" si="655"/>
        <v>---</v>
      </c>
      <c r="H632" s="294" t="str">
        <f t="shared" si="678"/>
        <v>---</v>
      </c>
      <c r="I632" s="443" t="str">
        <f t="shared" si="679"/>
        <v>---</v>
      </c>
      <c r="J632" s="503" t="str">
        <f t="shared" si="680"/>
        <v>---</v>
      </c>
      <c r="K632" s="476" t="str">
        <f t="shared" si="681"/>
        <v>---</v>
      </c>
      <c r="L632" s="505" t="str">
        <f t="shared" si="682"/>
        <v>---</v>
      </c>
      <c r="M632" s="508" t="str">
        <f t="shared" si="683"/>
        <v>---</v>
      </c>
      <c r="N632" s="505" t="str">
        <f t="shared" si="684"/>
        <v>---</v>
      </c>
      <c r="O632" s="143"/>
      <c r="P632" s="143"/>
      <c r="Q632" s="143"/>
      <c r="AE632" s="140" t="str">
        <f t="shared" si="662"/>
        <v>---</v>
      </c>
      <c r="AF632" s="140" t="str">
        <f t="shared" si="663"/>
        <v>---</v>
      </c>
      <c r="AG632" s="140">
        <f t="shared" si="685"/>
        <v>999.99</v>
      </c>
      <c r="AH632" s="263">
        <f t="shared" si="686"/>
        <v>0</v>
      </c>
      <c r="AI632" s="267" t="str">
        <f t="shared" si="664"/>
        <v>---</v>
      </c>
      <c r="AJ632" s="140" t="str">
        <f t="shared" si="665"/>
        <v>---</v>
      </c>
      <c r="AK632" s="140">
        <f t="shared" si="687"/>
        <v>999.99</v>
      </c>
      <c r="AL632" s="263">
        <f t="shared" si="666"/>
        <v>1</v>
      </c>
      <c r="AM632" s="263" t="str">
        <f t="shared" si="667"/>
        <v>---</v>
      </c>
      <c r="AN632" s="140" t="str">
        <f t="shared" si="688"/>
        <v>---</v>
      </c>
      <c r="AO632" s="140">
        <f t="shared" si="689"/>
        <v>999.99</v>
      </c>
      <c r="AP632" s="263">
        <f t="shared" si="668"/>
        <v>0</v>
      </c>
      <c r="AQ632" s="267" t="str">
        <f t="shared" si="669"/>
        <v>---</v>
      </c>
      <c r="AR632" s="210" t="str">
        <f t="shared" si="670"/>
        <v>---</v>
      </c>
      <c r="AS632" s="140">
        <f t="shared" si="690"/>
        <v>999.99</v>
      </c>
      <c r="AT632" s="263">
        <f t="shared" si="671"/>
        <v>1</v>
      </c>
      <c r="AU632" s="210" t="str">
        <f t="shared" si="672"/>
        <v>---</v>
      </c>
      <c r="AV632" s="210" t="str">
        <f t="shared" si="691"/>
        <v>---</v>
      </c>
      <c r="AW632" s="140">
        <f t="shared" si="692"/>
        <v>999.99</v>
      </c>
      <c r="AX632" s="263">
        <f t="shared" si="673"/>
        <v>1</v>
      </c>
    </row>
    <row r="633" spans="1:50">
      <c r="A633" s="438" t="str">
        <f t="shared" ref="A633:B633" si="700">A616</f>
        <v>---</v>
      </c>
      <c r="B633" s="294" t="str">
        <f t="shared" si="700"/>
        <v>---</v>
      </c>
      <c r="C633" s="294" t="str">
        <f>IF($A633="---","---",INPUT!C178)</f>
        <v>---</v>
      </c>
      <c r="D633" s="294" t="str">
        <f t="shared" si="675"/>
        <v>---</v>
      </c>
      <c r="E633" s="294" t="str">
        <f t="shared" si="676"/>
        <v>---</v>
      </c>
      <c r="F633" s="294" t="str">
        <f t="shared" si="677"/>
        <v>---</v>
      </c>
      <c r="G633" s="294" t="str">
        <f t="shared" si="655"/>
        <v>---</v>
      </c>
      <c r="H633" s="294" t="str">
        <f t="shared" si="678"/>
        <v>---</v>
      </c>
      <c r="I633" s="443" t="str">
        <f t="shared" si="679"/>
        <v>---</v>
      </c>
      <c r="J633" s="504" t="str">
        <f t="shared" si="680"/>
        <v>---</v>
      </c>
      <c r="K633" s="506" t="str">
        <f t="shared" si="681"/>
        <v>---</v>
      </c>
      <c r="L633" s="507" t="str">
        <f t="shared" si="682"/>
        <v>---</v>
      </c>
      <c r="M633" s="509" t="str">
        <f t="shared" si="683"/>
        <v>---</v>
      </c>
      <c r="N633" s="507" t="str">
        <f t="shared" si="684"/>
        <v>---</v>
      </c>
      <c r="O633" s="143"/>
      <c r="P633" s="143"/>
      <c r="Q633" s="143"/>
      <c r="AE633" s="140" t="str">
        <f t="shared" si="662"/>
        <v>---</v>
      </c>
      <c r="AF633" s="140" t="str">
        <f t="shared" si="663"/>
        <v>---</v>
      </c>
      <c r="AG633" s="140">
        <f t="shared" si="685"/>
        <v>999.99</v>
      </c>
      <c r="AH633" s="263">
        <f t="shared" si="686"/>
        <v>0</v>
      </c>
      <c r="AI633" s="267" t="str">
        <f t="shared" si="664"/>
        <v>---</v>
      </c>
      <c r="AJ633" s="140" t="str">
        <f t="shared" si="665"/>
        <v>---</v>
      </c>
      <c r="AK633" s="140">
        <f t="shared" si="687"/>
        <v>999.99</v>
      </c>
      <c r="AL633" s="263">
        <f t="shared" si="666"/>
        <v>1</v>
      </c>
      <c r="AM633" s="263" t="str">
        <f t="shared" si="667"/>
        <v>---</v>
      </c>
      <c r="AN633" s="140" t="str">
        <f t="shared" si="688"/>
        <v>---</v>
      </c>
      <c r="AO633" s="140">
        <f t="shared" si="689"/>
        <v>999.99</v>
      </c>
      <c r="AP633" s="263">
        <f t="shared" si="668"/>
        <v>0</v>
      </c>
      <c r="AQ633" s="267" t="str">
        <f t="shared" si="669"/>
        <v>---</v>
      </c>
      <c r="AR633" s="210" t="str">
        <f t="shared" si="670"/>
        <v>---</v>
      </c>
      <c r="AS633" s="140">
        <f t="shared" si="690"/>
        <v>999.99</v>
      </c>
      <c r="AT633" s="263">
        <f t="shared" si="671"/>
        <v>1</v>
      </c>
      <c r="AU633" s="210" t="str">
        <f t="shared" si="672"/>
        <v>---</v>
      </c>
      <c r="AV633" s="210" t="str">
        <f t="shared" si="691"/>
        <v>---</v>
      </c>
      <c r="AW633" s="140">
        <f t="shared" si="692"/>
        <v>999.99</v>
      </c>
      <c r="AX633" s="263">
        <f t="shared" si="673"/>
        <v>1</v>
      </c>
    </row>
    <row r="635" spans="1:50">
      <c r="E635" s="37"/>
    </row>
    <row r="636" spans="1:50">
      <c r="A636" s="161" t="s">
        <v>360</v>
      </c>
      <c r="B636" s="9"/>
      <c r="C636" s="9"/>
      <c r="D636" s="142" t="s">
        <v>812</v>
      </c>
      <c r="E636" s="37"/>
      <c r="F636" s="9"/>
      <c r="G636" s="9"/>
      <c r="H636" s="9"/>
      <c r="I636" s="9"/>
      <c r="J636" s="9"/>
      <c r="K636" s="9"/>
      <c r="L636" s="9"/>
      <c r="M636" s="142"/>
      <c r="N636" s="105"/>
      <c r="O636" s="9"/>
      <c r="P636" s="218"/>
    </row>
    <row r="637" spans="1:50">
      <c r="A637" s="37" t="s">
        <v>546</v>
      </c>
      <c r="B637" s="9"/>
      <c r="C637" s="9"/>
      <c r="D637" s="9"/>
      <c r="E637" s="9"/>
      <c r="F637" s="9"/>
      <c r="G637" s="9"/>
      <c r="H637" s="9"/>
      <c r="I637" s="9"/>
      <c r="J637" s="9"/>
      <c r="K637" s="9"/>
      <c r="L637" s="9"/>
      <c r="M637" s="37"/>
      <c r="R637" s="196"/>
      <c r="S637" s="196"/>
      <c r="T637" s="196"/>
      <c r="AE637" s="10" t="s">
        <v>134</v>
      </c>
      <c r="AI637" s="9"/>
      <c r="AJ637" s="9"/>
      <c r="AK637" s="9"/>
      <c r="AL637" s="9"/>
      <c r="AM637" s="9"/>
    </row>
    <row r="638" spans="1:50">
      <c r="A638" s="9"/>
      <c r="B638" s="9"/>
      <c r="C638" s="9"/>
      <c r="D638" s="9"/>
      <c r="E638" s="9"/>
      <c r="F638" s="9"/>
      <c r="G638" s="9"/>
      <c r="H638" s="9"/>
      <c r="I638" s="9"/>
      <c r="J638" s="510" t="s">
        <v>135</v>
      </c>
      <c r="K638" s="511"/>
      <c r="L638" s="512"/>
      <c r="M638" s="510" t="s">
        <v>543</v>
      </c>
      <c r="N638" s="511"/>
      <c r="O638" s="516"/>
      <c r="P638" s="511"/>
      <c r="Q638" s="420"/>
      <c r="R638" s="219"/>
      <c r="S638" s="219"/>
      <c r="AH638" s="9"/>
      <c r="AI638" s="9"/>
      <c r="AJ638" s="9"/>
      <c r="AK638" s="9"/>
      <c r="AL638" s="9"/>
    </row>
    <row r="639" spans="1:50" ht="15.75">
      <c r="A639" s="198" t="s">
        <v>34</v>
      </c>
      <c r="B639" s="197" t="s">
        <v>540</v>
      </c>
      <c r="C639" s="197" t="s">
        <v>359</v>
      </c>
      <c r="D639" s="197" t="s">
        <v>358</v>
      </c>
      <c r="E639" s="197" t="s">
        <v>43</v>
      </c>
      <c r="F639" s="197" t="s">
        <v>342</v>
      </c>
      <c r="G639" s="50" t="s">
        <v>505</v>
      </c>
      <c r="H639" s="50" t="s">
        <v>526</v>
      </c>
      <c r="I639" s="50" t="s">
        <v>527</v>
      </c>
      <c r="J639" s="223" t="s">
        <v>54</v>
      </c>
      <c r="K639" s="216" t="s">
        <v>523</v>
      </c>
      <c r="L639" s="215" t="s">
        <v>30</v>
      </c>
      <c r="M639" s="488" t="s">
        <v>39</v>
      </c>
      <c r="N639" s="216" t="s">
        <v>54</v>
      </c>
      <c r="O639" s="495" t="s">
        <v>40</v>
      </c>
      <c r="P639" s="216" t="s">
        <v>523</v>
      </c>
      <c r="Q639" s="491" t="s">
        <v>30</v>
      </c>
      <c r="R639" s="216" t="s">
        <v>538</v>
      </c>
      <c r="S639" s="87" t="s">
        <v>539</v>
      </c>
      <c r="AE639" s="37" t="s">
        <v>135</v>
      </c>
      <c r="AI639" s="37" t="s">
        <v>543</v>
      </c>
      <c r="AJ639" s="9"/>
      <c r="AK639" s="9"/>
      <c r="AL639" s="9"/>
      <c r="AM639" s="9"/>
    </row>
    <row r="640" spans="1:50" ht="15.75">
      <c r="A640" s="197" t="s">
        <v>352</v>
      </c>
      <c r="B640" s="198" t="s">
        <v>42</v>
      </c>
      <c r="C640" s="198" t="s">
        <v>42</v>
      </c>
      <c r="D640" s="198" t="s">
        <v>42</v>
      </c>
      <c r="E640" s="197" t="s">
        <v>504</v>
      </c>
      <c r="F640" s="213" t="s">
        <v>532</v>
      </c>
      <c r="G640" s="7" t="s">
        <v>41</v>
      </c>
      <c r="H640" s="198" t="s">
        <v>41</v>
      </c>
      <c r="I640" s="7" t="s">
        <v>41</v>
      </c>
      <c r="J640" s="223" t="s">
        <v>154</v>
      </c>
      <c r="K640" s="495" t="s">
        <v>42</v>
      </c>
      <c r="L640" s="215" t="s">
        <v>358</v>
      </c>
      <c r="M640" s="488" t="s">
        <v>154</v>
      </c>
      <c r="N640" s="216" t="s">
        <v>154</v>
      </c>
      <c r="O640" s="216" t="s">
        <v>154</v>
      </c>
      <c r="P640" s="495" t="s">
        <v>42</v>
      </c>
      <c r="Q640" s="491" t="s">
        <v>358</v>
      </c>
      <c r="R640" s="216" t="s">
        <v>537</v>
      </c>
      <c r="S640" s="87" t="s">
        <v>545</v>
      </c>
      <c r="W640" s="220"/>
      <c r="X640" s="272"/>
      <c r="Y640" s="220"/>
      <c r="Z640" s="220"/>
      <c r="AE640" s="248" t="s">
        <v>38</v>
      </c>
      <c r="AF640" s="247" t="s">
        <v>666</v>
      </c>
      <c r="AG640" s="247" t="s">
        <v>78</v>
      </c>
      <c r="AH640" s="251" t="s">
        <v>79</v>
      </c>
      <c r="AI640" s="248" t="s">
        <v>38</v>
      </c>
      <c r="AJ640" s="247" t="s">
        <v>666</v>
      </c>
      <c r="AK640" s="247" t="s">
        <v>78</v>
      </c>
      <c r="AL640" s="251" t="s">
        <v>79</v>
      </c>
      <c r="AM640" s="7"/>
    </row>
    <row r="641" spans="1:40">
      <c r="A641" s="441">
        <f>A624</f>
        <v>1</v>
      </c>
      <c r="B641" s="291">
        <f>B624</f>
        <v>5.39</v>
      </c>
      <c r="C641" s="291">
        <f t="shared" ref="C641" si="701">IF($A641="---","---",IF(Type_Reinf="g",(Ah-B641)/TAN(RADIANS(psi_r)),IF(B641&lt;(Ah-Ah/2),0.3*Ah,(0.3/0.5)*(Ah-B641))))</f>
        <v>1.3499999999999999</v>
      </c>
      <c r="D641" s="291">
        <f t="shared" ref="D641" si="702">IF($A641="---","---",(L_reinf-cf-bf)-C641)</f>
        <v>13.87</v>
      </c>
      <c r="E641" s="291">
        <f t="shared" ref="E641" si="703">IF($A641="---","---",IF(Type_Reinf="g",$I$414,IF(AND(Type_Reinf="s",Type_Steel_Strip="s")=TRUE,$I$416,IF(B641&gt;=20,IF(Type_Reinf="s",$F$415,$F$417),IF(Type_Reinf="s",MIN(1.2+LOG(Cu),2)-C428*((MIN(1.2+LOG(Cu),2)-TAN(RADIANS(PHI_reinf)))/20),2*$F$417-$F$417*B641/20)))))</f>
        <v>1.7174936307415472</v>
      </c>
      <c r="F641" s="291">
        <f t="shared" ref="F641" si="704">IF($A641="---","---",ka_int*IF(Type_Reinf="g",1,MAX((1.2+0.5*(20-B641)/20),1.2)))</f>
        <v>0.44251952808824374</v>
      </c>
      <c r="G641" s="291">
        <f t="shared" ref="G641" si="705">IF($A641="---","---",B641*gamma_reinf+q_DW)</f>
        <v>0.36839999999999995</v>
      </c>
      <c r="H641" s="291">
        <f>IF($A641="---","---",G624)</f>
        <v>0.23333333333333331</v>
      </c>
      <c r="I641" s="291">
        <f t="shared" ref="I641:I650" si="706">IF($A641="---","---",gamma_P*($F641*G641+H641))</f>
        <v>0.53508266209940702</v>
      </c>
      <c r="J641" s="476">
        <f>IF($A641="---","---",I641*$C624)</f>
        <v>0.60196799486183294</v>
      </c>
      <c r="K641" s="444">
        <f t="shared" ref="K641:K650" si="707">IF($A641="---","---",MAX(3,J641/(phi_Pullout_Static*E641*alpha*G641*C_surf_geo*I607)))</f>
        <v>7.8648251328360947</v>
      </c>
      <c r="L641" s="513" t="str">
        <f>IF($A641="---","---",IF($D641&gt;K641,"OK","NG!"))</f>
        <v>OK</v>
      </c>
      <c r="M641" s="517">
        <f>IF($A641="---","---",C665)</f>
        <v>1.7808638329608936E-2</v>
      </c>
      <c r="N641" s="444">
        <f>IF($A641="---","---",J641)</f>
        <v>0.60196799486183294</v>
      </c>
      <c r="O641" s="444">
        <f>IF($A641="---","---",N641+M641)</f>
        <v>0.61977663319144183</v>
      </c>
      <c r="P641" s="444">
        <f t="shared" ref="P641:P650" si="708">IF($A641="---","---",MAX(3,O641/(phi_Pullout_Combined*0.8*E641*alpha*G641*C_surf_geo*I607)))</f>
        <v>7.5914046973970519</v>
      </c>
      <c r="Q641" s="513" t="str">
        <f>IF($A641="---","---",IF($D641&gt;P641,"OK","NG!"))</f>
        <v>OK</v>
      </c>
      <c r="R641" s="444" t="str">
        <f t="shared" ref="R641:R650" si="709">IF($A641="---","---",IF(OR(K641&gt;D641,P641&gt;D641)=TRUE,MAX(K641,P641)-D641,"---"))</f>
        <v>---</v>
      </c>
      <c r="S641" s="291">
        <f t="shared" ref="S641:S650" si="710">IF(A641="---","---",IF(AND(D641&gt;K641,D641&gt;P641)=TRUE,L_reinf,C641+MAX(K641,P641)))</f>
        <v>21</v>
      </c>
      <c r="X641" s="111"/>
      <c r="Y641" s="111"/>
      <c r="Z641" s="273"/>
      <c r="AE641" s="140">
        <f t="shared" ref="AE641:AE650" si="711">D641</f>
        <v>13.87</v>
      </c>
      <c r="AF641" s="141">
        <f t="shared" ref="AF641:AF650" si="712">IF(AE641="---","---",K641)</f>
        <v>7.8648251328360947</v>
      </c>
      <c r="AG641" s="140">
        <f>IF(AE641="---",999.99,IF(AF641=0,999.99,AE641/AF641))</f>
        <v>1.7635484280625586</v>
      </c>
      <c r="AH641" s="263">
        <f t="shared" ref="AH641:AH650" si="713">IF(AG641=MIN($AG$641:$AG$650),1,0)</f>
        <v>1</v>
      </c>
      <c r="AI641" s="140">
        <f>AE641</f>
        <v>13.87</v>
      </c>
      <c r="AJ641" s="140">
        <f t="shared" ref="AJ641:AJ650" si="714">P641</f>
        <v>7.5914046973970519</v>
      </c>
      <c r="AK641" s="140">
        <f>IF(AI641="---",999.99,IF(AJ641=0,999.99,AI641/AJ641))</f>
        <v>1.827066340535864</v>
      </c>
      <c r="AL641" s="263">
        <f t="shared" ref="AL641:AL650" si="715">IF(AK641=MIN($AK$641:$AK$650),1,0)</f>
        <v>1</v>
      </c>
      <c r="AM641" s="265"/>
    </row>
    <row r="642" spans="1:40">
      <c r="A642" s="441">
        <f t="shared" ref="A642:B642" si="716">A625</f>
        <v>2</v>
      </c>
      <c r="B642" s="291">
        <f t="shared" si="716"/>
        <v>6.14</v>
      </c>
      <c r="C642" s="291">
        <f t="shared" ref="C642:C650" si="717">IF($A642="---","---",IF(Type_Reinf="g",(Ah-B642)/TAN(RADIANS(psi_r)),IF(B642&lt;(Ah-Ah/2),0.3*Ah,(0.3/0.5)*(Ah-B642))))</f>
        <v>0.89999999999999991</v>
      </c>
      <c r="D642" s="291">
        <f t="shared" ref="D642:D650" si="718">IF($A642="---","---",(L_reinf-cf-bf)-C642)</f>
        <v>14.319999999999999</v>
      </c>
      <c r="E642" s="291">
        <f t="shared" ref="E642:E650" si="719">IF($A642="---","---",IF(Type_Reinf="g",$I$414,IF(AND(Type_Reinf="s",Type_Steel_Strip="s")=TRUE,$I$416,IF(B642&gt;=20,IF(Type_Reinf="s",$F$415,$F$417),IF(Type_Reinf="s",MIN(1.2+LOG(Cu),2)-C429*((MIN(1.2+LOG(Cu),2)-TAN(RADIANS(PHI_reinf)))/20),2*$F$417-$F$417*B642/20)))))</f>
        <v>1.5765496964308552</v>
      </c>
      <c r="F642" s="291">
        <f t="shared" ref="F642:F650" si="720">IF($A642="---","---",ka_int*IF(Type_Reinf="g",1,MAX((1.2+0.5*(20-B642)/20),1.2)))</f>
        <v>0.43721862334353556</v>
      </c>
      <c r="G642" s="291">
        <f t="shared" ref="G642:G650" si="721">IF($A642="---","---",B642*gamma_reinf+q_DW)</f>
        <v>0.41339999999999993</v>
      </c>
      <c r="H642" s="291">
        <f t="shared" ref="H642:H650" si="722">IF($A642="---","---",G625)</f>
        <v>0.23333333333333331</v>
      </c>
      <c r="I642" s="291">
        <f t="shared" si="706"/>
        <v>0.55900734150179376</v>
      </c>
      <c r="J642" s="476">
        <f t="shared" ref="J642:J650" si="723">IF($A642="---","---",I642*$C625)</f>
        <v>0.41925550612634532</v>
      </c>
      <c r="K642" s="444">
        <f t="shared" si="707"/>
        <v>5.3177885368854341</v>
      </c>
      <c r="L642" s="513" t="str">
        <f t="shared" ref="L642:L650" si="724">IF($A642="---","---",IF($D642&gt;K642,"OK","NG!"))</f>
        <v>OK</v>
      </c>
      <c r="M642" s="517">
        <f t="shared" ref="M642:M650" si="725">IF($A642="---","---",C666)</f>
        <v>1.8386423999999998E-2</v>
      </c>
      <c r="N642" s="444">
        <f t="shared" ref="N642:N650" si="726">IF($A642="---","---",J642)</f>
        <v>0.41925550612634532</v>
      </c>
      <c r="O642" s="444">
        <f t="shared" ref="O642:O650" si="727">IF($A642="---","---",N642+M642)</f>
        <v>0.43764193012634534</v>
      </c>
      <c r="P642" s="444">
        <f t="shared" si="708"/>
        <v>5.2040623317977195</v>
      </c>
      <c r="Q642" s="513" t="str">
        <f t="shared" ref="Q642:Q650" si="728">IF($A642="---","---",IF($D642&gt;P642,"OK","NG!"))</f>
        <v>OK</v>
      </c>
      <c r="R642" s="444" t="str">
        <f t="shared" si="709"/>
        <v>---</v>
      </c>
      <c r="S642" s="291">
        <f t="shared" si="710"/>
        <v>21</v>
      </c>
      <c r="AE642" s="140">
        <f t="shared" si="711"/>
        <v>14.319999999999999</v>
      </c>
      <c r="AF642" s="141">
        <f t="shared" si="712"/>
        <v>5.3177885368854341</v>
      </c>
      <c r="AG642" s="140">
        <f t="shared" ref="AG642:AG650" si="729">IF(AE642="---",999.99,IF(AF642=0,999.99,AE642/AF642))</f>
        <v>2.6928487096982336</v>
      </c>
      <c r="AH642" s="263">
        <f t="shared" si="713"/>
        <v>0</v>
      </c>
      <c r="AI642" s="140">
        <f t="shared" ref="AI642:AI650" si="730">AE642</f>
        <v>14.319999999999999</v>
      </c>
      <c r="AJ642" s="140">
        <f t="shared" si="714"/>
        <v>5.2040623317977195</v>
      </c>
      <c r="AK642" s="140">
        <f t="shared" ref="AK642:AK650" si="731">IF(AI642="---",999.99,IF(AJ642=0,999.99,AI642/AJ642))</f>
        <v>2.7516964799791741</v>
      </c>
      <c r="AL642" s="263">
        <f t="shared" si="715"/>
        <v>0</v>
      </c>
      <c r="AM642" s="265"/>
    </row>
    <row r="643" spans="1:40">
      <c r="A643" s="441">
        <f t="shared" ref="A643:B643" si="732">A626</f>
        <v>3</v>
      </c>
      <c r="B643" s="291">
        <f t="shared" si="732"/>
        <v>6.89</v>
      </c>
      <c r="C643" s="291">
        <f t="shared" si="717"/>
        <v>0.44999999999999996</v>
      </c>
      <c r="D643" s="291">
        <f t="shared" si="718"/>
        <v>14.77</v>
      </c>
      <c r="E643" s="291">
        <f t="shared" si="719"/>
        <v>1.4356057621201632</v>
      </c>
      <c r="F643" s="291">
        <f t="shared" si="720"/>
        <v>0.43191771859882727</v>
      </c>
      <c r="G643" s="291">
        <f t="shared" si="721"/>
        <v>0.45839999999999997</v>
      </c>
      <c r="H643" s="291">
        <f t="shared" si="722"/>
        <v>0.23333333333333331</v>
      </c>
      <c r="I643" s="291">
        <f t="shared" si="706"/>
        <v>0.5822879609776983</v>
      </c>
      <c r="J643" s="476">
        <f t="shared" si="723"/>
        <v>0.65507395609991059</v>
      </c>
      <c r="K643" s="444">
        <f t="shared" si="707"/>
        <v>8.2288843323144789</v>
      </c>
      <c r="L643" s="513" t="str">
        <f t="shared" si="724"/>
        <v>OK</v>
      </c>
      <c r="M643" s="517">
        <f t="shared" si="725"/>
        <v>1.8964209670391058E-2</v>
      </c>
      <c r="N643" s="444">
        <f t="shared" si="726"/>
        <v>0.65507395609991059</v>
      </c>
      <c r="O643" s="444">
        <f t="shared" si="727"/>
        <v>0.67403816577030162</v>
      </c>
      <c r="P643" s="444">
        <f t="shared" si="708"/>
        <v>7.937913989577944</v>
      </c>
      <c r="Q643" s="513" t="str">
        <f t="shared" si="728"/>
        <v>OK</v>
      </c>
      <c r="R643" s="444" t="str">
        <f t="shared" si="709"/>
        <v>---</v>
      </c>
      <c r="S643" s="291">
        <f t="shared" si="710"/>
        <v>21</v>
      </c>
      <c r="AE643" s="140">
        <f t="shared" si="711"/>
        <v>14.77</v>
      </c>
      <c r="AF643" s="141">
        <f t="shared" si="712"/>
        <v>8.2288843323144789</v>
      </c>
      <c r="AG643" s="140">
        <f t="shared" si="729"/>
        <v>1.7948970241322797</v>
      </c>
      <c r="AH643" s="263">
        <f t="shared" si="713"/>
        <v>0</v>
      </c>
      <c r="AI643" s="140">
        <f t="shared" si="730"/>
        <v>14.77</v>
      </c>
      <c r="AJ643" s="140">
        <f t="shared" si="714"/>
        <v>7.937913989577944</v>
      </c>
      <c r="AK643" s="140">
        <f t="shared" si="731"/>
        <v>1.860690355097349</v>
      </c>
      <c r="AL643" s="263">
        <f t="shared" si="715"/>
        <v>0</v>
      </c>
      <c r="AM643" s="265"/>
    </row>
    <row r="644" spans="1:40">
      <c r="A644" s="441" t="str">
        <f t="shared" ref="A644:B644" si="733">A627</f>
        <v>---</v>
      </c>
      <c r="B644" s="291" t="str">
        <f t="shared" si="733"/>
        <v>---</v>
      </c>
      <c r="C644" s="291" t="str">
        <f t="shared" si="717"/>
        <v>---</v>
      </c>
      <c r="D644" s="291" t="str">
        <f t="shared" si="718"/>
        <v>---</v>
      </c>
      <c r="E644" s="291" t="str">
        <f t="shared" si="719"/>
        <v>---</v>
      </c>
      <c r="F644" s="291" t="str">
        <f t="shared" si="720"/>
        <v>---</v>
      </c>
      <c r="G644" s="291" t="str">
        <f t="shared" si="721"/>
        <v>---</v>
      </c>
      <c r="H644" s="291" t="str">
        <f t="shared" si="722"/>
        <v>---</v>
      </c>
      <c r="I644" s="291" t="str">
        <f t="shared" si="706"/>
        <v>---</v>
      </c>
      <c r="J644" s="476" t="str">
        <f t="shared" si="723"/>
        <v>---</v>
      </c>
      <c r="K644" s="444" t="str">
        <f t="shared" si="707"/>
        <v>---</v>
      </c>
      <c r="L644" s="513" t="str">
        <f t="shared" si="724"/>
        <v>---</v>
      </c>
      <c r="M644" s="517" t="str">
        <f t="shared" si="725"/>
        <v>---</v>
      </c>
      <c r="N644" s="444" t="str">
        <f t="shared" si="726"/>
        <v>---</v>
      </c>
      <c r="O644" s="444" t="str">
        <f t="shared" si="727"/>
        <v>---</v>
      </c>
      <c r="P644" s="444" t="str">
        <f t="shared" si="708"/>
        <v>---</v>
      </c>
      <c r="Q644" s="513" t="str">
        <f t="shared" si="728"/>
        <v>---</v>
      </c>
      <c r="R644" s="444" t="str">
        <f t="shared" si="709"/>
        <v>---</v>
      </c>
      <c r="S644" s="291" t="str">
        <f t="shared" si="710"/>
        <v>---</v>
      </c>
      <c r="AE644" s="140" t="str">
        <f t="shared" si="711"/>
        <v>---</v>
      </c>
      <c r="AF644" s="141" t="str">
        <f t="shared" si="712"/>
        <v>---</v>
      </c>
      <c r="AG644" s="140">
        <f t="shared" si="729"/>
        <v>999.99</v>
      </c>
      <c r="AH644" s="263">
        <f t="shared" si="713"/>
        <v>0</v>
      </c>
      <c r="AI644" s="140" t="str">
        <f t="shared" si="730"/>
        <v>---</v>
      </c>
      <c r="AJ644" s="140" t="str">
        <f t="shared" si="714"/>
        <v>---</v>
      </c>
      <c r="AK644" s="140">
        <f t="shared" si="731"/>
        <v>999.99</v>
      </c>
      <c r="AL644" s="263">
        <f t="shared" si="715"/>
        <v>0</v>
      </c>
      <c r="AM644" s="265"/>
    </row>
    <row r="645" spans="1:40">
      <c r="A645" s="441" t="str">
        <f t="shared" ref="A645:B645" si="734">A628</f>
        <v>---</v>
      </c>
      <c r="B645" s="291" t="str">
        <f t="shared" si="734"/>
        <v>---</v>
      </c>
      <c r="C645" s="291" t="str">
        <f t="shared" si="717"/>
        <v>---</v>
      </c>
      <c r="D645" s="291" t="str">
        <f t="shared" si="718"/>
        <v>---</v>
      </c>
      <c r="E645" s="291" t="str">
        <f t="shared" si="719"/>
        <v>---</v>
      </c>
      <c r="F645" s="291" t="str">
        <f t="shared" si="720"/>
        <v>---</v>
      </c>
      <c r="G645" s="291" t="str">
        <f t="shared" si="721"/>
        <v>---</v>
      </c>
      <c r="H645" s="291" t="str">
        <f t="shared" si="722"/>
        <v>---</v>
      </c>
      <c r="I645" s="291" t="str">
        <f t="shared" si="706"/>
        <v>---</v>
      </c>
      <c r="J645" s="476" t="str">
        <f t="shared" si="723"/>
        <v>---</v>
      </c>
      <c r="K645" s="444" t="str">
        <f t="shared" si="707"/>
        <v>---</v>
      </c>
      <c r="L645" s="513" t="str">
        <f t="shared" si="724"/>
        <v>---</v>
      </c>
      <c r="M645" s="517" t="str">
        <f t="shared" si="725"/>
        <v>---</v>
      </c>
      <c r="N645" s="444" t="str">
        <f t="shared" si="726"/>
        <v>---</v>
      </c>
      <c r="O645" s="444" t="str">
        <f t="shared" si="727"/>
        <v>---</v>
      </c>
      <c r="P645" s="444" t="str">
        <f t="shared" si="708"/>
        <v>---</v>
      </c>
      <c r="Q645" s="513" t="str">
        <f t="shared" si="728"/>
        <v>---</v>
      </c>
      <c r="R645" s="444" t="str">
        <f t="shared" si="709"/>
        <v>---</v>
      </c>
      <c r="S645" s="291" t="str">
        <f t="shared" si="710"/>
        <v>---</v>
      </c>
      <c r="AE645" s="140" t="str">
        <f t="shared" si="711"/>
        <v>---</v>
      </c>
      <c r="AF645" s="141" t="str">
        <f t="shared" si="712"/>
        <v>---</v>
      </c>
      <c r="AG645" s="140">
        <f t="shared" si="729"/>
        <v>999.99</v>
      </c>
      <c r="AH645" s="263">
        <f t="shared" si="713"/>
        <v>0</v>
      </c>
      <c r="AI645" s="140" t="str">
        <f t="shared" si="730"/>
        <v>---</v>
      </c>
      <c r="AJ645" s="140" t="str">
        <f t="shared" si="714"/>
        <v>---</v>
      </c>
      <c r="AK645" s="140">
        <f t="shared" si="731"/>
        <v>999.99</v>
      </c>
      <c r="AL645" s="263">
        <f t="shared" si="715"/>
        <v>0</v>
      </c>
      <c r="AM645" s="265"/>
    </row>
    <row r="646" spans="1:40">
      <c r="A646" s="441" t="str">
        <f t="shared" ref="A646:B646" si="735">A629</f>
        <v>---</v>
      </c>
      <c r="B646" s="291" t="str">
        <f t="shared" si="735"/>
        <v>---</v>
      </c>
      <c r="C646" s="291" t="str">
        <f t="shared" si="717"/>
        <v>---</v>
      </c>
      <c r="D646" s="291" t="str">
        <f t="shared" si="718"/>
        <v>---</v>
      </c>
      <c r="E646" s="291" t="str">
        <f t="shared" si="719"/>
        <v>---</v>
      </c>
      <c r="F646" s="291" t="str">
        <f t="shared" si="720"/>
        <v>---</v>
      </c>
      <c r="G646" s="291" t="str">
        <f t="shared" si="721"/>
        <v>---</v>
      </c>
      <c r="H646" s="291" t="str">
        <f t="shared" si="722"/>
        <v>---</v>
      </c>
      <c r="I646" s="291" t="str">
        <f t="shared" si="706"/>
        <v>---</v>
      </c>
      <c r="J646" s="476" t="str">
        <f t="shared" si="723"/>
        <v>---</v>
      </c>
      <c r="K646" s="444" t="str">
        <f t="shared" si="707"/>
        <v>---</v>
      </c>
      <c r="L646" s="513" t="str">
        <f t="shared" si="724"/>
        <v>---</v>
      </c>
      <c r="M646" s="517" t="str">
        <f t="shared" si="725"/>
        <v>---</v>
      </c>
      <c r="N646" s="444" t="str">
        <f t="shared" si="726"/>
        <v>---</v>
      </c>
      <c r="O646" s="444" t="str">
        <f t="shared" si="727"/>
        <v>---</v>
      </c>
      <c r="P646" s="444" t="str">
        <f t="shared" si="708"/>
        <v>---</v>
      </c>
      <c r="Q646" s="513" t="str">
        <f t="shared" si="728"/>
        <v>---</v>
      </c>
      <c r="R646" s="444" t="str">
        <f t="shared" si="709"/>
        <v>---</v>
      </c>
      <c r="S646" s="291" t="str">
        <f t="shared" si="710"/>
        <v>---</v>
      </c>
      <c r="AE646" s="140" t="str">
        <f t="shared" si="711"/>
        <v>---</v>
      </c>
      <c r="AF646" s="141" t="str">
        <f t="shared" si="712"/>
        <v>---</v>
      </c>
      <c r="AG646" s="140">
        <f t="shared" si="729"/>
        <v>999.99</v>
      </c>
      <c r="AH646" s="263">
        <f t="shared" si="713"/>
        <v>0</v>
      </c>
      <c r="AI646" s="140" t="str">
        <f t="shared" si="730"/>
        <v>---</v>
      </c>
      <c r="AJ646" s="140" t="str">
        <f t="shared" si="714"/>
        <v>---</v>
      </c>
      <c r="AK646" s="140">
        <f t="shared" si="731"/>
        <v>999.99</v>
      </c>
      <c r="AL646" s="263">
        <f t="shared" si="715"/>
        <v>0</v>
      </c>
      <c r="AM646" s="265"/>
    </row>
    <row r="647" spans="1:40">
      <c r="A647" s="441" t="str">
        <f t="shared" ref="A647:B647" si="736">A630</f>
        <v>---</v>
      </c>
      <c r="B647" s="291" t="str">
        <f t="shared" si="736"/>
        <v>---</v>
      </c>
      <c r="C647" s="291" t="str">
        <f t="shared" si="717"/>
        <v>---</v>
      </c>
      <c r="D647" s="291" t="str">
        <f t="shared" si="718"/>
        <v>---</v>
      </c>
      <c r="E647" s="291" t="str">
        <f t="shared" si="719"/>
        <v>---</v>
      </c>
      <c r="F647" s="291" t="str">
        <f t="shared" si="720"/>
        <v>---</v>
      </c>
      <c r="G647" s="291" t="str">
        <f t="shared" si="721"/>
        <v>---</v>
      </c>
      <c r="H647" s="291" t="str">
        <f t="shared" si="722"/>
        <v>---</v>
      </c>
      <c r="I647" s="291" t="str">
        <f t="shared" si="706"/>
        <v>---</v>
      </c>
      <c r="J647" s="476" t="str">
        <f t="shared" si="723"/>
        <v>---</v>
      </c>
      <c r="K647" s="444" t="str">
        <f t="shared" si="707"/>
        <v>---</v>
      </c>
      <c r="L647" s="513" t="str">
        <f t="shared" si="724"/>
        <v>---</v>
      </c>
      <c r="M647" s="517" t="str">
        <f t="shared" si="725"/>
        <v>---</v>
      </c>
      <c r="N647" s="444" t="str">
        <f t="shared" si="726"/>
        <v>---</v>
      </c>
      <c r="O647" s="444" t="str">
        <f t="shared" si="727"/>
        <v>---</v>
      </c>
      <c r="P647" s="444" t="str">
        <f t="shared" si="708"/>
        <v>---</v>
      </c>
      <c r="Q647" s="513" t="str">
        <f t="shared" si="728"/>
        <v>---</v>
      </c>
      <c r="R647" s="444" t="str">
        <f t="shared" si="709"/>
        <v>---</v>
      </c>
      <c r="S647" s="291" t="str">
        <f t="shared" si="710"/>
        <v>---</v>
      </c>
      <c r="AE647" s="140" t="str">
        <f t="shared" si="711"/>
        <v>---</v>
      </c>
      <c r="AF647" s="141" t="str">
        <f t="shared" si="712"/>
        <v>---</v>
      </c>
      <c r="AG647" s="140">
        <f t="shared" si="729"/>
        <v>999.99</v>
      </c>
      <c r="AH647" s="263">
        <f t="shared" si="713"/>
        <v>0</v>
      </c>
      <c r="AI647" s="140" t="str">
        <f t="shared" si="730"/>
        <v>---</v>
      </c>
      <c r="AJ647" s="140" t="str">
        <f t="shared" si="714"/>
        <v>---</v>
      </c>
      <c r="AK647" s="140">
        <f t="shared" si="731"/>
        <v>999.99</v>
      </c>
      <c r="AL647" s="263">
        <f t="shared" si="715"/>
        <v>0</v>
      </c>
      <c r="AM647" s="265"/>
    </row>
    <row r="648" spans="1:40">
      <c r="A648" s="441" t="str">
        <f t="shared" ref="A648:B648" si="737">A631</f>
        <v>---</v>
      </c>
      <c r="B648" s="291" t="str">
        <f t="shared" si="737"/>
        <v>---</v>
      </c>
      <c r="C648" s="291" t="str">
        <f t="shared" si="717"/>
        <v>---</v>
      </c>
      <c r="D648" s="291" t="str">
        <f t="shared" si="718"/>
        <v>---</v>
      </c>
      <c r="E648" s="291" t="str">
        <f t="shared" si="719"/>
        <v>---</v>
      </c>
      <c r="F648" s="291" t="str">
        <f t="shared" si="720"/>
        <v>---</v>
      </c>
      <c r="G648" s="291" t="str">
        <f t="shared" si="721"/>
        <v>---</v>
      </c>
      <c r="H648" s="291" t="str">
        <f t="shared" si="722"/>
        <v>---</v>
      </c>
      <c r="I648" s="291" t="str">
        <f t="shared" si="706"/>
        <v>---</v>
      </c>
      <c r="J648" s="476" t="str">
        <f t="shared" si="723"/>
        <v>---</v>
      </c>
      <c r="K648" s="444" t="str">
        <f t="shared" si="707"/>
        <v>---</v>
      </c>
      <c r="L648" s="513" t="str">
        <f t="shared" si="724"/>
        <v>---</v>
      </c>
      <c r="M648" s="517" t="str">
        <f t="shared" si="725"/>
        <v>---</v>
      </c>
      <c r="N648" s="444" t="str">
        <f t="shared" si="726"/>
        <v>---</v>
      </c>
      <c r="O648" s="444" t="str">
        <f t="shared" si="727"/>
        <v>---</v>
      </c>
      <c r="P648" s="444" t="str">
        <f t="shared" si="708"/>
        <v>---</v>
      </c>
      <c r="Q648" s="513" t="str">
        <f t="shared" si="728"/>
        <v>---</v>
      </c>
      <c r="R648" s="444" t="str">
        <f t="shared" si="709"/>
        <v>---</v>
      </c>
      <c r="S648" s="291" t="str">
        <f t="shared" si="710"/>
        <v>---</v>
      </c>
      <c r="AE648" s="140" t="str">
        <f t="shared" si="711"/>
        <v>---</v>
      </c>
      <c r="AF648" s="141" t="str">
        <f t="shared" si="712"/>
        <v>---</v>
      </c>
      <c r="AG648" s="140">
        <f t="shared" si="729"/>
        <v>999.99</v>
      </c>
      <c r="AH648" s="263">
        <f t="shared" si="713"/>
        <v>0</v>
      </c>
      <c r="AI648" s="140" t="str">
        <f t="shared" si="730"/>
        <v>---</v>
      </c>
      <c r="AJ648" s="140" t="str">
        <f t="shared" si="714"/>
        <v>---</v>
      </c>
      <c r="AK648" s="140">
        <f t="shared" si="731"/>
        <v>999.99</v>
      </c>
      <c r="AL648" s="263">
        <f t="shared" si="715"/>
        <v>0</v>
      </c>
      <c r="AM648" s="265"/>
    </row>
    <row r="649" spans="1:40">
      <c r="A649" s="441" t="str">
        <f t="shared" ref="A649:B649" si="738">A632</f>
        <v>---</v>
      </c>
      <c r="B649" s="291" t="str">
        <f t="shared" si="738"/>
        <v>---</v>
      </c>
      <c r="C649" s="291" t="str">
        <f t="shared" si="717"/>
        <v>---</v>
      </c>
      <c r="D649" s="291" t="str">
        <f t="shared" si="718"/>
        <v>---</v>
      </c>
      <c r="E649" s="291" t="str">
        <f t="shared" si="719"/>
        <v>---</v>
      </c>
      <c r="F649" s="291" t="str">
        <f t="shared" si="720"/>
        <v>---</v>
      </c>
      <c r="G649" s="291" t="str">
        <f t="shared" si="721"/>
        <v>---</v>
      </c>
      <c r="H649" s="291" t="str">
        <f t="shared" si="722"/>
        <v>---</v>
      </c>
      <c r="I649" s="291" t="str">
        <f t="shared" si="706"/>
        <v>---</v>
      </c>
      <c r="J649" s="476" t="str">
        <f t="shared" si="723"/>
        <v>---</v>
      </c>
      <c r="K649" s="444" t="str">
        <f t="shared" si="707"/>
        <v>---</v>
      </c>
      <c r="L649" s="513" t="str">
        <f t="shared" si="724"/>
        <v>---</v>
      </c>
      <c r="M649" s="517" t="str">
        <f t="shared" si="725"/>
        <v>---</v>
      </c>
      <c r="N649" s="444" t="str">
        <f t="shared" si="726"/>
        <v>---</v>
      </c>
      <c r="O649" s="444" t="str">
        <f t="shared" si="727"/>
        <v>---</v>
      </c>
      <c r="P649" s="444" t="str">
        <f t="shared" si="708"/>
        <v>---</v>
      </c>
      <c r="Q649" s="513" t="str">
        <f t="shared" si="728"/>
        <v>---</v>
      </c>
      <c r="R649" s="444" t="str">
        <f t="shared" si="709"/>
        <v>---</v>
      </c>
      <c r="S649" s="291" t="str">
        <f t="shared" si="710"/>
        <v>---</v>
      </c>
      <c r="AE649" s="140" t="str">
        <f t="shared" si="711"/>
        <v>---</v>
      </c>
      <c r="AF649" s="141" t="str">
        <f t="shared" si="712"/>
        <v>---</v>
      </c>
      <c r="AG649" s="140">
        <f t="shared" si="729"/>
        <v>999.99</v>
      </c>
      <c r="AH649" s="263">
        <f t="shared" si="713"/>
        <v>0</v>
      </c>
      <c r="AI649" s="140" t="str">
        <f t="shared" si="730"/>
        <v>---</v>
      </c>
      <c r="AJ649" s="140" t="str">
        <f t="shared" si="714"/>
        <v>---</v>
      </c>
      <c r="AK649" s="140">
        <f t="shared" si="731"/>
        <v>999.99</v>
      </c>
      <c r="AL649" s="263">
        <f t="shared" si="715"/>
        <v>0</v>
      </c>
      <c r="AM649" s="265"/>
    </row>
    <row r="650" spans="1:40">
      <c r="A650" s="441" t="str">
        <f t="shared" ref="A650:B650" si="739">A633</f>
        <v>---</v>
      </c>
      <c r="B650" s="291" t="str">
        <f t="shared" si="739"/>
        <v>---</v>
      </c>
      <c r="C650" s="291" t="str">
        <f t="shared" si="717"/>
        <v>---</v>
      </c>
      <c r="D650" s="291" t="str">
        <f t="shared" si="718"/>
        <v>---</v>
      </c>
      <c r="E650" s="291" t="str">
        <f t="shared" si="719"/>
        <v>---</v>
      </c>
      <c r="F650" s="291" t="str">
        <f t="shared" si="720"/>
        <v>---</v>
      </c>
      <c r="G650" s="291" t="str">
        <f t="shared" si="721"/>
        <v>---</v>
      </c>
      <c r="H650" s="291" t="str">
        <f t="shared" si="722"/>
        <v>---</v>
      </c>
      <c r="I650" s="291" t="str">
        <f t="shared" si="706"/>
        <v>---</v>
      </c>
      <c r="J650" s="506" t="str">
        <f t="shared" si="723"/>
        <v>---</v>
      </c>
      <c r="K650" s="514" t="str">
        <f t="shared" si="707"/>
        <v>---</v>
      </c>
      <c r="L650" s="515" t="str">
        <f t="shared" si="724"/>
        <v>---</v>
      </c>
      <c r="M650" s="518" t="str">
        <f t="shared" si="725"/>
        <v>---</v>
      </c>
      <c r="N650" s="514" t="str">
        <f t="shared" si="726"/>
        <v>---</v>
      </c>
      <c r="O650" s="514" t="str">
        <f t="shared" si="727"/>
        <v>---</v>
      </c>
      <c r="P650" s="514" t="str">
        <f t="shared" si="708"/>
        <v>---</v>
      </c>
      <c r="Q650" s="515" t="str">
        <f t="shared" si="728"/>
        <v>---</v>
      </c>
      <c r="R650" s="444" t="str">
        <f t="shared" si="709"/>
        <v>---</v>
      </c>
      <c r="S650" s="291" t="str">
        <f t="shared" si="710"/>
        <v>---</v>
      </c>
      <c r="AE650" s="140" t="str">
        <f t="shared" si="711"/>
        <v>---</v>
      </c>
      <c r="AF650" s="141" t="str">
        <f t="shared" si="712"/>
        <v>---</v>
      </c>
      <c r="AG650" s="140">
        <f t="shared" si="729"/>
        <v>999.99</v>
      </c>
      <c r="AH650" s="263">
        <f t="shared" si="713"/>
        <v>0</v>
      </c>
      <c r="AI650" s="140" t="str">
        <f t="shared" si="730"/>
        <v>---</v>
      </c>
      <c r="AJ650" s="140" t="str">
        <f t="shared" si="714"/>
        <v>---</v>
      </c>
      <c r="AK650" s="140">
        <f t="shared" si="731"/>
        <v>999.99</v>
      </c>
      <c r="AL650" s="263">
        <f t="shared" si="715"/>
        <v>0</v>
      </c>
      <c r="AM650" s="265"/>
    </row>
    <row r="651" spans="1:40">
      <c r="A651" s="9"/>
      <c r="B651" s="9"/>
      <c r="C651" s="9"/>
      <c r="D651" s="9"/>
      <c r="E651" s="9"/>
      <c r="F651" s="9"/>
      <c r="G651" s="9"/>
      <c r="H651" s="9"/>
      <c r="I651" s="9"/>
      <c r="J651" s="9"/>
      <c r="K651" s="9"/>
      <c r="L651" s="9"/>
      <c r="M651" s="9"/>
      <c r="N651" s="9"/>
      <c r="O651" s="51"/>
      <c r="AM651" s="9"/>
    </row>
    <row r="652" spans="1:40">
      <c r="A652" s="9"/>
      <c r="B652" s="9"/>
      <c r="C652" s="9"/>
      <c r="D652" s="9"/>
      <c r="E652" s="9"/>
      <c r="F652" s="9"/>
      <c r="G652" s="9"/>
      <c r="H652" s="9"/>
      <c r="I652" s="9"/>
      <c r="J652" s="9"/>
      <c r="K652" s="9"/>
      <c r="L652" s="9"/>
      <c r="M652" s="9"/>
      <c r="N652" s="12"/>
      <c r="O652" s="9"/>
      <c r="AN652" s="9"/>
    </row>
    <row r="653" spans="1:40">
      <c r="A653" s="8" t="s">
        <v>611</v>
      </c>
      <c r="E653" s="37" t="s">
        <v>612</v>
      </c>
      <c r="N653" s="51"/>
    </row>
    <row r="654" spans="1:40">
      <c r="A654" s="37" t="s">
        <v>546</v>
      </c>
    </row>
    <row r="655" spans="1:40" ht="15.75">
      <c r="A655" s="37"/>
      <c r="B655" s="37" t="s">
        <v>482</v>
      </c>
      <c r="C655" s="294">
        <f>Am</f>
        <v>6.9999999999999993E-2</v>
      </c>
      <c r="H655" s="200"/>
      <c r="I655" s="200"/>
    </row>
    <row r="656" spans="1:40" ht="15.75">
      <c r="A656" s="37"/>
      <c r="B656" s="37" t="s">
        <v>483</v>
      </c>
      <c r="C656" s="294">
        <f>IF(Type_Reinf="g",0.5*gamma_reinf*Ah^2/TAN(RADIANS(psi_r)),gamma_reinf*(0.3*0.5*Ah^2*1.5))</f>
        <v>0.78798959999999996</v>
      </c>
      <c r="D656" s="37" t="s">
        <v>155</v>
      </c>
      <c r="H656" s="204"/>
      <c r="I656" s="204"/>
    </row>
    <row r="657" spans="1:58" ht="15.75">
      <c r="A657" s="51"/>
      <c r="B657" s="51" t="s">
        <v>380</v>
      </c>
      <c r="C657" s="294">
        <v>1</v>
      </c>
      <c r="H657" s="197"/>
      <c r="I657" s="197"/>
    </row>
    <row r="658" spans="1:58" ht="15.75">
      <c r="A658" s="12"/>
      <c r="B658" s="12" t="s">
        <v>484</v>
      </c>
      <c r="C658" s="294">
        <f>C656*C655</f>
        <v>5.5159271999999988E-2</v>
      </c>
      <c r="D658" s="37" t="s">
        <v>155</v>
      </c>
    </row>
    <row r="659" spans="1:58" ht="15.75">
      <c r="A659" s="51"/>
      <c r="B659" s="51" t="s">
        <v>485</v>
      </c>
      <c r="C659" s="294">
        <f>SUM(D641:D650)</f>
        <v>42.959999999999994</v>
      </c>
      <c r="D659" t="s">
        <v>56</v>
      </c>
      <c r="F659" s="102"/>
    </row>
    <row r="660" spans="1:58">
      <c r="F660" s="519" t="s">
        <v>77</v>
      </c>
      <c r="G660" s="516"/>
      <c r="H660" s="516"/>
      <c r="I660" s="516"/>
      <c r="J660" s="516"/>
      <c r="K660" s="520"/>
      <c r="L660" s="528" t="s">
        <v>59</v>
      </c>
      <c r="M660" s="516"/>
      <c r="N660" s="516"/>
      <c r="O660" s="516"/>
      <c r="P660" s="516"/>
      <c r="Q660" s="516"/>
      <c r="R660" s="516"/>
      <c r="S660" s="516"/>
      <c r="T660" s="520"/>
    </row>
    <row r="661" spans="1:58">
      <c r="F661" s="195"/>
      <c r="G661" s="43"/>
      <c r="H661" s="43"/>
      <c r="I661" s="43"/>
      <c r="J661" s="43"/>
      <c r="K661" s="44"/>
      <c r="L661" s="214"/>
      <c r="M661" s="43"/>
      <c r="N661" s="43"/>
      <c r="O661" s="225"/>
      <c r="P661" s="225"/>
      <c r="Q661" s="43"/>
      <c r="R661" s="43"/>
      <c r="S661" s="43"/>
      <c r="T661" s="44"/>
      <c r="AE661" s="10" t="s">
        <v>678</v>
      </c>
      <c r="AH661" s="37"/>
      <c r="AI661" s="195" t="s">
        <v>686</v>
      </c>
      <c r="AQ661" s="195" t="s">
        <v>680</v>
      </c>
      <c r="AY661" s="195" t="s">
        <v>684</v>
      </c>
    </row>
    <row r="662" spans="1:58">
      <c r="F662" s="224" t="s">
        <v>494</v>
      </c>
      <c r="G662" s="225"/>
      <c r="H662" s="225"/>
      <c r="I662" s="225" t="s">
        <v>486</v>
      </c>
      <c r="J662" s="225"/>
      <c r="K662" s="521"/>
      <c r="L662" s="224"/>
      <c r="M662" s="529" t="s">
        <v>58</v>
      </c>
      <c r="N662" s="529" t="s">
        <v>553</v>
      </c>
      <c r="O662" s="529"/>
      <c r="P662" s="492"/>
      <c r="Q662" s="615" t="s">
        <v>63</v>
      </c>
      <c r="R662" s="615"/>
      <c r="S662" s="615" t="s">
        <v>76</v>
      </c>
      <c r="T662" s="620"/>
      <c r="U662" s="37"/>
      <c r="AE662" s="37" t="s">
        <v>683</v>
      </c>
      <c r="AI662" s="56" t="s">
        <v>658</v>
      </c>
      <c r="AM662" s="37" t="s">
        <v>685</v>
      </c>
      <c r="AQ662" s="56" t="s">
        <v>688</v>
      </c>
      <c r="AU662" s="37" t="s">
        <v>687</v>
      </c>
      <c r="AY662" s="56" t="s">
        <v>658</v>
      </c>
      <c r="BC662" s="37" t="s">
        <v>685</v>
      </c>
    </row>
    <row r="663" spans="1:58" ht="15.75">
      <c r="A663" s="2" t="str">
        <f>A622</f>
        <v>Layer</v>
      </c>
      <c r="B663" s="197" t="s">
        <v>540</v>
      </c>
      <c r="C663" s="197" t="s">
        <v>39</v>
      </c>
      <c r="D663" s="2" t="s">
        <v>54</v>
      </c>
      <c r="E663" s="2" t="s">
        <v>40</v>
      </c>
      <c r="F663" s="488" t="s">
        <v>509</v>
      </c>
      <c r="G663" s="494" t="s">
        <v>298</v>
      </c>
      <c r="H663" s="489" t="s">
        <v>30</v>
      </c>
      <c r="I663" s="489" t="s">
        <v>499</v>
      </c>
      <c r="J663" s="489" t="s">
        <v>30</v>
      </c>
      <c r="K663" s="491" t="s">
        <v>500</v>
      </c>
      <c r="L663" s="488" t="s">
        <v>30</v>
      </c>
      <c r="M663" s="489" t="s">
        <v>514</v>
      </c>
      <c r="N663" s="489" t="s">
        <v>554</v>
      </c>
      <c r="O663" s="494" t="s">
        <v>297</v>
      </c>
      <c r="P663" s="489" t="s">
        <v>30</v>
      </c>
      <c r="Q663" s="489" t="s">
        <v>549</v>
      </c>
      <c r="R663" s="489" t="s">
        <v>30</v>
      </c>
      <c r="S663" s="489" t="s">
        <v>550</v>
      </c>
      <c r="T663" s="491" t="s">
        <v>30</v>
      </c>
      <c r="AE663" s="37" t="s">
        <v>612</v>
      </c>
      <c r="AI663" s="56" t="s">
        <v>612</v>
      </c>
      <c r="AM663" s="37" t="s">
        <v>612</v>
      </c>
      <c r="AQ663" s="56" t="s">
        <v>612</v>
      </c>
      <c r="AU663" s="268" t="s">
        <v>612</v>
      </c>
      <c r="AY663" s="56" t="s">
        <v>612</v>
      </c>
      <c r="BC663" s="268" t="s">
        <v>612</v>
      </c>
    </row>
    <row r="664" spans="1:58" ht="15.75">
      <c r="A664" s="2" t="str">
        <f>A623</f>
        <v>#</v>
      </c>
      <c r="B664" s="2" t="s">
        <v>42</v>
      </c>
      <c r="C664" s="197" t="s">
        <v>154</v>
      </c>
      <c r="D664" s="2" t="s">
        <v>154</v>
      </c>
      <c r="E664" s="198" t="s">
        <v>154</v>
      </c>
      <c r="F664" s="488" t="s">
        <v>154</v>
      </c>
      <c r="G664" s="489" t="s">
        <v>154</v>
      </c>
      <c r="H664" s="494" t="s">
        <v>298</v>
      </c>
      <c r="I664" s="492" t="s">
        <v>154</v>
      </c>
      <c r="J664" s="489" t="s">
        <v>541</v>
      </c>
      <c r="K664" s="522" t="s">
        <v>154</v>
      </c>
      <c r="L664" s="488" t="s">
        <v>542</v>
      </c>
      <c r="M664" s="489" t="s">
        <v>547</v>
      </c>
      <c r="N664" s="489" t="s">
        <v>154</v>
      </c>
      <c r="O664" s="489" t="s">
        <v>154</v>
      </c>
      <c r="P664" s="494" t="s">
        <v>297</v>
      </c>
      <c r="Q664" s="489" t="s">
        <v>154</v>
      </c>
      <c r="R664" s="489" t="s">
        <v>541</v>
      </c>
      <c r="S664" s="489" t="s">
        <v>154</v>
      </c>
      <c r="T664" s="491" t="s">
        <v>542</v>
      </c>
      <c r="AE664" s="253" t="s">
        <v>298</v>
      </c>
      <c r="AF664" s="251" t="s">
        <v>80</v>
      </c>
      <c r="AG664" s="247" t="s">
        <v>78</v>
      </c>
      <c r="AH664" s="251" t="s">
        <v>79</v>
      </c>
      <c r="AI664" s="255" t="s">
        <v>657</v>
      </c>
      <c r="AJ664" s="247" t="s">
        <v>36</v>
      </c>
      <c r="AK664" s="247" t="s">
        <v>78</v>
      </c>
      <c r="AL664" s="251" t="s">
        <v>79</v>
      </c>
      <c r="AM664" s="247" t="s">
        <v>660</v>
      </c>
      <c r="AN664" s="247" t="s">
        <v>81</v>
      </c>
      <c r="AO664" s="247" t="s">
        <v>78</v>
      </c>
      <c r="AP664" s="251" t="s">
        <v>79</v>
      </c>
      <c r="AQ664" s="255" t="s">
        <v>82</v>
      </c>
      <c r="AR664" s="251" t="s">
        <v>80</v>
      </c>
      <c r="AS664" s="251" t="s">
        <v>78</v>
      </c>
      <c r="AT664" s="251" t="s">
        <v>79</v>
      </c>
      <c r="AU664" s="253" t="s">
        <v>297</v>
      </c>
      <c r="AV664" s="251" t="s">
        <v>80</v>
      </c>
      <c r="AW664" s="251" t="s">
        <v>78</v>
      </c>
      <c r="AX664" s="251" t="s">
        <v>79</v>
      </c>
      <c r="AY664" s="19" t="s">
        <v>74</v>
      </c>
      <c r="AZ664" s="249" t="s">
        <v>36</v>
      </c>
      <c r="BA664" s="247" t="s">
        <v>78</v>
      </c>
      <c r="BB664" s="251" t="s">
        <v>79</v>
      </c>
      <c r="BC664" s="19" t="s">
        <v>75</v>
      </c>
      <c r="BD664" s="83" t="s">
        <v>81</v>
      </c>
      <c r="BE664" s="83" t="s">
        <v>78</v>
      </c>
      <c r="BF664" s="247" t="s">
        <v>79</v>
      </c>
    </row>
    <row r="665" spans="1:58">
      <c r="A665" s="438">
        <f>A641</f>
        <v>1</v>
      </c>
      <c r="B665" s="294">
        <f>B641</f>
        <v>5.39</v>
      </c>
      <c r="C665" s="296">
        <f t="shared" ref="C665" si="740">IF($A665="---","---",$C$657*$C$658*D641/$C$659)</f>
        <v>1.7808638329608936E-2</v>
      </c>
      <c r="D665" s="294">
        <f t="shared" ref="D665" si="741">IF($A665="---","---",J641)</f>
        <v>0.60196799486183294</v>
      </c>
      <c r="E665" s="294">
        <f>IF($A665="---","---",D665+C665)</f>
        <v>0.61977663319144183</v>
      </c>
      <c r="F665" s="523">
        <f>IF($A665="---","---",INPUT!M169+INPUT!N169)</f>
        <v>0</v>
      </c>
      <c r="G665" s="443">
        <f t="shared" ref="G665" si="742">IF($A665="---","---",phi_Tensile_Combined*I607*IF(Type_Reinf="g",F665/$D$231,J607))</f>
        <v>2.0332258064516133</v>
      </c>
      <c r="H665" s="444" t="str">
        <f>IF($A665="---","---",IF(E665&lt;G665,"OK","NG!"))</f>
        <v>OK</v>
      </c>
      <c r="I665" s="444" t="str">
        <f t="shared" ref="I665" si="743">IF($A665="---","---",Q607)</f>
        <v>---</v>
      </c>
      <c r="J665" s="524" t="str">
        <f t="shared" ref="J665" si="744">IF($A665="---","---",IF(Type_Reinf="g",IF(Q607&gt;D665,"OK","NG!"),"---"))</f>
        <v>---</v>
      </c>
      <c r="K665" s="505" t="str">
        <f t="shared" ref="K665" si="745">IF($A665="---","---",R607)</f>
        <v>---</v>
      </c>
      <c r="L665" s="508" t="str">
        <f t="shared" ref="L665" si="746">IF($A665="---","---",IF(Type_Reinf="g",IF(R607&gt;C665,"OK","NG!"),"---"))</f>
        <v>---</v>
      </c>
      <c r="M665" s="524" t="str">
        <f>IF($A665="---","---",IF(Type_Reinf="g","---",IF(INPUT!P169&gt;E665,"OK","NG!")))</f>
        <v>OK</v>
      </c>
      <c r="N665" s="444">
        <f>F665</f>
        <v>0</v>
      </c>
      <c r="O665" s="443" t="str">
        <f>IF($A665="---","---",IF(Type_Reinf="g",phi_Tensile_Combined*N665*INPUT!L169*I607/MAX(RF_D,1.1),"---"))</f>
        <v>---</v>
      </c>
      <c r="P665" s="524" t="str">
        <f t="shared" ref="P665" si="747">IF($A665="---","---",IF(Type_Reinf="g",IF(O665&gt;E665,"OK","NG!"),"---"))</f>
        <v>---</v>
      </c>
      <c r="Q665" s="444" t="str">
        <f>IF($A665="---","---",IF(Type_Reinf="g",IF(Geo_Conn="m",1,0.8)*phi_Tensile_Combined*INPUT!M169*INPUT!L169*I607/MAX(RF_D,1.1),"---"))</f>
        <v>---</v>
      </c>
      <c r="R665" s="524" t="str">
        <f t="shared" ref="R665" si="748">IF(A665="---","---",IF(Type_Reinf="g",IF(Q665&gt;D665,"OK","NG!"),"---"))</f>
        <v>---</v>
      </c>
      <c r="S665" s="443" t="str">
        <f>IF($A665="---","---",IF(Type_Reinf="g",(IF(Geo_Conn="m",1,0.8))*INPUT!N111*phi_Tensile_Combined*INPUT!L111*RF_CR*I607/MAX(RF_D,1.1),"---"))</f>
        <v>---</v>
      </c>
      <c r="T665" s="513" t="str">
        <f t="shared" ref="T665" si="749">IF($A665="---","---",IF(Type_Reinf="g",IF(S665&gt;C665,"OK","NG!"),"---"))</f>
        <v>---</v>
      </c>
      <c r="AE665" s="140">
        <f>G665</f>
        <v>2.0332258064516133</v>
      </c>
      <c r="AF665" s="140">
        <f>E665</f>
        <v>0.61977663319144183</v>
      </c>
      <c r="AG665" s="140">
        <f>IF(AE665="---",999.99,AE665/AF665)</f>
        <v>3.2805783528524435</v>
      </c>
      <c r="AH665" s="263">
        <f>IF(AG665=MIN($AG$665:$AG$674),1,0)</f>
        <v>0</v>
      </c>
      <c r="AI665" s="267" t="str">
        <f>I665</f>
        <v>---</v>
      </c>
      <c r="AJ665" s="140">
        <f>D665</f>
        <v>0.60196799486183294</v>
      </c>
      <c r="AK665" s="140">
        <f>IF(AI665="---",999.99,AI665/AJ665)</f>
        <v>999.99</v>
      </c>
      <c r="AL665" s="263">
        <f>IF(AK665=MIN($AK$665:$AK$674),1,0)</f>
        <v>1</v>
      </c>
      <c r="AM665" s="140" t="str">
        <f>K665</f>
        <v>---</v>
      </c>
      <c r="AN665" s="140">
        <f>C665</f>
        <v>1.7808638329608936E-2</v>
      </c>
      <c r="AO665" s="140">
        <f>IF(AM665="---",999.99,AM665/AN665)</f>
        <v>999.99</v>
      </c>
      <c r="AP665" s="263">
        <f>IF(AO665=MIN($AO$665:$AO$674),1,0)</f>
        <v>1</v>
      </c>
      <c r="AQ665" s="267">
        <f>IF(AR665="---","---",INPUT!P169)</f>
        <v>6</v>
      </c>
      <c r="AR665" s="140">
        <f>E665</f>
        <v>0.61977663319144183</v>
      </c>
      <c r="AS665" s="140">
        <f>IF(AQ665="---",999.99,AQ665/AR665)</f>
        <v>9.6809070859995927</v>
      </c>
      <c r="AT665" s="263">
        <f>IF(AS665=MIN($AS$665:$AS$674),1,0)</f>
        <v>0</v>
      </c>
      <c r="AU665" s="140" t="str">
        <f>O665</f>
        <v>---</v>
      </c>
      <c r="AV665" s="140">
        <f>AR665</f>
        <v>0.61977663319144183</v>
      </c>
      <c r="AW665" s="140">
        <f>IF(AU665="---",999.99,AU665/AV665)</f>
        <v>999.99</v>
      </c>
      <c r="AX665" s="263">
        <f>IF(AW665=MIN($AW$665:$AW$674),1,0)</f>
        <v>1</v>
      </c>
      <c r="AY665" s="267" t="str">
        <f>Q665</f>
        <v>---</v>
      </c>
      <c r="AZ665" s="210">
        <f>D665</f>
        <v>0.60196799486183294</v>
      </c>
      <c r="BA665" s="140">
        <f>IF(AY665="---",999.99,AY665/AZ665)</f>
        <v>999.99</v>
      </c>
      <c r="BB665" s="263">
        <f>IF(BA665=MIN($BA$665:$BA$674),1,0)</f>
        <v>1</v>
      </c>
      <c r="BC665" s="271" t="str">
        <f>S665</f>
        <v>---</v>
      </c>
      <c r="BD665" s="271">
        <f>C665</f>
        <v>1.7808638329608936E-2</v>
      </c>
      <c r="BE665" s="140">
        <f>IF(BC665="---",999.99,BC665/BD665)</f>
        <v>999.99</v>
      </c>
      <c r="BF665" s="263">
        <f>IF(BE665=MIN($BE$665:$BE$674),1,0)</f>
        <v>1</v>
      </c>
    </row>
    <row r="666" spans="1:58">
      <c r="A666" s="438">
        <f t="shared" ref="A666:B666" si="750">A642</f>
        <v>2</v>
      </c>
      <c r="B666" s="294">
        <f t="shared" si="750"/>
        <v>6.14</v>
      </c>
      <c r="C666" s="296">
        <f t="shared" ref="C666:C674" si="751">IF($A666="---","---",$C$657*$C$658*D642/$C$659)</f>
        <v>1.8386423999999998E-2</v>
      </c>
      <c r="D666" s="294">
        <f t="shared" ref="D666:D674" si="752">IF($A666="---","---",J642)</f>
        <v>0.41925550612634532</v>
      </c>
      <c r="E666" s="294">
        <f t="shared" ref="E666:E674" si="753">IF($A666="---","---",D666+C666)</f>
        <v>0.43764193012634534</v>
      </c>
      <c r="F666" s="523">
        <f>IF($A666="---","---",INPUT!M170+INPUT!N170)</f>
        <v>0</v>
      </c>
      <c r="G666" s="443">
        <f t="shared" ref="G666:G674" si="754">IF($A666="---","---",phi_Tensile_Combined*I608*IF(Type_Reinf="g",F666/$D$231,J608))</f>
        <v>2.0332258064516133</v>
      </c>
      <c r="H666" s="444" t="str">
        <f t="shared" ref="H666:H674" si="755">IF($A666="---","---",IF(E666&lt;G666,"OK","NG!"))</f>
        <v>OK</v>
      </c>
      <c r="I666" s="444" t="str">
        <f t="shared" ref="I666:I674" si="756">IF($A666="---","---",Q608)</f>
        <v>---</v>
      </c>
      <c r="J666" s="524" t="str">
        <f t="shared" ref="J666:J674" si="757">IF($A666="---","---",IF(Type_Reinf="g",IF(Q608&gt;D666,"OK","NG!"),"---"))</f>
        <v>---</v>
      </c>
      <c r="K666" s="505" t="str">
        <f t="shared" ref="K666:K674" si="758">IF($A666="---","---",R608)</f>
        <v>---</v>
      </c>
      <c r="L666" s="508" t="str">
        <f t="shared" ref="L666:L674" si="759">IF($A666="---","---",IF(Type_Reinf="g",IF(R608&gt;C666,"OK","NG!"),"---"))</f>
        <v>---</v>
      </c>
      <c r="M666" s="524" t="str">
        <f>IF($A666="---","---",IF(Type_Reinf="g","---",IF(INPUT!P170&gt;E666,"OK","NG!")))</f>
        <v>OK</v>
      </c>
      <c r="N666" s="444">
        <f t="shared" ref="N666:N674" si="760">F666</f>
        <v>0</v>
      </c>
      <c r="O666" s="443" t="str">
        <f>IF($A666="---","---",IF(Type_Reinf="g",phi_Tensile_Combined*N666*INPUT!L170*I608/MAX(RF_D,1.1),"---"))</f>
        <v>---</v>
      </c>
      <c r="P666" s="524" t="str">
        <f t="shared" ref="P666:P674" si="761">IF($A666="---","---",IF(Type_Reinf="g",IF(O666&gt;E666,"OK","NG!"),"---"))</f>
        <v>---</v>
      </c>
      <c r="Q666" s="444" t="str">
        <f>IF($A666="---","---",IF(Type_Reinf="g",IF(Geo_Conn="m",1,0.8)*phi_Tensile_Combined*INPUT!M170*INPUT!L170*I608/MAX(RF_D,1.1),"---"))</f>
        <v>---</v>
      </c>
      <c r="R666" s="524" t="str">
        <f t="shared" ref="R666:R674" si="762">IF(A666="---","---",IF(Type_Reinf="g",IF(Q666&gt;D666,"OK","NG!"),"---"))</f>
        <v>---</v>
      </c>
      <c r="S666" s="443" t="str">
        <f>IF($A666="---","---",IF(Type_Reinf="g",(IF(Geo_Conn="m",1,0.8))*INPUT!N112*phi_Tensile_Combined*INPUT!L112*RF_CR*I608/MAX(RF_D,1.1),"---"))</f>
        <v>---</v>
      </c>
      <c r="T666" s="513" t="str">
        <f t="shared" ref="T666:T674" si="763">IF($A666="---","---",IF(Type_Reinf="g",IF(S666&gt;C666,"OK","NG!"),"---"))</f>
        <v>---</v>
      </c>
      <c r="AE666" s="140">
        <f t="shared" ref="AE666:AE674" si="764">G666</f>
        <v>2.0332258064516133</v>
      </c>
      <c r="AF666" s="140">
        <f t="shared" ref="AF666:AF674" si="765">E666</f>
        <v>0.43764193012634534</v>
      </c>
      <c r="AG666" s="140">
        <f t="shared" ref="AG666:AG674" si="766">IF(AE666="---",999.99,AE666/AF666)</f>
        <v>4.6458660984897628</v>
      </c>
      <c r="AH666" s="263">
        <f t="shared" ref="AH666:AH674" si="767">IF(AG666=MIN($AG$665:$AG$674),1,0)</f>
        <v>0</v>
      </c>
      <c r="AI666" s="267" t="str">
        <f t="shared" ref="AI666:AI674" si="768">I666</f>
        <v>---</v>
      </c>
      <c r="AJ666" s="140">
        <f t="shared" ref="AJ666:AJ674" si="769">D666</f>
        <v>0.41925550612634532</v>
      </c>
      <c r="AK666" s="140">
        <f t="shared" ref="AK666:AK674" si="770">IF(AI666="---",999.99,AI666/AJ666)</f>
        <v>999.99</v>
      </c>
      <c r="AL666" s="263">
        <f t="shared" ref="AL666:AL674" si="771">IF(AK666=MIN($AK$665:$AK$674),1,0)</f>
        <v>1</v>
      </c>
      <c r="AM666" s="140" t="str">
        <f t="shared" ref="AM666:AM674" si="772">K666</f>
        <v>---</v>
      </c>
      <c r="AN666" s="140">
        <f t="shared" ref="AN666:AN674" si="773">C666</f>
        <v>1.8386423999999998E-2</v>
      </c>
      <c r="AO666" s="140">
        <f t="shared" ref="AO666:AO674" si="774">IF(AM666="---",999.99,AM666/AN666)</f>
        <v>999.99</v>
      </c>
      <c r="AP666" s="263">
        <f t="shared" ref="AP666:AP674" si="775">IF(AO666=MIN($AO$665:$AO$674),1,0)</f>
        <v>1</v>
      </c>
      <c r="AQ666" s="267">
        <f>IF(AR666="---","---",INPUT!P170)</f>
        <v>6</v>
      </c>
      <c r="AR666" s="140">
        <f t="shared" ref="AR666:AR674" si="776">E666</f>
        <v>0.43764193012634534</v>
      </c>
      <c r="AS666" s="140">
        <f t="shared" ref="AS666:AS674" si="777">IF(AQ666="---",999.99,AQ666/AR666)</f>
        <v>13.709838082168741</v>
      </c>
      <c r="AT666" s="263">
        <f t="shared" ref="AT666:AT674" si="778">IF(AS666=MIN($AS$665:$AS$674),1,0)</f>
        <v>0</v>
      </c>
      <c r="AU666" s="140" t="str">
        <f t="shared" ref="AU666:AU674" si="779">O666</f>
        <v>---</v>
      </c>
      <c r="AV666" s="140">
        <f t="shared" ref="AV666:AV674" si="780">AR666</f>
        <v>0.43764193012634534</v>
      </c>
      <c r="AW666" s="140">
        <f t="shared" ref="AW666:AW674" si="781">IF(AU666="---",999.99,AU666/AV666)</f>
        <v>999.99</v>
      </c>
      <c r="AX666" s="263">
        <f t="shared" ref="AX666:AX674" si="782">IF(AW666=MIN($AW$665:$AW$674),1,0)</f>
        <v>1</v>
      </c>
      <c r="AY666" s="267" t="str">
        <f t="shared" ref="AY666:AY674" si="783">Q666</f>
        <v>---</v>
      </c>
      <c r="AZ666" s="210">
        <f t="shared" ref="AZ666:AZ674" si="784">D666</f>
        <v>0.41925550612634532</v>
      </c>
      <c r="BA666" s="140">
        <f t="shared" ref="BA666:BA674" si="785">IF(AY666="---",999.99,AY666/AZ666)</f>
        <v>999.99</v>
      </c>
      <c r="BB666" s="263">
        <f t="shared" ref="BB666:BB674" si="786">IF(BA666=MIN($BA$665:$BA$674),1,0)</f>
        <v>1</v>
      </c>
      <c r="BC666" s="271" t="str">
        <f t="shared" ref="BC666:BC674" si="787">S666</f>
        <v>---</v>
      </c>
      <c r="BD666" s="271">
        <f t="shared" ref="BD666:BD674" si="788">C666</f>
        <v>1.8386423999999998E-2</v>
      </c>
      <c r="BE666" s="140">
        <f t="shared" ref="BE666:BE674" si="789">IF(BC666="---",999.99,BC666/BD666)</f>
        <v>999.99</v>
      </c>
      <c r="BF666" s="263">
        <f t="shared" ref="BF666:BF674" si="790">IF(BE666=MIN($BE$665:$BE$674),1,0)</f>
        <v>1</v>
      </c>
    </row>
    <row r="667" spans="1:58">
      <c r="A667" s="438">
        <f t="shared" ref="A667:B667" si="791">A643</f>
        <v>3</v>
      </c>
      <c r="B667" s="294">
        <f t="shared" si="791"/>
        <v>6.89</v>
      </c>
      <c r="C667" s="296">
        <f t="shared" si="751"/>
        <v>1.8964209670391058E-2</v>
      </c>
      <c r="D667" s="294">
        <f t="shared" si="752"/>
        <v>0.65507395609991059</v>
      </c>
      <c r="E667" s="294">
        <f t="shared" si="753"/>
        <v>0.67403816577030162</v>
      </c>
      <c r="F667" s="523">
        <f>IF($A667="---","---",INPUT!M171+INPUT!N171)</f>
        <v>0</v>
      </c>
      <c r="G667" s="443">
        <f t="shared" si="754"/>
        <v>2.0332258064516133</v>
      </c>
      <c r="H667" s="444" t="str">
        <f t="shared" si="755"/>
        <v>OK</v>
      </c>
      <c r="I667" s="444" t="str">
        <f t="shared" si="756"/>
        <v>---</v>
      </c>
      <c r="J667" s="524" t="str">
        <f t="shared" si="757"/>
        <v>---</v>
      </c>
      <c r="K667" s="505" t="str">
        <f t="shared" si="758"/>
        <v>---</v>
      </c>
      <c r="L667" s="508" t="str">
        <f t="shared" si="759"/>
        <v>---</v>
      </c>
      <c r="M667" s="524" t="str">
        <f>IF($A667="---","---",IF(Type_Reinf="g","---",IF(INPUT!P171&gt;E667,"OK","NG!")))</f>
        <v>OK</v>
      </c>
      <c r="N667" s="444">
        <f t="shared" si="760"/>
        <v>0</v>
      </c>
      <c r="O667" s="443" t="str">
        <f>IF($A667="---","---",IF(Type_Reinf="g",phi_Tensile_Combined*N667*INPUT!L171*I609/MAX(RF_D,1.1),"---"))</f>
        <v>---</v>
      </c>
      <c r="P667" s="524" t="str">
        <f t="shared" si="761"/>
        <v>---</v>
      </c>
      <c r="Q667" s="444" t="str">
        <f>IF($A667="---","---",IF(Type_Reinf="g",IF(Geo_Conn="m",1,0.8)*phi_Tensile_Combined*INPUT!M171*INPUT!L171*I609/MAX(RF_D,1.1),"---"))</f>
        <v>---</v>
      </c>
      <c r="R667" s="524" t="str">
        <f t="shared" si="762"/>
        <v>---</v>
      </c>
      <c r="S667" s="443" t="str">
        <f>IF($A667="---","---",IF(Type_Reinf="g",(IF(Geo_Conn="m",1,0.8))*INPUT!N113*phi_Tensile_Combined*INPUT!L113*RF_CR*I609/MAX(RF_D,1.1),"---"))</f>
        <v>---</v>
      </c>
      <c r="T667" s="513" t="str">
        <f t="shared" si="763"/>
        <v>---</v>
      </c>
      <c r="AE667" s="140">
        <f t="shared" si="764"/>
        <v>2.0332258064516133</v>
      </c>
      <c r="AF667" s="140">
        <f t="shared" si="765"/>
        <v>0.67403816577030162</v>
      </c>
      <c r="AG667" s="140">
        <f t="shared" si="766"/>
        <v>3.0164846884122802</v>
      </c>
      <c r="AH667" s="263">
        <f t="shared" si="767"/>
        <v>1</v>
      </c>
      <c r="AI667" s="267" t="str">
        <f t="shared" si="768"/>
        <v>---</v>
      </c>
      <c r="AJ667" s="140">
        <f t="shared" si="769"/>
        <v>0.65507395609991059</v>
      </c>
      <c r="AK667" s="140">
        <f t="shared" si="770"/>
        <v>999.99</v>
      </c>
      <c r="AL667" s="263">
        <f t="shared" si="771"/>
        <v>1</v>
      </c>
      <c r="AM667" s="140" t="str">
        <f t="shared" si="772"/>
        <v>---</v>
      </c>
      <c r="AN667" s="140">
        <f t="shared" si="773"/>
        <v>1.8964209670391058E-2</v>
      </c>
      <c r="AO667" s="140">
        <f t="shared" si="774"/>
        <v>999.99</v>
      </c>
      <c r="AP667" s="263">
        <f t="shared" si="775"/>
        <v>1</v>
      </c>
      <c r="AQ667" s="267">
        <f>IF(AR667="---","---",INPUT!P171)</f>
        <v>6</v>
      </c>
      <c r="AR667" s="140">
        <f t="shared" si="776"/>
        <v>0.67403816577030162</v>
      </c>
      <c r="AS667" s="140">
        <f t="shared" si="777"/>
        <v>8.9015730928872614</v>
      </c>
      <c r="AT667" s="263">
        <f t="shared" si="778"/>
        <v>1</v>
      </c>
      <c r="AU667" s="140" t="str">
        <f t="shared" si="779"/>
        <v>---</v>
      </c>
      <c r="AV667" s="140">
        <f t="shared" si="780"/>
        <v>0.67403816577030162</v>
      </c>
      <c r="AW667" s="140">
        <f t="shared" si="781"/>
        <v>999.99</v>
      </c>
      <c r="AX667" s="263">
        <f t="shared" si="782"/>
        <v>1</v>
      </c>
      <c r="AY667" s="267" t="str">
        <f t="shared" si="783"/>
        <v>---</v>
      </c>
      <c r="AZ667" s="210">
        <f t="shared" si="784"/>
        <v>0.65507395609991059</v>
      </c>
      <c r="BA667" s="140">
        <f t="shared" si="785"/>
        <v>999.99</v>
      </c>
      <c r="BB667" s="263">
        <f t="shared" si="786"/>
        <v>1</v>
      </c>
      <c r="BC667" s="271" t="str">
        <f t="shared" si="787"/>
        <v>---</v>
      </c>
      <c r="BD667" s="271">
        <f t="shared" si="788"/>
        <v>1.8964209670391058E-2</v>
      </c>
      <c r="BE667" s="140">
        <f t="shared" si="789"/>
        <v>999.99</v>
      </c>
      <c r="BF667" s="263">
        <f t="shared" si="790"/>
        <v>1</v>
      </c>
    </row>
    <row r="668" spans="1:58">
      <c r="A668" s="438" t="str">
        <f t="shared" ref="A668:B668" si="792">A644</f>
        <v>---</v>
      </c>
      <c r="B668" s="294" t="str">
        <f t="shared" si="792"/>
        <v>---</v>
      </c>
      <c r="C668" s="296" t="str">
        <f t="shared" si="751"/>
        <v>---</v>
      </c>
      <c r="D668" s="294" t="str">
        <f t="shared" si="752"/>
        <v>---</v>
      </c>
      <c r="E668" s="294" t="str">
        <f t="shared" si="753"/>
        <v>---</v>
      </c>
      <c r="F668" s="523" t="str">
        <f>IF($A668="---","---",INPUT!M172+INPUT!N172)</f>
        <v>---</v>
      </c>
      <c r="G668" s="443" t="str">
        <f t="shared" si="754"/>
        <v>---</v>
      </c>
      <c r="H668" s="444" t="str">
        <f t="shared" si="755"/>
        <v>---</v>
      </c>
      <c r="I668" s="444" t="str">
        <f t="shared" si="756"/>
        <v>---</v>
      </c>
      <c r="J668" s="524" t="str">
        <f t="shared" si="757"/>
        <v>---</v>
      </c>
      <c r="K668" s="505" t="str">
        <f t="shared" si="758"/>
        <v>---</v>
      </c>
      <c r="L668" s="508" t="str">
        <f t="shared" si="759"/>
        <v>---</v>
      </c>
      <c r="M668" s="524" t="str">
        <f>IF($A668="---","---",IF(Type_Reinf="g","---",IF(INPUT!P172&gt;E668,"OK","NG!")))</f>
        <v>---</v>
      </c>
      <c r="N668" s="444" t="str">
        <f t="shared" si="760"/>
        <v>---</v>
      </c>
      <c r="O668" s="443" t="str">
        <f>IF($A668="---","---",IF(Type_Reinf="g",phi_Tensile_Combined*N668*INPUT!L172*I610/MAX(RF_D,1.1),"---"))</f>
        <v>---</v>
      </c>
      <c r="P668" s="524" t="str">
        <f t="shared" si="761"/>
        <v>---</v>
      </c>
      <c r="Q668" s="444" t="str">
        <f>IF($A668="---","---",IF(Type_Reinf="g",IF(Geo_Conn="m",1,0.8)*phi_Tensile_Combined*INPUT!M172*INPUT!L172*I610/MAX(RF_D,1.1),"---"))</f>
        <v>---</v>
      </c>
      <c r="R668" s="524" t="str">
        <f t="shared" si="762"/>
        <v>---</v>
      </c>
      <c r="S668" s="443" t="str">
        <f>IF($A668="---","---",IF(Type_Reinf="g",(IF(Geo_Conn="m",1,0.8))*INPUT!N114*phi_Tensile_Combined*INPUT!L114*RF_CR*I610/MAX(RF_D,1.1),"---"))</f>
        <v>---</v>
      </c>
      <c r="T668" s="513" t="str">
        <f t="shared" si="763"/>
        <v>---</v>
      </c>
      <c r="AE668" s="140" t="str">
        <f t="shared" si="764"/>
        <v>---</v>
      </c>
      <c r="AF668" s="140" t="str">
        <f t="shared" si="765"/>
        <v>---</v>
      </c>
      <c r="AG668" s="140">
        <f t="shared" si="766"/>
        <v>999.99</v>
      </c>
      <c r="AH668" s="263">
        <f t="shared" si="767"/>
        <v>0</v>
      </c>
      <c r="AI668" s="267" t="str">
        <f t="shared" si="768"/>
        <v>---</v>
      </c>
      <c r="AJ668" s="140" t="str">
        <f t="shared" si="769"/>
        <v>---</v>
      </c>
      <c r="AK668" s="140">
        <f t="shared" si="770"/>
        <v>999.99</v>
      </c>
      <c r="AL668" s="263">
        <f t="shared" si="771"/>
        <v>1</v>
      </c>
      <c r="AM668" s="140" t="str">
        <f t="shared" si="772"/>
        <v>---</v>
      </c>
      <c r="AN668" s="140" t="str">
        <f t="shared" si="773"/>
        <v>---</v>
      </c>
      <c r="AO668" s="140">
        <f t="shared" si="774"/>
        <v>999.99</v>
      </c>
      <c r="AP668" s="263">
        <f t="shared" si="775"/>
        <v>1</v>
      </c>
      <c r="AQ668" s="267" t="str">
        <f>IF(AR668="---","---",INPUT!P172)</f>
        <v>---</v>
      </c>
      <c r="AR668" s="140" t="str">
        <f t="shared" si="776"/>
        <v>---</v>
      </c>
      <c r="AS668" s="140">
        <f t="shared" si="777"/>
        <v>999.99</v>
      </c>
      <c r="AT668" s="263">
        <f t="shared" si="778"/>
        <v>0</v>
      </c>
      <c r="AU668" s="140" t="str">
        <f t="shared" si="779"/>
        <v>---</v>
      </c>
      <c r="AV668" s="140" t="str">
        <f t="shared" si="780"/>
        <v>---</v>
      </c>
      <c r="AW668" s="140">
        <f t="shared" si="781"/>
        <v>999.99</v>
      </c>
      <c r="AX668" s="263">
        <f t="shared" si="782"/>
        <v>1</v>
      </c>
      <c r="AY668" s="267" t="str">
        <f t="shared" si="783"/>
        <v>---</v>
      </c>
      <c r="AZ668" s="210" t="str">
        <f t="shared" si="784"/>
        <v>---</v>
      </c>
      <c r="BA668" s="140">
        <f t="shared" si="785"/>
        <v>999.99</v>
      </c>
      <c r="BB668" s="263">
        <f t="shared" si="786"/>
        <v>1</v>
      </c>
      <c r="BC668" s="271" t="str">
        <f t="shared" si="787"/>
        <v>---</v>
      </c>
      <c r="BD668" s="271" t="str">
        <f t="shared" si="788"/>
        <v>---</v>
      </c>
      <c r="BE668" s="140">
        <f t="shared" si="789"/>
        <v>999.99</v>
      </c>
      <c r="BF668" s="263">
        <f t="shared" si="790"/>
        <v>1</v>
      </c>
    </row>
    <row r="669" spans="1:58">
      <c r="A669" s="438" t="str">
        <f t="shared" ref="A669:B669" si="793">A645</f>
        <v>---</v>
      </c>
      <c r="B669" s="294" t="str">
        <f t="shared" si="793"/>
        <v>---</v>
      </c>
      <c r="C669" s="296" t="str">
        <f t="shared" si="751"/>
        <v>---</v>
      </c>
      <c r="D669" s="294" t="str">
        <f t="shared" si="752"/>
        <v>---</v>
      </c>
      <c r="E669" s="294" t="str">
        <f t="shared" si="753"/>
        <v>---</v>
      </c>
      <c r="F669" s="523" t="str">
        <f>IF($A669="---","---",INPUT!M173+INPUT!N173)</f>
        <v>---</v>
      </c>
      <c r="G669" s="443" t="str">
        <f t="shared" si="754"/>
        <v>---</v>
      </c>
      <c r="H669" s="444" t="str">
        <f t="shared" si="755"/>
        <v>---</v>
      </c>
      <c r="I669" s="444" t="str">
        <f t="shared" si="756"/>
        <v>---</v>
      </c>
      <c r="J669" s="524" t="str">
        <f t="shared" si="757"/>
        <v>---</v>
      </c>
      <c r="K669" s="505" t="str">
        <f t="shared" si="758"/>
        <v>---</v>
      </c>
      <c r="L669" s="508" t="str">
        <f t="shared" si="759"/>
        <v>---</v>
      </c>
      <c r="M669" s="524" t="str">
        <f>IF($A669="---","---",IF(Type_Reinf="g","---",IF(INPUT!P173&gt;E669,"OK","NG!")))</f>
        <v>---</v>
      </c>
      <c r="N669" s="444" t="str">
        <f t="shared" si="760"/>
        <v>---</v>
      </c>
      <c r="O669" s="443" t="str">
        <f>IF($A669="---","---",IF(Type_Reinf="g",phi_Tensile_Combined*N669*INPUT!L173*I611/MAX(RF_D,1.1),"---"))</f>
        <v>---</v>
      </c>
      <c r="P669" s="524" t="str">
        <f t="shared" si="761"/>
        <v>---</v>
      </c>
      <c r="Q669" s="444" t="str">
        <f>IF($A669="---","---",IF(Type_Reinf="g",IF(Geo_Conn="m",1,0.8)*phi_Tensile_Combined*INPUT!M173*INPUT!L173*I611/MAX(RF_D,1.1),"---"))</f>
        <v>---</v>
      </c>
      <c r="R669" s="524" t="str">
        <f t="shared" si="762"/>
        <v>---</v>
      </c>
      <c r="S669" s="443" t="str">
        <f>IF($A669="---","---",IF(Type_Reinf="g",(IF(Geo_Conn="m",1,0.8))*INPUT!N115*phi_Tensile_Combined*INPUT!L115*RF_CR*I611/MAX(RF_D,1.1),"---"))</f>
        <v>---</v>
      </c>
      <c r="T669" s="513" t="str">
        <f t="shared" si="763"/>
        <v>---</v>
      </c>
      <c r="AE669" s="140" t="str">
        <f t="shared" si="764"/>
        <v>---</v>
      </c>
      <c r="AF669" s="140" t="str">
        <f t="shared" si="765"/>
        <v>---</v>
      </c>
      <c r="AG669" s="140">
        <f t="shared" si="766"/>
        <v>999.99</v>
      </c>
      <c r="AH669" s="263">
        <f t="shared" si="767"/>
        <v>0</v>
      </c>
      <c r="AI669" s="267" t="str">
        <f t="shared" si="768"/>
        <v>---</v>
      </c>
      <c r="AJ669" s="140" t="str">
        <f t="shared" si="769"/>
        <v>---</v>
      </c>
      <c r="AK669" s="140">
        <f t="shared" si="770"/>
        <v>999.99</v>
      </c>
      <c r="AL669" s="263">
        <f t="shared" si="771"/>
        <v>1</v>
      </c>
      <c r="AM669" s="140" t="str">
        <f t="shared" si="772"/>
        <v>---</v>
      </c>
      <c r="AN669" s="140" t="str">
        <f t="shared" si="773"/>
        <v>---</v>
      </c>
      <c r="AO669" s="140">
        <f t="shared" si="774"/>
        <v>999.99</v>
      </c>
      <c r="AP669" s="263">
        <f t="shared" si="775"/>
        <v>1</v>
      </c>
      <c r="AQ669" s="267" t="str">
        <f>IF(AR669="---","---",INPUT!P173)</f>
        <v>---</v>
      </c>
      <c r="AR669" s="140" t="str">
        <f t="shared" si="776"/>
        <v>---</v>
      </c>
      <c r="AS669" s="140">
        <f t="shared" si="777"/>
        <v>999.99</v>
      </c>
      <c r="AT669" s="263">
        <f t="shared" si="778"/>
        <v>0</v>
      </c>
      <c r="AU669" s="140" t="str">
        <f t="shared" si="779"/>
        <v>---</v>
      </c>
      <c r="AV669" s="140" t="str">
        <f t="shared" si="780"/>
        <v>---</v>
      </c>
      <c r="AW669" s="140">
        <f t="shared" si="781"/>
        <v>999.99</v>
      </c>
      <c r="AX669" s="263">
        <f t="shared" si="782"/>
        <v>1</v>
      </c>
      <c r="AY669" s="267" t="str">
        <f t="shared" si="783"/>
        <v>---</v>
      </c>
      <c r="AZ669" s="210" t="str">
        <f t="shared" si="784"/>
        <v>---</v>
      </c>
      <c r="BA669" s="140">
        <f t="shared" si="785"/>
        <v>999.99</v>
      </c>
      <c r="BB669" s="263">
        <f t="shared" si="786"/>
        <v>1</v>
      </c>
      <c r="BC669" s="271" t="str">
        <f t="shared" si="787"/>
        <v>---</v>
      </c>
      <c r="BD669" s="271" t="str">
        <f t="shared" si="788"/>
        <v>---</v>
      </c>
      <c r="BE669" s="140">
        <f t="shared" si="789"/>
        <v>999.99</v>
      </c>
      <c r="BF669" s="263">
        <f t="shared" si="790"/>
        <v>1</v>
      </c>
    </row>
    <row r="670" spans="1:58">
      <c r="A670" s="438" t="str">
        <f t="shared" ref="A670:B670" si="794">A646</f>
        <v>---</v>
      </c>
      <c r="B670" s="294" t="str">
        <f t="shared" si="794"/>
        <v>---</v>
      </c>
      <c r="C670" s="296" t="str">
        <f t="shared" si="751"/>
        <v>---</v>
      </c>
      <c r="D670" s="294" t="str">
        <f t="shared" si="752"/>
        <v>---</v>
      </c>
      <c r="E670" s="294" t="str">
        <f t="shared" si="753"/>
        <v>---</v>
      </c>
      <c r="F670" s="523" t="str">
        <f>IF($A670="---","---",INPUT!M174+INPUT!N174)</f>
        <v>---</v>
      </c>
      <c r="G670" s="443" t="str">
        <f t="shared" si="754"/>
        <v>---</v>
      </c>
      <c r="H670" s="444" t="str">
        <f t="shared" si="755"/>
        <v>---</v>
      </c>
      <c r="I670" s="444" t="str">
        <f t="shared" si="756"/>
        <v>---</v>
      </c>
      <c r="J670" s="524" t="str">
        <f t="shared" si="757"/>
        <v>---</v>
      </c>
      <c r="K670" s="505" t="str">
        <f t="shared" si="758"/>
        <v>---</v>
      </c>
      <c r="L670" s="508" t="str">
        <f t="shared" si="759"/>
        <v>---</v>
      </c>
      <c r="M670" s="524" t="str">
        <f>IF($A670="---","---",IF(Type_Reinf="g","---",IF(INPUT!P174&gt;E670,"OK","NG!")))</f>
        <v>---</v>
      </c>
      <c r="N670" s="444" t="str">
        <f t="shared" si="760"/>
        <v>---</v>
      </c>
      <c r="O670" s="443" t="str">
        <f>IF($A670="---","---",IF(Type_Reinf="g",phi_Tensile_Combined*N670*INPUT!L174*I612/MAX(RF_D,1.1),"---"))</f>
        <v>---</v>
      </c>
      <c r="P670" s="524" t="str">
        <f t="shared" si="761"/>
        <v>---</v>
      </c>
      <c r="Q670" s="444" t="str">
        <f>IF($A670="---","---",IF(Type_Reinf="g",IF(Geo_Conn="m",1,0.8)*phi_Tensile_Combined*INPUT!M174*INPUT!L174*I612/MAX(RF_D,1.1),"---"))</f>
        <v>---</v>
      </c>
      <c r="R670" s="524" t="str">
        <f t="shared" si="762"/>
        <v>---</v>
      </c>
      <c r="S670" s="443" t="str">
        <f>IF($A670="---","---",IF(Type_Reinf="g",(IF(Geo_Conn="m",1,0.8))*INPUT!N116*phi_Tensile_Combined*INPUT!L116*RF_CR*I612/MAX(RF_D,1.1),"---"))</f>
        <v>---</v>
      </c>
      <c r="T670" s="513" t="str">
        <f t="shared" si="763"/>
        <v>---</v>
      </c>
      <c r="AE670" s="140" t="str">
        <f t="shared" si="764"/>
        <v>---</v>
      </c>
      <c r="AF670" s="140" t="str">
        <f t="shared" si="765"/>
        <v>---</v>
      </c>
      <c r="AG670" s="140">
        <f t="shared" si="766"/>
        <v>999.99</v>
      </c>
      <c r="AH670" s="263">
        <f t="shared" si="767"/>
        <v>0</v>
      </c>
      <c r="AI670" s="267" t="str">
        <f t="shared" si="768"/>
        <v>---</v>
      </c>
      <c r="AJ670" s="140" t="str">
        <f t="shared" si="769"/>
        <v>---</v>
      </c>
      <c r="AK670" s="140">
        <f t="shared" si="770"/>
        <v>999.99</v>
      </c>
      <c r="AL670" s="263">
        <f t="shared" si="771"/>
        <v>1</v>
      </c>
      <c r="AM670" s="140" t="str">
        <f t="shared" si="772"/>
        <v>---</v>
      </c>
      <c r="AN670" s="140" t="str">
        <f t="shared" si="773"/>
        <v>---</v>
      </c>
      <c r="AO670" s="140">
        <f t="shared" si="774"/>
        <v>999.99</v>
      </c>
      <c r="AP670" s="263">
        <f t="shared" si="775"/>
        <v>1</v>
      </c>
      <c r="AQ670" s="267" t="str">
        <f>IF(AR670="---","---",INPUT!P174)</f>
        <v>---</v>
      </c>
      <c r="AR670" s="140" t="str">
        <f t="shared" si="776"/>
        <v>---</v>
      </c>
      <c r="AS670" s="140">
        <f t="shared" si="777"/>
        <v>999.99</v>
      </c>
      <c r="AT670" s="263">
        <f t="shared" si="778"/>
        <v>0</v>
      </c>
      <c r="AU670" s="140" t="str">
        <f t="shared" si="779"/>
        <v>---</v>
      </c>
      <c r="AV670" s="140" t="str">
        <f t="shared" si="780"/>
        <v>---</v>
      </c>
      <c r="AW670" s="140">
        <f t="shared" si="781"/>
        <v>999.99</v>
      </c>
      <c r="AX670" s="263">
        <f t="shared" si="782"/>
        <v>1</v>
      </c>
      <c r="AY670" s="267" t="str">
        <f t="shared" si="783"/>
        <v>---</v>
      </c>
      <c r="AZ670" s="210" t="str">
        <f t="shared" si="784"/>
        <v>---</v>
      </c>
      <c r="BA670" s="140">
        <f t="shared" si="785"/>
        <v>999.99</v>
      </c>
      <c r="BB670" s="263">
        <f t="shared" si="786"/>
        <v>1</v>
      </c>
      <c r="BC670" s="271" t="str">
        <f t="shared" si="787"/>
        <v>---</v>
      </c>
      <c r="BD670" s="271" t="str">
        <f t="shared" si="788"/>
        <v>---</v>
      </c>
      <c r="BE670" s="140">
        <f t="shared" si="789"/>
        <v>999.99</v>
      </c>
      <c r="BF670" s="263">
        <f t="shared" si="790"/>
        <v>1</v>
      </c>
    </row>
    <row r="671" spans="1:58">
      <c r="A671" s="438" t="str">
        <f t="shared" ref="A671:B671" si="795">A647</f>
        <v>---</v>
      </c>
      <c r="B671" s="294" t="str">
        <f t="shared" si="795"/>
        <v>---</v>
      </c>
      <c r="C671" s="296" t="str">
        <f t="shared" si="751"/>
        <v>---</v>
      </c>
      <c r="D671" s="294" t="str">
        <f t="shared" si="752"/>
        <v>---</v>
      </c>
      <c r="E671" s="294" t="str">
        <f t="shared" si="753"/>
        <v>---</v>
      </c>
      <c r="F671" s="523" t="str">
        <f>IF($A671="---","---",INPUT!M175+INPUT!N175)</f>
        <v>---</v>
      </c>
      <c r="G671" s="443" t="str">
        <f t="shared" si="754"/>
        <v>---</v>
      </c>
      <c r="H671" s="444" t="str">
        <f t="shared" si="755"/>
        <v>---</v>
      </c>
      <c r="I671" s="444" t="str">
        <f t="shared" si="756"/>
        <v>---</v>
      </c>
      <c r="J671" s="524" t="str">
        <f t="shared" si="757"/>
        <v>---</v>
      </c>
      <c r="K671" s="505" t="str">
        <f t="shared" si="758"/>
        <v>---</v>
      </c>
      <c r="L671" s="508" t="str">
        <f t="shared" si="759"/>
        <v>---</v>
      </c>
      <c r="M671" s="524" t="str">
        <f>IF($A671="---","---",IF(Type_Reinf="g","---",IF(INPUT!P175&gt;E671,"OK","NG!")))</f>
        <v>---</v>
      </c>
      <c r="N671" s="444" t="str">
        <f t="shared" si="760"/>
        <v>---</v>
      </c>
      <c r="O671" s="443" t="str">
        <f>IF($A671="---","---",IF(Type_Reinf="g",phi_Tensile_Combined*N671*INPUT!L175*I613/MAX(RF_D,1.1),"---"))</f>
        <v>---</v>
      </c>
      <c r="P671" s="524" t="str">
        <f t="shared" si="761"/>
        <v>---</v>
      </c>
      <c r="Q671" s="444" t="str">
        <f>IF($A671="---","---",IF(Type_Reinf="g",IF(Geo_Conn="m",1,0.8)*phi_Tensile_Combined*INPUT!M175*INPUT!L175*I613/MAX(RF_D,1.1),"---"))</f>
        <v>---</v>
      </c>
      <c r="R671" s="524" t="str">
        <f t="shared" si="762"/>
        <v>---</v>
      </c>
      <c r="S671" s="443" t="str">
        <f>IF($A671="---","---",IF(Type_Reinf="g",(IF(Geo_Conn="m",1,0.8))*INPUT!N117*phi_Tensile_Combined*INPUT!L117*RF_CR*I613/MAX(RF_D,1.1),"---"))</f>
        <v>---</v>
      </c>
      <c r="T671" s="513" t="str">
        <f t="shared" si="763"/>
        <v>---</v>
      </c>
      <c r="AE671" s="140" t="str">
        <f t="shared" si="764"/>
        <v>---</v>
      </c>
      <c r="AF671" s="140" t="str">
        <f t="shared" si="765"/>
        <v>---</v>
      </c>
      <c r="AG671" s="140">
        <f t="shared" si="766"/>
        <v>999.99</v>
      </c>
      <c r="AH671" s="263">
        <f t="shared" si="767"/>
        <v>0</v>
      </c>
      <c r="AI671" s="267" t="str">
        <f t="shared" si="768"/>
        <v>---</v>
      </c>
      <c r="AJ671" s="140" t="str">
        <f t="shared" si="769"/>
        <v>---</v>
      </c>
      <c r="AK671" s="140">
        <f t="shared" si="770"/>
        <v>999.99</v>
      </c>
      <c r="AL671" s="263">
        <f t="shared" si="771"/>
        <v>1</v>
      </c>
      <c r="AM671" s="140" t="str">
        <f t="shared" si="772"/>
        <v>---</v>
      </c>
      <c r="AN671" s="140" t="str">
        <f t="shared" si="773"/>
        <v>---</v>
      </c>
      <c r="AO671" s="140">
        <f t="shared" si="774"/>
        <v>999.99</v>
      </c>
      <c r="AP671" s="263">
        <f t="shared" si="775"/>
        <v>1</v>
      </c>
      <c r="AQ671" s="267" t="str">
        <f>IF(AR671="---","---",INPUT!P175)</f>
        <v>---</v>
      </c>
      <c r="AR671" s="140" t="str">
        <f t="shared" si="776"/>
        <v>---</v>
      </c>
      <c r="AS671" s="140">
        <f t="shared" si="777"/>
        <v>999.99</v>
      </c>
      <c r="AT671" s="263">
        <f t="shared" si="778"/>
        <v>0</v>
      </c>
      <c r="AU671" s="140" t="str">
        <f t="shared" si="779"/>
        <v>---</v>
      </c>
      <c r="AV671" s="140" t="str">
        <f t="shared" si="780"/>
        <v>---</v>
      </c>
      <c r="AW671" s="140">
        <f t="shared" si="781"/>
        <v>999.99</v>
      </c>
      <c r="AX671" s="263">
        <f t="shared" si="782"/>
        <v>1</v>
      </c>
      <c r="AY671" s="267" t="str">
        <f t="shared" si="783"/>
        <v>---</v>
      </c>
      <c r="AZ671" s="210" t="str">
        <f t="shared" si="784"/>
        <v>---</v>
      </c>
      <c r="BA671" s="140">
        <f t="shared" si="785"/>
        <v>999.99</v>
      </c>
      <c r="BB671" s="263">
        <f t="shared" si="786"/>
        <v>1</v>
      </c>
      <c r="BC671" s="271" t="str">
        <f t="shared" si="787"/>
        <v>---</v>
      </c>
      <c r="BD671" s="271" t="str">
        <f t="shared" si="788"/>
        <v>---</v>
      </c>
      <c r="BE671" s="140">
        <f t="shared" si="789"/>
        <v>999.99</v>
      </c>
      <c r="BF671" s="263">
        <f t="shared" si="790"/>
        <v>1</v>
      </c>
    </row>
    <row r="672" spans="1:58">
      <c r="A672" s="438" t="str">
        <f t="shared" ref="A672:B672" si="796">A648</f>
        <v>---</v>
      </c>
      <c r="B672" s="294" t="str">
        <f t="shared" si="796"/>
        <v>---</v>
      </c>
      <c r="C672" s="296" t="str">
        <f t="shared" si="751"/>
        <v>---</v>
      </c>
      <c r="D672" s="294" t="str">
        <f t="shared" si="752"/>
        <v>---</v>
      </c>
      <c r="E672" s="294" t="str">
        <f t="shared" si="753"/>
        <v>---</v>
      </c>
      <c r="F672" s="523" t="str">
        <f>IF($A672="---","---",INPUT!M176+INPUT!N176)</f>
        <v>---</v>
      </c>
      <c r="G672" s="443" t="str">
        <f t="shared" si="754"/>
        <v>---</v>
      </c>
      <c r="H672" s="444" t="str">
        <f t="shared" si="755"/>
        <v>---</v>
      </c>
      <c r="I672" s="444" t="str">
        <f t="shared" si="756"/>
        <v>---</v>
      </c>
      <c r="J672" s="524" t="str">
        <f t="shared" si="757"/>
        <v>---</v>
      </c>
      <c r="K672" s="505" t="str">
        <f t="shared" si="758"/>
        <v>---</v>
      </c>
      <c r="L672" s="508" t="str">
        <f t="shared" si="759"/>
        <v>---</v>
      </c>
      <c r="M672" s="524" t="str">
        <f>IF($A672="---","---",IF(Type_Reinf="g","---",IF(INPUT!P176&gt;E672,"OK","NG!")))</f>
        <v>---</v>
      </c>
      <c r="N672" s="444" t="str">
        <f t="shared" si="760"/>
        <v>---</v>
      </c>
      <c r="O672" s="443" t="str">
        <f>IF($A672="---","---",IF(Type_Reinf="g",phi_Tensile_Combined*N672*INPUT!L176*I614/MAX(RF_D,1.1),"---"))</f>
        <v>---</v>
      </c>
      <c r="P672" s="524" t="str">
        <f t="shared" si="761"/>
        <v>---</v>
      </c>
      <c r="Q672" s="444" t="str">
        <f>IF($A672="---","---",IF(Type_Reinf="g",IF(Geo_Conn="m",1,0.8)*phi_Tensile_Combined*INPUT!M176*INPUT!L176*I614/MAX(RF_D,1.1),"---"))</f>
        <v>---</v>
      </c>
      <c r="R672" s="524" t="str">
        <f t="shared" si="762"/>
        <v>---</v>
      </c>
      <c r="S672" s="443" t="str">
        <f>IF($A672="---","---",IF(Type_Reinf="g",(IF(Geo_Conn="m",1,0.8))*INPUT!N118*phi_Tensile_Combined*INPUT!L118*RF_CR*I614/MAX(RF_D,1.1),"---"))</f>
        <v>---</v>
      </c>
      <c r="T672" s="513" t="str">
        <f t="shared" si="763"/>
        <v>---</v>
      </c>
      <c r="AE672" s="140" t="str">
        <f t="shared" si="764"/>
        <v>---</v>
      </c>
      <c r="AF672" s="140" t="str">
        <f t="shared" si="765"/>
        <v>---</v>
      </c>
      <c r="AG672" s="140">
        <f t="shared" si="766"/>
        <v>999.99</v>
      </c>
      <c r="AH672" s="263">
        <f t="shared" si="767"/>
        <v>0</v>
      </c>
      <c r="AI672" s="267" t="str">
        <f t="shared" si="768"/>
        <v>---</v>
      </c>
      <c r="AJ672" s="140" t="str">
        <f t="shared" si="769"/>
        <v>---</v>
      </c>
      <c r="AK672" s="140">
        <f t="shared" si="770"/>
        <v>999.99</v>
      </c>
      <c r="AL672" s="263">
        <f t="shared" si="771"/>
        <v>1</v>
      </c>
      <c r="AM672" s="140" t="str">
        <f t="shared" si="772"/>
        <v>---</v>
      </c>
      <c r="AN672" s="140" t="str">
        <f t="shared" si="773"/>
        <v>---</v>
      </c>
      <c r="AO672" s="140">
        <f t="shared" si="774"/>
        <v>999.99</v>
      </c>
      <c r="AP672" s="263">
        <f t="shared" si="775"/>
        <v>1</v>
      </c>
      <c r="AQ672" s="267" t="str">
        <f>IF(AR672="---","---",INPUT!P176)</f>
        <v>---</v>
      </c>
      <c r="AR672" s="140" t="str">
        <f t="shared" si="776"/>
        <v>---</v>
      </c>
      <c r="AS672" s="140">
        <f t="shared" si="777"/>
        <v>999.99</v>
      </c>
      <c r="AT672" s="263">
        <f t="shared" si="778"/>
        <v>0</v>
      </c>
      <c r="AU672" s="140" t="str">
        <f t="shared" si="779"/>
        <v>---</v>
      </c>
      <c r="AV672" s="140" t="str">
        <f t="shared" si="780"/>
        <v>---</v>
      </c>
      <c r="AW672" s="140">
        <f t="shared" si="781"/>
        <v>999.99</v>
      </c>
      <c r="AX672" s="263">
        <f t="shared" si="782"/>
        <v>1</v>
      </c>
      <c r="AY672" s="267" t="str">
        <f t="shared" si="783"/>
        <v>---</v>
      </c>
      <c r="AZ672" s="210" t="str">
        <f t="shared" si="784"/>
        <v>---</v>
      </c>
      <c r="BA672" s="140">
        <f t="shared" si="785"/>
        <v>999.99</v>
      </c>
      <c r="BB672" s="263">
        <f t="shared" si="786"/>
        <v>1</v>
      </c>
      <c r="BC672" s="271" t="str">
        <f t="shared" si="787"/>
        <v>---</v>
      </c>
      <c r="BD672" s="271" t="str">
        <f t="shared" si="788"/>
        <v>---</v>
      </c>
      <c r="BE672" s="140">
        <f t="shared" si="789"/>
        <v>999.99</v>
      </c>
      <c r="BF672" s="263">
        <f t="shared" si="790"/>
        <v>1</v>
      </c>
    </row>
    <row r="673" spans="1:58">
      <c r="A673" s="438" t="str">
        <f t="shared" ref="A673:B673" si="797">A649</f>
        <v>---</v>
      </c>
      <c r="B673" s="294" t="str">
        <f t="shared" si="797"/>
        <v>---</v>
      </c>
      <c r="C673" s="296" t="str">
        <f t="shared" si="751"/>
        <v>---</v>
      </c>
      <c r="D673" s="294" t="str">
        <f t="shared" si="752"/>
        <v>---</v>
      </c>
      <c r="E673" s="294" t="str">
        <f t="shared" si="753"/>
        <v>---</v>
      </c>
      <c r="F673" s="523" t="str">
        <f>IF($A673="---","---",INPUT!M177+INPUT!N177)</f>
        <v>---</v>
      </c>
      <c r="G673" s="443" t="str">
        <f t="shared" si="754"/>
        <v>---</v>
      </c>
      <c r="H673" s="444" t="str">
        <f t="shared" si="755"/>
        <v>---</v>
      </c>
      <c r="I673" s="444" t="str">
        <f t="shared" si="756"/>
        <v>---</v>
      </c>
      <c r="J673" s="524" t="str">
        <f t="shared" si="757"/>
        <v>---</v>
      </c>
      <c r="K673" s="505" t="str">
        <f t="shared" si="758"/>
        <v>---</v>
      </c>
      <c r="L673" s="508" t="str">
        <f t="shared" si="759"/>
        <v>---</v>
      </c>
      <c r="M673" s="524" t="str">
        <f>IF($A673="---","---",IF(Type_Reinf="g","---",IF(INPUT!P177&gt;E673,"OK","NG!")))</f>
        <v>---</v>
      </c>
      <c r="N673" s="444" t="str">
        <f t="shared" si="760"/>
        <v>---</v>
      </c>
      <c r="O673" s="443" t="str">
        <f>IF($A673="---","---",IF(Type_Reinf="g",phi_Tensile_Combined*N673*INPUT!L177*I615/MAX(RF_D,1.1),"---"))</f>
        <v>---</v>
      </c>
      <c r="P673" s="524" t="str">
        <f t="shared" si="761"/>
        <v>---</v>
      </c>
      <c r="Q673" s="444" t="str">
        <f>IF($A673="---","---",IF(Type_Reinf="g",IF(Geo_Conn="m",1,0.8)*phi_Tensile_Combined*INPUT!M177*INPUT!L177*I615/MAX(RF_D,1.1),"---"))</f>
        <v>---</v>
      </c>
      <c r="R673" s="524" t="str">
        <f t="shared" si="762"/>
        <v>---</v>
      </c>
      <c r="S673" s="443" t="str">
        <f>IF($A673="---","---",IF(Type_Reinf="g",(IF(Geo_Conn="m",1,0.8))*INPUT!N119*phi_Tensile_Combined*INPUT!L119*RF_CR*I615/MAX(RF_D,1.1),"---"))</f>
        <v>---</v>
      </c>
      <c r="T673" s="513" t="str">
        <f t="shared" si="763"/>
        <v>---</v>
      </c>
      <c r="AE673" s="140" t="str">
        <f t="shared" si="764"/>
        <v>---</v>
      </c>
      <c r="AF673" s="140" t="str">
        <f t="shared" si="765"/>
        <v>---</v>
      </c>
      <c r="AG673" s="140">
        <f t="shared" si="766"/>
        <v>999.99</v>
      </c>
      <c r="AH673" s="263">
        <f t="shared" si="767"/>
        <v>0</v>
      </c>
      <c r="AI673" s="267" t="str">
        <f t="shared" si="768"/>
        <v>---</v>
      </c>
      <c r="AJ673" s="140" t="str">
        <f t="shared" si="769"/>
        <v>---</v>
      </c>
      <c r="AK673" s="140">
        <f t="shared" si="770"/>
        <v>999.99</v>
      </c>
      <c r="AL673" s="263">
        <f t="shared" si="771"/>
        <v>1</v>
      </c>
      <c r="AM673" s="140" t="str">
        <f t="shared" si="772"/>
        <v>---</v>
      </c>
      <c r="AN673" s="140" t="str">
        <f t="shared" si="773"/>
        <v>---</v>
      </c>
      <c r="AO673" s="140">
        <f t="shared" si="774"/>
        <v>999.99</v>
      </c>
      <c r="AP673" s="263">
        <f t="shared" si="775"/>
        <v>1</v>
      </c>
      <c r="AQ673" s="267" t="str">
        <f>IF(AR673="---","---",INPUT!P177)</f>
        <v>---</v>
      </c>
      <c r="AR673" s="140" t="str">
        <f t="shared" si="776"/>
        <v>---</v>
      </c>
      <c r="AS673" s="140">
        <f t="shared" si="777"/>
        <v>999.99</v>
      </c>
      <c r="AT673" s="263">
        <f t="shared" si="778"/>
        <v>0</v>
      </c>
      <c r="AU673" s="140" t="str">
        <f t="shared" si="779"/>
        <v>---</v>
      </c>
      <c r="AV673" s="140" t="str">
        <f t="shared" si="780"/>
        <v>---</v>
      </c>
      <c r="AW673" s="140">
        <f t="shared" si="781"/>
        <v>999.99</v>
      </c>
      <c r="AX673" s="263">
        <f t="shared" si="782"/>
        <v>1</v>
      </c>
      <c r="AY673" s="267" t="str">
        <f t="shared" si="783"/>
        <v>---</v>
      </c>
      <c r="AZ673" s="210" t="str">
        <f t="shared" si="784"/>
        <v>---</v>
      </c>
      <c r="BA673" s="140">
        <f t="shared" si="785"/>
        <v>999.99</v>
      </c>
      <c r="BB673" s="263">
        <f t="shared" si="786"/>
        <v>1</v>
      </c>
      <c r="BC673" s="271" t="str">
        <f t="shared" si="787"/>
        <v>---</v>
      </c>
      <c r="BD673" s="271" t="str">
        <f t="shared" si="788"/>
        <v>---</v>
      </c>
      <c r="BE673" s="140">
        <f t="shared" si="789"/>
        <v>999.99</v>
      </c>
      <c r="BF673" s="263">
        <f t="shared" si="790"/>
        <v>1</v>
      </c>
    </row>
    <row r="674" spans="1:58">
      <c r="A674" s="438" t="str">
        <f t="shared" ref="A674:B674" si="798">A650</f>
        <v>---</v>
      </c>
      <c r="B674" s="294" t="str">
        <f t="shared" si="798"/>
        <v>---</v>
      </c>
      <c r="C674" s="296" t="str">
        <f t="shared" si="751"/>
        <v>---</v>
      </c>
      <c r="D674" s="294" t="str">
        <f t="shared" si="752"/>
        <v>---</v>
      </c>
      <c r="E674" s="294" t="str">
        <f t="shared" si="753"/>
        <v>---</v>
      </c>
      <c r="F674" s="525" t="str">
        <f>IF($A674="---","---",INPUT!M178+INPUT!N178)</f>
        <v>---</v>
      </c>
      <c r="G674" s="526" t="str">
        <f t="shared" si="754"/>
        <v>---</v>
      </c>
      <c r="H674" s="514" t="str">
        <f t="shared" si="755"/>
        <v>---</v>
      </c>
      <c r="I674" s="514" t="str">
        <f t="shared" si="756"/>
        <v>---</v>
      </c>
      <c r="J674" s="527" t="str">
        <f t="shared" si="757"/>
        <v>---</v>
      </c>
      <c r="K674" s="507" t="str">
        <f t="shared" si="758"/>
        <v>---</v>
      </c>
      <c r="L674" s="509" t="str">
        <f t="shared" si="759"/>
        <v>---</v>
      </c>
      <c r="M674" s="527" t="str">
        <f>IF($A674="---","---",IF(Type_Reinf="g","---",IF(INPUT!P178&gt;E674,"OK","NG!")))</f>
        <v>---</v>
      </c>
      <c r="N674" s="514" t="str">
        <f t="shared" si="760"/>
        <v>---</v>
      </c>
      <c r="O674" s="526" t="str">
        <f>IF($A674="---","---",IF(Type_Reinf="g",phi_Tensile_Combined*N674*INPUT!L178*I616/MAX(RF_D,1.1),"---"))</f>
        <v>---</v>
      </c>
      <c r="P674" s="527" t="str">
        <f t="shared" si="761"/>
        <v>---</v>
      </c>
      <c r="Q674" s="514" t="str">
        <f>IF($A674="---","---",IF(Type_Reinf="g",IF(Geo_Conn="m",1,0.8)*phi_Tensile_Combined*INPUT!M178*INPUT!L178*I616/MAX(RF_D,1.1),"---"))</f>
        <v>---</v>
      </c>
      <c r="R674" s="527" t="str">
        <f t="shared" si="762"/>
        <v>---</v>
      </c>
      <c r="S674" s="526" t="str">
        <f>IF($A674="---","---",IF(Type_Reinf="g",(IF(Geo_Conn="m",1,0.8))*INPUT!N120*phi_Tensile_Combined*INPUT!L120*RF_CR*I616/MAX(RF_D,1.1),"---"))</f>
        <v>---</v>
      </c>
      <c r="T674" s="515" t="str">
        <f t="shared" si="763"/>
        <v>---</v>
      </c>
      <c r="AE674" s="140" t="str">
        <f t="shared" si="764"/>
        <v>---</v>
      </c>
      <c r="AF674" s="140" t="str">
        <f t="shared" si="765"/>
        <v>---</v>
      </c>
      <c r="AG674" s="140">
        <f t="shared" si="766"/>
        <v>999.99</v>
      </c>
      <c r="AH674" s="263">
        <f t="shared" si="767"/>
        <v>0</v>
      </c>
      <c r="AI674" s="267" t="str">
        <f t="shared" si="768"/>
        <v>---</v>
      </c>
      <c r="AJ674" s="140" t="str">
        <f t="shared" si="769"/>
        <v>---</v>
      </c>
      <c r="AK674" s="140">
        <f t="shared" si="770"/>
        <v>999.99</v>
      </c>
      <c r="AL674" s="263">
        <f t="shared" si="771"/>
        <v>1</v>
      </c>
      <c r="AM674" s="140" t="str">
        <f t="shared" si="772"/>
        <v>---</v>
      </c>
      <c r="AN674" s="140" t="str">
        <f t="shared" si="773"/>
        <v>---</v>
      </c>
      <c r="AO674" s="140">
        <f t="shared" si="774"/>
        <v>999.99</v>
      </c>
      <c r="AP674" s="263">
        <f t="shared" si="775"/>
        <v>1</v>
      </c>
      <c r="AQ674" s="267" t="str">
        <f>IF(AR674="---","---",INPUT!P178)</f>
        <v>---</v>
      </c>
      <c r="AR674" s="140" t="str">
        <f t="shared" si="776"/>
        <v>---</v>
      </c>
      <c r="AS674" s="140">
        <f t="shared" si="777"/>
        <v>999.99</v>
      </c>
      <c r="AT674" s="263">
        <f t="shared" si="778"/>
        <v>0</v>
      </c>
      <c r="AU674" s="140" t="str">
        <f t="shared" si="779"/>
        <v>---</v>
      </c>
      <c r="AV674" s="140" t="str">
        <f t="shared" si="780"/>
        <v>---</v>
      </c>
      <c r="AW674" s="140">
        <f t="shared" si="781"/>
        <v>999.99</v>
      </c>
      <c r="AX674" s="263">
        <f t="shared" si="782"/>
        <v>1</v>
      </c>
      <c r="AY674" s="267" t="str">
        <f t="shared" si="783"/>
        <v>---</v>
      </c>
      <c r="AZ674" s="210" t="str">
        <f t="shared" si="784"/>
        <v>---</v>
      </c>
      <c r="BA674" s="140">
        <f t="shared" si="785"/>
        <v>999.99</v>
      </c>
      <c r="BB674" s="263">
        <f t="shared" si="786"/>
        <v>1</v>
      </c>
      <c r="BC674" s="271" t="str">
        <f t="shared" si="787"/>
        <v>---</v>
      </c>
      <c r="BD674" s="271" t="str">
        <f t="shared" si="788"/>
        <v>---</v>
      </c>
      <c r="BE674" s="140">
        <f t="shared" si="789"/>
        <v>999.99</v>
      </c>
      <c r="BF674" s="263">
        <f t="shared" si="790"/>
        <v>1</v>
      </c>
    </row>
  </sheetData>
  <mergeCells count="96">
    <mergeCell ref="J603:M604"/>
    <mergeCell ref="N603:P604"/>
    <mergeCell ref="M620:N621"/>
    <mergeCell ref="K620:L621"/>
    <mergeCell ref="L351:Q351"/>
    <mergeCell ref="I351:K351"/>
    <mergeCell ref="Q233:Q234"/>
    <mergeCell ref="R233:R234"/>
    <mergeCell ref="S662:T662"/>
    <mergeCell ref="Q662:R662"/>
    <mergeCell ref="Q603:R604"/>
    <mergeCell ref="O352:Q352"/>
    <mergeCell ref="T294:U294"/>
    <mergeCell ref="T295:U295"/>
    <mergeCell ref="N295:Q295"/>
    <mergeCell ref="R295:S295"/>
    <mergeCell ref="C352:E352"/>
    <mergeCell ref="A96:B96"/>
    <mergeCell ref="A97:B97"/>
    <mergeCell ref="A111:B111"/>
    <mergeCell ref="B121:B122"/>
    <mergeCell ref="B124:B126"/>
    <mergeCell ref="A128:B128"/>
    <mergeCell ref="B102:B104"/>
    <mergeCell ref="B133:B135"/>
    <mergeCell ref="C190:C191"/>
    <mergeCell ref="C166:C167"/>
    <mergeCell ref="C99:C100"/>
    <mergeCell ref="A142:B142"/>
    <mergeCell ref="B137:B139"/>
    <mergeCell ref="B140:B141"/>
    <mergeCell ref="D147:E147"/>
    <mergeCell ref="B1:H1"/>
    <mergeCell ref="B2:H2"/>
    <mergeCell ref="B3:H3"/>
    <mergeCell ref="H7:J7"/>
    <mergeCell ref="D99:E99"/>
    <mergeCell ref="F99:G99"/>
    <mergeCell ref="H99:I99"/>
    <mergeCell ref="J99:K99"/>
    <mergeCell ref="F67:G67"/>
    <mergeCell ref="H67:I67"/>
    <mergeCell ref="J67:K67"/>
    <mergeCell ref="D85:E85"/>
    <mergeCell ref="C67:C68"/>
    <mergeCell ref="I5:L5"/>
    <mergeCell ref="B88:B89"/>
    <mergeCell ref="B91:B93"/>
    <mergeCell ref="B106:B108"/>
    <mergeCell ref="B109:B110"/>
    <mergeCell ref="C85:C86"/>
    <mergeCell ref="J546:O546"/>
    <mergeCell ref="L352:N352"/>
    <mergeCell ref="J232:N232"/>
    <mergeCell ref="J233:J234"/>
    <mergeCell ref="K233:K234"/>
    <mergeCell ref="L233:L234"/>
    <mergeCell ref="M233:M234"/>
    <mergeCell ref="N233:N234"/>
    <mergeCell ref="I489:J489"/>
    <mergeCell ref="I352:K352"/>
    <mergeCell ref="I425:J425"/>
    <mergeCell ref="F352:H352"/>
    <mergeCell ref="F85:G85"/>
    <mergeCell ref="R27:U31"/>
    <mergeCell ref="D118:D119"/>
    <mergeCell ref="V232:W233"/>
    <mergeCell ref="T232:U233"/>
    <mergeCell ref="O232:S232"/>
    <mergeCell ref="S233:S234"/>
    <mergeCell ref="O233:O234"/>
    <mergeCell ref="P233:P234"/>
    <mergeCell ref="H190:I190"/>
    <mergeCell ref="J190:K190"/>
    <mergeCell ref="D67:E67"/>
    <mergeCell ref="K118:L118"/>
    <mergeCell ref="E130:F130"/>
    <mergeCell ref="G130:H130"/>
    <mergeCell ref="I130:J130"/>
    <mergeCell ref="D130:D131"/>
    <mergeCell ref="V294:W295"/>
    <mergeCell ref="K130:L130"/>
    <mergeCell ref="E118:F118"/>
    <mergeCell ref="H85:I85"/>
    <mergeCell ref="J85:K85"/>
    <mergeCell ref="G118:H118"/>
    <mergeCell ref="I118:J118"/>
    <mergeCell ref="D190:E190"/>
    <mergeCell ref="F190:G190"/>
    <mergeCell ref="J166:K166"/>
    <mergeCell ref="F147:G147"/>
    <mergeCell ref="H147:I147"/>
    <mergeCell ref="J147:K147"/>
    <mergeCell ref="D166:E166"/>
    <mergeCell ref="F166:G166"/>
    <mergeCell ref="H166:I166"/>
  </mergeCells>
  <phoneticPr fontId="0" type="noConversion"/>
  <conditionalFormatting sqref="M550:M599 F355:G404 R428:R477">
    <cfRule type="cellIs" dxfId="123" priority="95" operator="equal">
      <formula>"NG!"</formula>
    </cfRule>
  </conditionalFormatting>
  <conditionalFormatting sqref="U428:U477">
    <cfRule type="cellIs" dxfId="122" priority="92" operator="equal">
      <formula>"NG!"</formula>
    </cfRule>
  </conditionalFormatting>
  <conditionalFormatting sqref="C155:K155">
    <cfRule type="cellIs" dxfId="121" priority="91" operator="equal">
      <formula>"NG!"</formula>
    </cfRule>
  </conditionalFormatting>
  <conditionalFormatting sqref="C153:K153">
    <cfRule type="cellIs" dxfId="120" priority="90" operator="lessThan">
      <formula>1</formula>
    </cfRule>
  </conditionalFormatting>
  <conditionalFormatting sqref="C173:K173">
    <cfRule type="cellIs" dxfId="119" priority="89" operator="lessThan">
      <formula>1</formula>
    </cfRule>
  </conditionalFormatting>
  <conditionalFormatting sqref="C175:K175">
    <cfRule type="cellIs" dxfId="118" priority="88" operator="equal">
      <formula>"NG!"</formula>
    </cfRule>
  </conditionalFormatting>
  <conditionalFormatting sqref="C211:K211">
    <cfRule type="cellIs" dxfId="117" priority="87" operator="equal">
      <formula>"NG!"</formula>
    </cfRule>
  </conditionalFormatting>
  <conditionalFormatting sqref="C209:K209">
    <cfRule type="cellIs" dxfId="116" priority="86" operator="lessThan">
      <formula>1</formula>
    </cfRule>
  </conditionalFormatting>
  <conditionalFormatting sqref="H355:H404">
    <cfRule type="cellIs" dxfId="115" priority="85" operator="equal">
      <formula>"NG!"</formula>
    </cfRule>
  </conditionalFormatting>
  <conditionalFormatting sqref="N355:N404">
    <cfRule type="cellIs" dxfId="114" priority="83" operator="equal">
      <formula>"NG!"</formula>
    </cfRule>
  </conditionalFormatting>
  <conditionalFormatting sqref="Q355:Q404">
    <cfRule type="cellIs" dxfId="113" priority="82" operator="equal">
      <formula>"NG!"</formula>
    </cfRule>
  </conditionalFormatting>
  <conditionalFormatting sqref="L624:L633 N665:N674 W428:W477 E550:E599 R641:S650 L641:N650">
    <cfRule type="cellIs" dxfId="112" priority="80" operator="equal">
      <formula>"ng!"</formula>
    </cfRule>
  </conditionalFormatting>
  <conditionalFormatting sqref="H492:H541">
    <cfRule type="cellIs" dxfId="111" priority="79" operator="equal">
      <formula>"NG!"</formula>
    </cfRule>
  </conditionalFormatting>
  <conditionalFormatting sqref="O492:O541">
    <cfRule type="cellIs" dxfId="110" priority="78" operator="equal">
      <formula>"NG!"</formula>
    </cfRule>
  </conditionalFormatting>
  <conditionalFormatting sqref="Q428:Q477">
    <cfRule type="cellIs" dxfId="109" priority="77" operator="equal">
      <formula>"NG!"</formula>
    </cfRule>
  </conditionalFormatting>
  <conditionalFormatting sqref="I492:J541">
    <cfRule type="cellIs" dxfId="108" priority="76" operator="equal">
      <formula>"NG!"</formula>
    </cfRule>
  </conditionalFormatting>
  <conditionalFormatting sqref="L550:L599">
    <cfRule type="cellIs" dxfId="107" priority="75" operator="equal">
      <formula>"NG!"</formula>
    </cfRule>
  </conditionalFormatting>
  <conditionalFormatting sqref="I550:I599">
    <cfRule type="cellIs" dxfId="106" priority="74" operator="equal">
      <formula>"ng!"</formula>
    </cfRule>
  </conditionalFormatting>
  <conditionalFormatting sqref="V355:V404">
    <cfRule type="cellIs" dxfId="105" priority="73" operator="equal">
      <formula>"NG!"</formula>
    </cfRule>
  </conditionalFormatting>
  <conditionalFormatting sqref="R550:R599">
    <cfRule type="cellIs" dxfId="104" priority="72" operator="equal">
      <formula>"ng!"</formula>
    </cfRule>
  </conditionalFormatting>
  <conditionalFormatting sqref="J624:J633">
    <cfRule type="cellIs" dxfId="103" priority="71" operator="equal">
      <formula>"ng!"</formula>
    </cfRule>
  </conditionalFormatting>
  <conditionalFormatting sqref="K624:K633">
    <cfRule type="cellIs" dxfId="102" priority="70" operator="equal">
      <formula>"ng!"</formula>
    </cfRule>
  </conditionalFormatting>
  <conditionalFormatting sqref="M624:M633">
    <cfRule type="cellIs" dxfId="101" priority="69" operator="equal">
      <formula>"ng!"</formula>
    </cfRule>
  </conditionalFormatting>
  <conditionalFormatting sqref="H665:I674">
    <cfRule type="cellIs" dxfId="100" priority="66" operator="equal">
      <formula>"ng!"</formula>
    </cfRule>
  </conditionalFormatting>
  <conditionalFormatting sqref="J665:J674">
    <cfRule type="cellIs" dxfId="99" priority="65" operator="equal">
      <formula>"ng!"</formula>
    </cfRule>
  </conditionalFormatting>
  <conditionalFormatting sqref="L665:L674">
    <cfRule type="cellIs" dxfId="98" priority="64" operator="equal">
      <formula>"ng!"</formula>
    </cfRule>
  </conditionalFormatting>
  <conditionalFormatting sqref="K665:K674">
    <cfRule type="cellIs" dxfId="97" priority="63" operator="equal">
      <formula>"ng!"</formula>
    </cfRule>
  </conditionalFormatting>
  <conditionalFormatting sqref="Q641:Q650">
    <cfRule type="cellIs" dxfId="96" priority="61" operator="equal">
      <formula>"ng!"</formula>
    </cfRule>
  </conditionalFormatting>
  <conditionalFormatting sqref="M665:M674">
    <cfRule type="cellIs" dxfId="95" priority="60" operator="equal">
      <formula>"ng!"</formula>
    </cfRule>
  </conditionalFormatting>
  <conditionalFormatting sqref="P665:P674">
    <cfRule type="cellIs" dxfId="94" priority="59" operator="equal">
      <formula>"ng!"</formula>
    </cfRule>
  </conditionalFormatting>
  <conditionalFormatting sqref="R665:R674">
    <cfRule type="cellIs" dxfId="93" priority="57" operator="equal">
      <formula>"ng!"</formula>
    </cfRule>
  </conditionalFormatting>
  <conditionalFormatting sqref="T665:T674">
    <cfRule type="cellIs" dxfId="92" priority="56" operator="equal">
      <formula>"ng!"</formula>
    </cfRule>
  </conditionalFormatting>
  <conditionalFormatting sqref="C154:K154 C174:K174 C210:K210">
    <cfRule type="cellIs" dxfId="91" priority="51" operator="equal">
      <formula>1</formula>
    </cfRule>
  </conditionalFormatting>
  <conditionalFormatting sqref="E355:E404">
    <cfRule type="containsText" dxfId="90" priority="49" operator="containsText" text="NG!">
      <formula>NOT(ISERROR(SEARCH("NG!",E355)))</formula>
    </cfRule>
  </conditionalFormatting>
  <conditionalFormatting sqref="K355:K404">
    <cfRule type="containsText" dxfId="89" priority="48" operator="containsText" text="ng!">
      <formula>NOT(ISERROR(SEARCH("ng!",K355)))</formula>
    </cfRule>
  </conditionalFormatting>
  <conditionalFormatting sqref="AY298:AY347 AU298:AU347 BB428:BC477 BF428:BF477 AM624:AN633 AM641:AM650 AI641:AJ650 AO428:AQ477 AT428:AU477">
    <cfRule type="cellIs" dxfId="88" priority="43" operator="equal">
      <formula>1</formula>
    </cfRule>
  </conditionalFormatting>
  <conditionalFormatting sqref="AQ298:AQ347 AM298:AM347 AI298:AI347">
    <cfRule type="cellIs" dxfId="87" priority="42" operator="equal">
      <formula>1</formula>
    </cfRule>
  </conditionalFormatting>
  <conditionalFormatting sqref="BC298:BC347">
    <cfRule type="cellIs" dxfId="86" priority="41" operator="equal">
      <formula>1</formula>
    </cfRule>
  </conditionalFormatting>
  <conditionalFormatting sqref="BG298:BG347">
    <cfRule type="cellIs" dxfId="85" priority="40" operator="equal">
      <formula>1</formula>
    </cfRule>
  </conditionalFormatting>
  <conditionalFormatting sqref="BK298:BK347">
    <cfRule type="cellIs" dxfId="84" priority="39" operator="equal">
      <formula>1</formula>
    </cfRule>
  </conditionalFormatting>
  <conditionalFormatting sqref="BO298:BO347">
    <cfRule type="cellIs" dxfId="83" priority="37" operator="equal">
      <formula>1</formula>
    </cfRule>
  </conditionalFormatting>
  <conditionalFormatting sqref="AJ428:AJ477">
    <cfRule type="cellIs" dxfId="82" priority="35" operator="equal">
      <formula>1</formula>
    </cfRule>
  </conditionalFormatting>
  <conditionalFormatting sqref="AN428:AN477">
    <cfRule type="cellIs" dxfId="81" priority="34" operator="equal">
      <formula>1</formula>
    </cfRule>
  </conditionalFormatting>
  <conditionalFormatting sqref="BA428:BA477">
    <cfRule type="cellIs" dxfId="80" priority="33" operator="equal">
      <formula>1</formula>
    </cfRule>
  </conditionalFormatting>
  <conditionalFormatting sqref="BJ428:BJ477">
    <cfRule type="cellIs" dxfId="79" priority="29" operator="equal">
      <formula>1</formula>
    </cfRule>
  </conditionalFormatting>
  <conditionalFormatting sqref="BN428:BN477">
    <cfRule type="cellIs" dxfId="78" priority="28" operator="equal">
      <formula>1</formula>
    </cfRule>
  </conditionalFormatting>
  <conditionalFormatting sqref="BE428:BE477">
    <cfRule type="cellIs" dxfId="77" priority="27" operator="equal">
      <formula>1</formula>
    </cfRule>
  </conditionalFormatting>
  <conditionalFormatting sqref="AS428:AS477">
    <cfRule type="cellIs" dxfId="76" priority="25" operator="equal">
      <formula>1</formula>
    </cfRule>
  </conditionalFormatting>
  <conditionalFormatting sqref="AW428:AW477">
    <cfRule type="cellIs" dxfId="75" priority="24" operator="equal">
      <formula>1</formula>
    </cfRule>
  </conditionalFormatting>
  <conditionalFormatting sqref="AL624:AL633">
    <cfRule type="cellIs" dxfId="74" priority="23" operator="equal">
      <formula>1</formula>
    </cfRule>
  </conditionalFormatting>
  <conditionalFormatting sqref="AH624:AH633">
    <cfRule type="cellIs" dxfId="73" priority="22" operator="equal">
      <formula>1</formula>
    </cfRule>
  </conditionalFormatting>
  <conditionalFormatting sqref="AT624:AT633">
    <cfRule type="cellIs" dxfId="72" priority="17" operator="equal">
      <formula>1</formula>
    </cfRule>
  </conditionalFormatting>
  <conditionalFormatting sqref="AX624:AX633">
    <cfRule type="cellIs" dxfId="71" priority="16" operator="equal">
      <formula>1</formula>
    </cfRule>
  </conditionalFormatting>
  <conditionalFormatting sqref="AP624:AP633">
    <cfRule type="cellIs" dxfId="70" priority="15" operator="equal">
      <formula>1</formula>
    </cfRule>
  </conditionalFormatting>
  <conditionalFormatting sqref="AH641:AH650">
    <cfRule type="cellIs" dxfId="69" priority="13" operator="equal">
      <formula>1</formula>
    </cfRule>
  </conditionalFormatting>
  <conditionalFormatting sqref="AL641:AL650">
    <cfRule type="cellIs" dxfId="68" priority="5" operator="equal">
      <formula>1</formula>
    </cfRule>
  </conditionalFormatting>
  <conditionalFormatting sqref="R27">
    <cfRule type="containsText" dxfId="67" priority="1" operator="containsText" text="WARNING">
      <formula>NOT(ISERROR(SEARCH("WARNING",R27)))</formula>
    </cfRule>
    <cfRule type="containsText" dxfId="66" priority="2" operator="containsText" text="ERROR">
      <formula>NOT(ISERROR(SEARCH("ERROR",R27)))</formula>
    </cfRule>
  </conditionalFormatting>
  <pageMargins left="0.75" right="0.75" top="1" bottom="1" header="0.5" footer="0.5"/>
  <pageSetup scale="54" orientation="landscape" r:id="rId1"/>
  <headerFooter alignWithMargins="0">
    <oddFooter>&amp;L&amp;F   &amp;A&amp;CPage &amp;P of &amp;N&amp;R&amp;D   &amp;T</oddFooter>
  </headerFooter>
  <rowBreaks count="8" manualBreakCount="8">
    <brk id="54" max="22" man="1"/>
    <brk id="98" max="22" man="1"/>
    <brk id="144" max="22" man="1"/>
    <brk id="177" max="22" man="1"/>
    <brk id="229" max="22" man="1"/>
    <brk id="287" max="22" man="1"/>
    <brk id="408" max="22" man="1"/>
    <brk id="652" max="22" man="1"/>
  </rowBreaks>
  <ignoredErrors>
    <ignoredError sqref="P298 P299:P347" formula="1"/>
  </ignoredErrors>
  <legacyDrawing r:id="rId2"/>
  <extLst>
    <ext xmlns:x14="http://schemas.microsoft.com/office/spreadsheetml/2009/9/main" uri="{78C0D931-6437-407d-A8EE-F0AAD7539E65}">
      <x14:conditionalFormattings>
        <x14:conditionalFormatting xmlns:xm="http://schemas.microsoft.com/office/excel/2006/main">
          <x14:cfRule type="cellIs" priority="55" operator="greaterThan" id="{236452B8-402F-4949-8BCE-25363CFB2736}">
            <xm:f>INPUT!$L$71</xm:f>
            <x14:dxf>
              <font>
                <b/>
                <i val="0"/>
                <color rgb="FFFF0000"/>
              </font>
            </x14:dxf>
          </x14:cfRule>
          <xm:sqref>S641:S650</xm:sqref>
        </x14:conditionalFormatting>
        <x14:conditionalFormatting xmlns:xm="http://schemas.microsoft.com/office/excel/2006/main">
          <x14:cfRule type="cellIs" priority="52" operator="greaterThan" id="{A195A37A-DD84-4FB8-A0F3-E76F6C3002E0}">
            <xm:f>INPUT!$L$71</xm:f>
            <x14:dxf>
              <font>
                <b/>
                <i val="0"/>
                <color rgb="FFFF0000"/>
              </font>
            </x14:dxf>
          </x14:cfRule>
          <xm:sqref>W428:W477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U538"/>
  <sheetViews>
    <sheetView topLeftCell="A123" zoomScaleNormal="100" zoomScaleSheetLayoutView="100" workbookViewId="0">
      <selection activeCell="C128" sqref="C128"/>
    </sheetView>
  </sheetViews>
  <sheetFormatPr defaultRowHeight="12.75"/>
  <cols>
    <col min="1" max="5" width="10.7109375" customWidth="1"/>
    <col min="6" max="19" width="9.7109375" customWidth="1"/>
  </cols>
  <sheetData>
    <row r="1" spans="1:19">
      <c r="A1" s="70" t="s">
        <v>121</v>
      </c>
      <c r="B1" s="565" t="str">
        <f>IF(INPUT!$C$1="","",INPUT!$C$1)</f>
        <v>Test Run</v>
      </c>
      <c r="C1" s="622"/>
      <c r="D1" s="622"/>
      <c r="E1" s="622"/>
      <c r="F1" s="622"/>
      <c r="G1" s="622"/>
      <c r="H1" s="622"/>
      <c r="I1" s="71" t="s">
        <v>122</v>
      </c>
      <c r="J1" s="88" t="str">
        <f>IF(INPUT!$K$1="","",INPUT!$K$1)</f>
        <v/>
      </c>
      <c r="K1" s="70" t="s">
        <v>124</v>
      </c>
      <c r="L1" s="90" t="str">
        <f>IF(INPUT!$M$1="","",INPUT!$M$1)</f>
        <v/>
      </c>
    </row>
    <row r="2" spans="1:19">
      <c r="B2" s="566" t="str">
        <f>IF(INPUT!$C$2="","",INPUT!$C$2)</f>
        <v/>
      </c>
      <c r="C2" s="623"/>
      <c r="D2" s="623"/>
      <c r="E2" s="623"/>
      <c r="F2" s="623"/>
      <c r="G2" s="623"/>
      <c r="H2" s="623"/>
      <c r="I2" s="71" t="s">
        <v>125</v>
      </c>
      <c r="J2" s="89" t="str">
        <f>IF(INPUT!$K$2="","",INPUT!$K$2)</f>
        <v/>
      </c>
      <c r="K2" s="70" t="s">
        <v>124</v>
      </c>
      <c r="L2" s="91" t="str">
        <f>IF(INPUT!$M$2="","",INPUT!$M$2)</f>
        <v/>
      </c>
    </row>
    <row r="3" spans="1:19">
      <c r="B3" s="566" t="str">
        <f>IF(INPUT!$C$3="","",INPUT!$C$3)</f>
        <v/>
      </c>
      <c r="C3" s="623"/>
      <c r="D3" s="623"/>
      <c r="E3" s="623"/>
      <c r="F3" s="623"/>
      <c r="G3" s="623"/>
      <c r="H3" s="623"/>
      <c r="I3" s="72"/>
      <c r="J3" s="72"/>
      <c r="K3" s="1"/>
      <c r="L3" s="1"/>
    </row>
    <row r="5" spans="1:19" ht="18">
      <c r="A5" s="392" t="s">
        <v>145</v>
      </c>
      <c r="B5" s="392"/>
      <c r="C5" s="392"/>
      <c r="D5" s="392"/>
      <c r="E5" s="392"/>
      <c r="F5" s="392"/>
      <c r="G5" s="393"/>
      <c r="H5" s="392"/>
      <c r="I5" s="575" t="s">
        <v>716</v>
      </c>
      <c r="J5" s="624"/>
      <c r="K5" s="624"/>
      <c r="L5" s="576"/>
    </row>
    <row r="6" spans="1:19">
      <c r="A6" s="37"/>
      <c r="B6" s="37"/>
      <c r="C6" s="37"/>
      <c r="D6" s="37"/>
      <c r="E6" s="37"/>
      <c r="F6" s="37"/>
      <c r="G6" s="37"/>
      <c r="H6" s="37"/>
      <c r="I6" s="37"/>
      <c r="J6" s="37"/>
      <c r="K6" s="37"/>
      <c r="L6" s="37"/>
      <c r="M6" s="37"/>
      <c r="N6" s="37"/>
      <c r="O6" s="37"/>
      <c r="P6" s="37"/>
      <c r="Q6" s="37"/>
      <c r="R6" s="37"/>
      <c r="S6" s="37"/>
    </row>
    <row r="7" spans="1:19">
      <c r="A7" s="37"/>
      <c r="B7" s="37"/>
      <c r="C7" s="37"/>
      <c r="D7" s="37"/>
      <c r="E7" s="37"/>
      <c r="F7" s="37"/>
      <c r="G7" s="582" t="s">
        <v>131</v>
      </c>
      <c r="H7" s="582"/>
      <c r="I7" s="582"/>
      <c r="J7" s="582"/>
      <c r="K7" s="582"/>
      <c r="L7" s="37"/>
      <c r="M7" s="37"/>
      <c r="N7" s="37"/>
      <c r="O7" s="37"/>
      <c r="P7" s="37"/>
      <c r="Q7" s="37"/>
      <c r="R7" s="37"/>
      <c r="S7" s="37"/>
    </row>
    <row r="8" spans="1:19">
      <c r="A8" s="37"/>
      <c r="B8" s="37"/>
      <c r="C8" s="37"/>
      <c r="D8" s="37"/>
      <c r="E8" s="37"/>
      <c r="F8" s="32" t="s">
        <v>2</v>
      </c>
      <c r="G8" s="37"/>
      <c r="H8" s="32" t="s">
        <v>507</v>
      </c>
      <c r="I8" s="34" t="s">
        <v>15</v>
      </c>
      <c r="J8" s="37"/>
      <c r="K8" s="37"/>
      <c r="L8" s="37"/>
      <c r="M8" s="142"/>
      <c r="N8" s="37"/>
      <c r="O8" s="113"/>
      <c r="P8" s="37"/>
      <c r="Q8" s="37"/>
      <c r="R8" s="37"/>
    </row>
    <row r="9" spans="1:19" ht="15.75">
      <c r="A9" s="37" t="s">
        <v>303</v>
      </c>
      <c r="B9" s="37"/>
      <c r="C9" s="37"/>
      <c r="D9" s="37"/>
      <c r="E9" s="37"/>
      <c r="F9" s="37"/>
      <c r="G9" s="12" t="s">
        <v>302</v>
      </c>
      <c r="H9" s="290">
        <f>(TAN(RADIANS(45-PHI_fill/2)))^2</f>
        <v>0.33333333333333331</v>
      </c>
      <c r="I9" s="292">
        <f>H9</f>
        <v>0.33333333333333331</v>
      </c>
      <c r="J9" s="39"/>
      <c r="K9" s="142"/>
      <c r="L9" s="37"/>
      <c r="M9" s="37"/>
      <c r="N9" s="37"/>
      <c r="O9" s="102"/>
      <c r="P9" s="37"/>
      <c r="Q9" s="37"/>
      <c r="R9" s="37"/>
    </row>
    <row r="10" spans="1:19">
      <c r="A10" s="8" t="s">
        <v>305</v>
      </c>
      <c r="B10" s="37"/>
      <c r="C10" s="37"/>
      <c r="D10" s="37"/>
      <c r="E10" s="37"/>
      <c r="F10" s="37"/>
      <c r="G10" s="12"/>
      <c r="H10" s="143"/>
      <c r="I10" s="143"/>
      <c r="J10" s="39"/>
      <c r="K10" s="142"/>
      <c r="L10" s="37"/>
      <c r="M10" s="37"/>
      <c r="N10" s="37"/>
      <c r="O10" s="37"/>
      <c r="P10" s="37"/>
      <c r="Q10" s="37"/>
      <c r="R10" s="37"/>
    </row>
    <row r="11" spans="1:19">
      <c r="A11" s="37" t="s">
        <v>115</v>
      </c>
      <c r="B11" s="37"/>
      <c r="C11" s="37"/>
      <c r="D11" s="37"/>
      <c r="E11" s="37"/>
      <c r="F11" s="229" t="s">
        <v>56</v>
      </c>
      <c r="G11" s="12" t="s">
        <v>16</v>
      </c>
      <c r="H11" s="291">
        <f>H</f>
        <v>15.97</v>
      </c>
      <c r="I11" s="293">
        <f>H11</f>
        <v>15.97</v>
      </c>
      <c r="J11" s="39"/>
      <c r="K11" s="6"/>
      <c r="L11" s="229"/>
      <c r="M11" s="37"/>
      <c r="N11" s="37"/>
      <c r="O11" s="37"/>
      <c r="P11" s="37"/>
      <c r="Q11" s="37"/>
      <c r="R11" s="37"/>
    </row>
    <row r="12" spans="1:19" s="37" customFormat="1" ht="15.75">
      <c r="A12" s="37" t="s">
        <v>306</v>
      </c>
      <c r="F12" s="229" t="s">
        <v>56</v>
      </c>
      <c r="G12" s="12" t="s">
        <v>18</v>
      </c>
      <c r="H12" s="291">
        <f>H</f>
        <v>15.97</v>
      </c>
      <c r="I12" s="293">
        <f>H12</f>
        <v>15.97</v>
      </c>
      <c r="J12" s="39"/>
      <c r="K12" s="6"/>
      <c r="L12" s="229"/>
    </row>
    <row r="13" spans="1:19" ht="15.75">
      <c r="A13" s="37" t="s">
        <v>307</v>
      </c>
      <c r="B13" s="37"/>
      <c r="C13" s="37"/>
      <c r="D13" s="37"/>
      <c r="E13" s="37"/>
      <c r="F13" s="229" t="s">
        <v>56</v>
      </c>
      <c r="G13" s="12" t="s">
        <v>20</v>
      </c>
      <c r="H13" s="291">
        <f>H</f>
        <v>15.97</v>
      </c>
      <c r="I13" s="293">
        <f>H13</f>
        <v>15.97</v>
      </c>
      <c r="J13" s="39"/>
      <c r="K13" s="142"/>
      <c r="L13" s="37"/>
      <c r="M13" s="37"/>
      <c r="N13" s="37"/>
      <c r="O13" s="113"/>
      <c r="P13" s="113"/>
      <c r="Q13" s="37"/>
      <c r="R13" s="37"/>
    </row>
    <row r="14" spans="1:19">
      <c r="A14" s="37" t="s">
        <v>315</v>
      </c>
      <c r="B14" s="37"/>
      <c r="C14" s="37"/>
      <c r="D14" s="37"/>
      <c r="E14" s="37"/>
      <c r="F14" s="229" t="s">
        <v>56</v>
      </c>
      <c r="G14" s="144" t="s">
        <v>22</v>
      </c>
      <c r="H14" s="143"/>
      <c r="I14" s="293">
        <f>Tw+L_reinf</f>
        <v>21.46</v>
      </c>
      <c r="J14" s="39"/>
      <c r="K14" s="142"/>
      <c r="L14" s="37"/>
      <c r="M14" s="37"/>
      <c r="N14" s="37"/>
      <c r="O14" s="37"/>
      <c r="P14" s="37"/>
      <c r="Q14" s="37"/>
      <c r="R14" s="37"/>
    </row>
    <row r="15" spans="1:19" ht="15.75">
      <c r="A15" s="37" t="s">
        <v>61</v>
      </c>
      <c r="B15" s="37"/>
      <c r="C15" s="37"/>
      <c r="D15" s="37"/>
      <c r="E15" s="37"/>
      <c r="F15" s="229" t="s">
        <v>3</v>
      </c>
      <c r="G15" s="107" t="s">
        <v>44</v>
      </c>
      <c r="H15" s="143"/>
      <c r="I15" s="293">
        <f>45+PHI_reinf/2</f>
        <v>62</v>
      </c>
      <c r="J15" s="39"/>
      <c r="K15" s="142"/>
      <c r="L15" s="37"/>
      <c r="M15" s="37"/>
      <c r="N15" s="37"/>
      <c r="O15" s="102"/>
      <c r="P15" s="37"/>
      <c r="Q15" s="37"/>
      <c r="R15" s="37"/>
    </row>
    <row r="16" spans="1:19" ht="38.25">
      <c r="A16" s="161" t="s">
        <v>304</v>
      </c>
      <c r="B16" s="142"/>
      <c r="C16" s="37"/>
      <c r="D16" s="37"/>
      <c r="E16" s="37"/>
      <c r="F16" s="32" t="s">
        <v>2</v>
      </c>
      <c r="G16" s="12"/>
      <c r="H16" s="30" t="s">
        <v>507</v>
      </c>
      <c r="I16" s="31" t="s">
        <v>15</v>
      </c>
      <c r="J16" s="145" t="s">
        <v>311</v>
      </c>
      <c r="K16" s="10" t="s">
        <v>702</v>
      </c>
      <c r="L16" s="10"/>
      <c r="M16" s="277"/>
      <c r="N16" s="277"/>
      <c r="O16" s="277"/>
      <c r="P16" s="37"/>
      <c r="Q16" s="37"/>
      <c r="R16" s="37"/>
    </row>
    <row r="17" spans="1:21" ht="15.75">
      <c r="A17" s="37" t="s">
        <v>602</v>
      </c>
      <c r="B17" s="37"/>
      <c r="C17" s="37"/>
      <c r="D17" s="37"/>
      <c r="E17" s="37"/>
      <c r="F17" s="229" t="s">
        <v>52</v>
      </c>
      <c r="G17" s="12" t="s">
        <v>310</v>
      </c>
      <c r="H17" s="143"/>
      <c r="I17" s="293">
        <f>0.5*I11^2*MAX(I9*gamma_fill,N17/2)</f>
        <v>2.5504089999999997</v>
      </c>
      <c r="J17" s="291">
        <f>I11/3</f>
        <v>5.3233333333333333</v>
      </c>
      <c r="K17" s="277" t="s">
        <v>575</v>
      </c>
      <c r="L17" s="296">
        <f>I9*(2*gamma_fill)/1</f>
        <v>3.9999999999999994E-2</v>
      </c>
      <c r="M17" s="304" t="str">
        <f>IF(L17&gt;=N17,"&gt;","&lt;")</f>
        <v>&gt;</v>
      </c>
      <c r="N17" s="296">
        <f>INPUT!Q29</f>
        <v>3.5000000000000003E-2</v>
      </c>
      <c r="O17" s="212" t="s">
        <v>703</v>
      </c>
      <c r="P17" s="574" t="str">
        <f>IF(L17&gt;=N17,"  OK","WARNING - PROPERTIES OF FILL RESULT IN A DESIGN EARTH PRESSURE LOWER THAN THE MINIMUM REQUIRED. A MINIMUM PRESSURE OF "&amp;(N17)&amp;" ksf/ft WILL BE USED TO CALCULATE LATERAL EARTH PRESSURE FORCES.")</f>
        <v xml:space="preserve">  OK</v>
      </c>
      <c r="Q17" s="574"/>
      <c r="R17" s="574"/>
      <c r="S17" s="574"/>
      <c r="T17" s="298"/>
      <c r="U17" s="298"/>
    </row>
    <row r="18" spans="1:21" ht="15.75">
      <c r="A18" s="37" t="s">
        <v>421</v>
      </c>
      <c r="B18" s="37"/>
      <c r="C18" s="37"/>
      <c r="D18" s="37"/>
      <c r="E18" s="37"/>
      <c r="F18" s="229" t="s">
        <v>52</v>
      </c>
      <c r="G18" s="12" t="s">
        <v>325</v>
      </c>
      <c r="H18" s="143"/>
      <c r="I18" s="293">
        <f>H*L_reinf*gamma_reinf</f>
        <v>20.122199999999999</v>
      </c>
      <c r="J18" s="291">
        <f>Tw+0.5*L_reinf</f>
        <v>10.96</v>
      </c>
      <c r="L18" s="297"/>
      <c r="M18" s="297"/>
      <c r="N18" s="297"/>
      <c r="O18" s="297"/>
      <c r="P18" s="574"/>
      <c r="Q18" s="574"/>
      <c r="R18" s="574"/>
      <c r="S18" s="574"/>
      <c r="T18" s="298"/>
      <c r="U18" s="298"/>
    </row>
    <row r="19" spans="1:21" ht="15.75">
      <c r="A19" s="37" t="s">
        <v>420</v>
      </c>
      <c r="B19" s="37"/>
      <c r="C19" s="37"/>
      <c r="D19" s="37"/>
      <c r="E19" s="37"/>
      <c r="F19" s="229" t="s">
        <v>52</v>
      </c>
      <c r="G19" s="12" t="s">
        <v>327</v>
      </c>
      <c r="H19" s="143"/>
      <c r="I19" s="293">
        <f>0.5*DC*Tw*H</f>
        <v>0.55096500000000004</v>
      </c>
      <c r="J19" s="291">
        <f>0.5*Tw</f>
        <v>0.23</v>
      </c>
      <c r="K19" s="297"/>
      <c r="L19" s="297"/>
      <c r="M19" s="297"/>
      <c r="N19" s="297"/>
      <c r="O19" s="297"/>
      <c r="P19" s="574"/>
      <c r="Q19" s="574"/>
      <c r="R19" s="574"/>
      <c r="S19" s="574"/>
      <c r="T19" s="298"/>
      <c r="U19" s="298"/>
    </row>
    <row r="20" spans="1:21" ht="15.75">
      <c r="A20" s="37" t="s">
        <v>405</v>
      </c>
      <c r="B20" s="37"/>
      <c r="C20" s="37"/>
      <c r="D20" s="37"/>
      <c r="E20" s="37"/>
      <c r="F20" s="146" t="s">
        <v>116</v>
      </c>
      <c r="G20" s="12" t="s">
        <v>591</v>
      </c>
      <c r="H20" s="143"/>
      <c r="I20" s="293">
        <f>gamma_fill*heq_t</f>
        <v>0.18</v>
      </c>
      <c r="J20" s="143"/>
      <c r="K20" s="37"/>
      <c r="L20" s="277"/>
      <c r="M20" s="277"/>
      <c r="N20" s="37"/>
      <c r="O20" s="37"/>
      <c r="P20" s="574"/>
      <c r="Q20" s="574"/>
      <c r="R20" s="574"/>
      <c r="S20" s="574"/>
      <c r="T20" s="298"/>
      <c r="U20" s="298"/>
    </row>
    <row r="21" spans="1:21" ht="19.5">
      <c r="A21" s="37" t="s">
        <v>402</v>
      </c>
      <c r="B21" s="37"/>
      <c r="C21" s="37"/>
      <c r="D21" s="37"/>
      <c r="E21" s="37"/>
      <c r="F21" s="229" t="s">
        <v>52</v>
      </c>
      <c r="G21" s="12" t="s">
        <v>592</v>
      </c>
      <c r="H21" s="291">
        <f>MAX(I20*L_reinf,0)</f>
        <v>3.78</v>
      </c>
      <c r="I21" s="293">
        <f>H21</f>
        <v>3.78</v>
      </c>
      <c r="J21" s="291">
        <f>Tw+0.5*L_reinf</f>
        <v>10.96</v>
      </c>
      <c r="K21" s="142"/>
      <c r="L21" s="37"/>
      <c r="M21" s="37"/>
      <c r="N21" s="37"/>
      <c r="O21" s="102"/>
      <c r="P21" s="574"/>
      <c r="Q21" s="574"/>
      <c r="R21" s="574"/>
      <c r="S21" s="574"/>
    </row>
    <row r="22" spans="1:21" ht="19.5">
      <c r="A22" s="37" t="s">
        <v>403</v>
      </c>
      <c r="B22" s="37"/>
      <c r="C22" s="37"/>
      <c r="D22" s="37"/>
      <c r="E22" s="37"/>
      <c r="F22" s="229" t="s">
        <v>52</v>
      </c>
      <c r="G22" s="12" t="s">
        <v>596</v>
      </c>
      <c r="H22" s="291">
        <f>MAX(I9*I20*I11,0)</f>
        <v>0.95820000000000005</v>
      </c>
      <c r="I22" s="293">
        <f>H22</f>
        <v>0.95820000000000005</v>
      </c>
      <c r="J22" s="291">
        <f>0.5*I11</f>
        <v>7.9850000000000003</v>
      </c>
      <c r="K22" s="37"/>
      <c r="L22" s="37"/>
      <c r="M22" s="37"/>
      <c r="N22" s="37"/>
      <c r="O22" s="102"/>
      <c r="P22" s="37"/>
      <c r="Q22" s="37"/>
      <c r="R22" s="37"/>
    </row>
    <row r="23" spans="1:21" ht="15.75">
      <c r="A23" s="37" t="s">
        <v>600</v>
      </c>
      <c r="B23" s="37"/>
      <c r="C23" s="37"/>
      <c r="D23" s="37"/>
      <c r="E23" s="37"/>
      <c r="F23" s="146" t="s">
        <v>116</v>
      </c>
      <c r="G23" s="12" t="s">
        <v>597</v>
      </c>
      <c r="H23" s="143"/>
      <c r="I23" s="293">
        <f>gamma_fill*2</f>
        <v>0.12</v>
      </c>
      <c r="J23" s="291">
        <f>Tw+0.5*L_reinf</f>
        <v>10.96</v>
      </c>
      <c r="K23" s="37"/>
      <c r="L23" s="37"/>
      <c r="M23" s="37"/>
      <c r="N23" s="37"/>
      <c r="O23" s="102"/>
      <c r="P23" s="37"/>
      <c r="Q23" s="37"/>
      <c r="R23" s="37"/>
    </row>
    <row r="24" spans="1:21" ht="19.5">
      <c r="A24" s="37" t="s">
        <v>437</v>
      </c>
      <c r="B24" s="37"/>
      <c r="C24" s="37"/>
      <c r="D24" s="37"/>
      <c r="E24" s="37"/>
      <c r="F24" s="229" t="s">
        <v>52</v>
      </c>
      <c r="G24" s="12" t="s">
        <v>598</v>
      </c>
      <c r="H24" s="291">
        <f>MAX(I23*L_reinf,0)</f>
        <v>2.52</v>
      </c>
      <c r="I24" s="293">
        <f>H24</f>
        <v>2.52</v>
      </c>
      <c r="J24" s="291">
        <f>Tw+0.5*L_reinf</f>
        <v>10.96</v>
      </c>
      <c r="K24" s="37"/>
      <c r="L24" s="37"/>
      <c r="M24" s="37"/>
      <c r="N24" s="37"/>
      <c r="O24" s="37"/>
      <c r="P24" s="37"/>
      <c r="Q24" s="37"/>
      <c r="R24" s="37"/>
    </row>
    <row r="25" spans="1:21" ht="15.75">
      <c r="A25" s="142" t="s">
        <v>429</v>
      </c>
      <c r="B25" s="142"/>
      <c r="C25" s="142"/>
      <c r="D25" s="142"/>
      <c r="E25" s="142"/>
      <c r="F25" s="87" t="s">
        <v>52</v>
      </c>
      <c r="G25" s="144" t="s">
        <v>428</v>
      </c>
      <c r="H25" s="143"/>
      <c r="I25" s="293">
        <f>Pv</f>
        <v>1.1815</v>
      </c>
      <c r="J25" s="531"/>
      <c r="K25" s="142"/>
      <c r="L25" s="37"/>
      <c r="M25" s="37"/>
      <c r="N25" s="37"/>
      <c r="O25" s="37"/>
    </row>
    <row r="26" spans="1:21">
      <c r="A26" s="37"/>
      <c r="B26" s="37"/>
      <c r="C26" s="37"/>
      <c r="D26" s="37"/>
      <c r="E26" s="37"/>
      <c r="F26" s="37"/>
      <c r="G26" s="37"/>
      <c r="H26" s="39"/>
      <c r="I26" s="143"/>
      <c r="J26" s="39"/>
      <c r="K26" s="37"/>
      <c r="L26" s="143"/>
      <c r="M26" s="39"/>
      <c r="N26" s="37"/>
      <c r="O26" s="37"/>
      <c r="P26" s="37"/>
      <c r="Q26" s="37"/>
      <c r="R26" s="37"/>
    </row>
    <row r="27" spans="1:21" s="37" customFormat="1">
      <c r="A27" s="8" t="s">
        <v>318</v>
      </c>
      <c r="F27" s="32" t="s">
        <v>2</v>
      </c>
      <c r="H27" s="30" t="s">
        <v>507</v>
      </c>
      <c r="I27" s="31" t="s">
        <v>15</v>
      </c>
      <c r="J27" s="39"/>
      <c r="L27" s="39"/>
      <c r="M27" s="39"/>
    </row>
    <row r="28" spans="1:21" s="37" customFormat="1" ht="15.75">
      <c r="A28" s="37" t="s">
        <v>319</v>
      </c>
      <c r="F28" s="229"/>
      <c r="G28" s="37" t="s">
        <v>320</v>
      </c>
      <c r="H28" s="143"/>
      <c r="I28" s="293">
        <f>(1.45-A)*A</f>
        <v>6.9999999999999993E-2</v>
      </c>
      <c r="J28" s="143"/>
      <c r="L28" s="39"/>
      <c r="M28" s="39"/>
    </row>
    <row r="29" spans="1:21" s="37" customFormat="1" ht="15.75">
      <c r="A29" s="37" t="s">
        <v>604</v>
      </c>
      <c r="F29" s="229" t="s">
        <v>52</v>
      </c>
      <c r="G29" s="37" t="s">
        <v>601</v>
      </c>
      <c r="H29" s="143"/>
      <c r="I29" s="293">
        <f>0.5*I28*gamma_reinf*I12^2</f>
        <v>0.53558589000000001</v>
      </c>
      <c r="J29" s="291">
        <f>0.5*I12</f>
        <v>7.9850000000000003</v>
      </c>
      <c r="L29" s="39"/>
      <c r="M29" s="39"/>
    </row>
    <row r="30" spans="1:21" s="37" customFormat="1" ht="15.75">
      <c r="A30" s="37" t="s">
        <v>605</v>
      </c>
      <c r="F30" s="229" t="s">
        <v>52</v>
      </c>
      <c r="G30" s="37" t="s">
        <v>433</v>
      </c>
      <c r="H30" s="143"/>
      <c r="I30" s="293">
        <f>0.5*(0.375*I28*gamma_fill*I12^2)</f>
        <v>0.20084470874999996</v>
      </c>
      <c r="J30" s="291">
        <f>0.6*I12</f>
        <v>9.5820000000000007</v>
      </c>
    </row>
    <row r="31" spans="1:21" s="37" customFormat="1" ht="15.75">
      <c r="A31" s="37" t="s">
        <v>444</v>
      </c>
      <c r="F31" s="229" t="s">
        <v>52</v>
      </c>
      <c r="G31" s="37" t="s">
        <v>443</v>
      </c>
      <c r="H31" s="291">
        <f>IF(Type_Reinf="g",0.5*gamma_reinf*H^2/TAN(RADIANS(psi_r)),gamma_reinf*(0.3*0.5*I13^2*1.5))</f>
        <v>3.4430521499999998</v>
      </c>
      <c r="I31" s="293">
        <f>H31</f>
        <v>3.4430521499999998</v>
      </c>
      <c r="J31" s="143"/>
      <c r="L31" s="102"/>
    </row>
    <row r="32" spans="1:21" s="37" customFormat="1" ht="15.75">
      <c r="A32" s="37" t="s">
        <v>441</v>
      </c>
      <c r="F32" s="229" t="s">
        <v>52</v>
      </c>
      <c r="G32" s="37" t="s">
        <v>340</v>
      </c>
      <c r="H32" s="291">
        <f>Am*H31</f>
        <v>0.24101365049999995</v>
      </c>
      <c r="I32" s="293">
        <f>H32</f>
        <v>0.24101365049999995</v>
      </c>
      <c r="J32" s="143"/>
    </row>
    <row r="33" spans="1:15">
      <c r="J33" s="9"/>
    </row>
    <row r="34" spans="1:15">
      <c r="A34" s="8" t="s">
        <v>410</v>
      </c>
    </row>
    <row r="36" spans="1:15">
      <c r="B36" s="305" t="s">
        <v>5</v>
      </c>
      <c r="C36" s="593" t="s">
        <v>6</v>
      </c>
      <c r="D36" s="607" t="s">
        <v>7</v>
      </c>
      <c r="E36" s="607"/>
      <c r="F36" s="641" t="s">
        <v>8</v>
      </c>
      <c r="G36" s="641"/>
      <c r="H36" s="641" t="s">
        <v>9</v>
      </c>
      <c r="I36" s="641"/>
    </row>
    <row r="37" spans="1:15">
      <c r="B37" s="338" t="s">
        <v>11</v>
      </c>
      <c r="C37" s="594"/>
      <c r="D37" s="339" t="s">
        <v>12</v>
      </c>
      <c r="E37" s="327" t="s">
        <v>13</v>
      </c>
      <c r="F37" s="325" t="s">
        <v>12</v>
      </c>
      <c r="G37" s="327" t="s">
        <v>13</v>
      </c>
      <c r="H37" s="325" t="s">
        <v>12</v>
      </c>
      <c r="I37" s="327" t="s">
        <v>13</v>
      </c>
    </row>
    <row r="38" spans="1:15" ht="15">
      <c r="B38" s="307" t="s">
        <v>580</v>
      </c>
      <c r="C38" s="308">
        <v>1</v>
      </c>
      <c r="D38" s="325">
        <v>0.9</v>
      </c>
      <c r="E38" s="327">
        <v>1.25</v>
      </c>
      <c r="F38" s="325">
        <v>0.9</v>
      </c>
      <c r="G38" s="327">
        <v>1.25</v>
      </c>
      <c r="H38" s="325">
        <v>0.9</v>
      </c>
      <c r="I38" s="327">
        <v>1.25</v>
      </c>
    </row>
    <row r="39" spans="1:15" ht="15">
      <c r="B39" s="307" t="s">
        <v>595</v>
      </c>
      <c r="C39" s="308">
        <v>1</v>
      </c>
      <c r="D39" s="325">
        <v>1</v>
      </c>
      <c r="E39" s="327">
        <v>1.35</v>
      </c>
      <c r="F39" s="325">
        <v>1</v>
      </c>
      <c r="G39" s="327">
        <v>1.35</v>
      </c>
      <c r="H39" s="325">
        <v>1</v>
      </c>
      <c r="I39" s="327">
        <v>1.35</v>
      </c>
    </row>
    <row r="40" spans="1:15" ht="15">
      <c r="B40" s="307" t="s">
        <v>594</v>
      </c>
      <c r="C40" s="308">
        <v>1</v>
      </c>
      <c r="D40" s="325">
        <v>1.5</v>
      </c>
      <c r="E40" s="327">
        <v>1.5</v>
      </c>
      <c r="F40" s="325">
        <v>1.5</v>
      </c>
      <c r="G40" s="327">
        <v>1.5</v>
      </c>
      <c r="H40" s="325"/>
      <c r="I40" s="327"/>
    </row>
    <row r="41" spans="1:15" ht="15.75">
      <c r="B41" s="307" t="s">
        <v>583</v>
      </c>
      <c r="C41" s="308">
        <v>1</v>
      </c>
      <c r="D41" s="325">
        <v>0.75</v>
      </c>
      <c r="E41" s="327">
        <v>1.5</v>
      </c>
      <c r="F41" s="325">
        <v>0.75</v>
      </c>
      <c r="G41" s="327">
        <v>1.5</v>
      </c>
      <c r="H41" s="325">
        <v>0.75</v>
      </c>
      <c r="I41" s="327">
        <v>1.5</v>
      </c>
    </row>
    <row r="42" spans="1:15" ht="15.75">
      <c r="B42" s="307" t="s">
        <v>584</v>
      </c>
      <c r="C42" s="308">
        <v>1</v>
      </c>
      <c r="D42" s="325">
        <v>1.5</v>
      </c>
      <c r="E42" s="327">
        <v>1.5</v>
      </c>
      <c r="F42" s="325">
        <v>1.5</v>
      </c>
      <c r="G42" s="327">
        <v>1.5</v>
      </c>
      <c r="H42" s="325">
        <v>1.5</v>
      </c>
      <c r="I42" s="327">
        <v>1.5</v>
      </c>
    </row>
    <row r="43" spans="1:15" ht="15">
      <c r="B43" s="307" t="s">
        <v>593</v>
      </c>
      <c r="C43" s="308">
        <v>1</v>
      </c>
      <c r="D43" s="325">
        <v>1.75</v>
      </c>
      <c r="E43" s="327">
        <v>1.75</v>
      </c>
      <c r="F43" s="325"/>
      <c r="G43" s="327"/>
      <c r="H43" s="325">
        <v>0</v>
      </c>
      <c r="I43" s="327">
        <v>0</v>
      </c>
      <c r="O43" s="102"/>
    </row>
    <row r="44" spans="1:15" ht="15">
      <c r="B44" s="307" t="s">
        <v>585</v>
      </c>
      <c r="C44" s="308"/>
      <c r="D44" s="325"/>
      <c r="E44" s="327"/>
      <c r="F44" s="325"/>
      <c r="G44" s="327"/>
      <c r="H44" s="325">
        <v>1</v>
      </c>
      <c r="I44" s="327">
        <v>1</v>
      </c>
    </row>
    <row r="45" spans="1:15">
      <c r="J45" s="102"/>
    </row>
    <row r="47" spans="1:15">
      <c r="A47" s="8" t="s">
        <v>411</v>
      </c>
    </row>
    <row r="49" spans="1:15">
      <c r="A49" s="1" t="s">
        <v>412</v>
      </c>
      <c r="C49" s="593" t="s">
        <v>6</v>
      </c>
      <c r="D49" s="633" t="s">
        <v>7</v>
      </c>
      <c r="E49" s="635"/>
      <c r="F49" s="633" t="s">
        <v>8</v>
      </c>
      <c r="G49" s="635"/>
      <c r="H49" s="633" t="s">
        <v>9</v>
      </c>
      <c r="I49" s="635"/>
    </row>
    <row r="50" spans="1:15">
      <c r="A50" s="10"/>
      <c r="C50" s="594"/>
      <c r="D50" s="280" t="s">
        <v>12</v>
      </c>
      <c r="E50" s="342" t="s">
        <v>13</v>
      </c>
      <c r="F50" s="279" t="s">
        <v>12</v>
      </c>
      <c r="G50" s="342" t="s">
        <v>13</v>
      </c>
      <c r="H50" s="279" t="s">
        <v>12</v>
      </c>
      <c r="I50" s="342" t="s">
        <v>13</v>
      </c>
    </row>
    <row r="51" spans="1:15" ht="15.75">
      <c r="A51" s="168" t="s">
        <v>327</v>
      </c>
      <c r="B51" s="169" t="s">
        <v>332</v>
      </c>
      <c r="C51" s="345">
        <f>$I$19*C38</f>
        <v>0.55096500000000004</v>
      </c>
      <c r="D51" s="346">
        <f t="shared" ref="D51:I51" si="0">$I$19*D38</f>
        <v>0.49586850000000005</v>
      </c>
      <c r="E51" s="347">
        <f t="shared" si="0"/>
        <v>0.68870625000000008</v>
      </c>
      <c r="F51" s="346">
        <f t="shared" si="0"/>
        <v>0.49586850000000005</v>
      </c>
      <c r="G51" s="347">
        <f t="shared" si="0"/>
        <v>0.68870625000000008</v>
      </c>
      <c r="H51" s="346">
        <f t="shared" si="0"/>
        <v>0.49586850000000005</v>
      </c>
      <c r="I51" s="347">
        <f t="shared" si="0"/>
        <v>0.68870625000000008</v>
      </c>
    </row>
    <row r="52" spans="1:15" ht="15.75">
      <c r="A52" s="168" t="s">
        <v>325</v>
      </c>
      <c r="B52" s="244" t="s">
        <v>333</v>
      </c>
      <c r="C52" s="345">
        <f>$I$18*C39</f>
        <v>20.122199999999999</v>
      </c>
      <c r="D52" s="346">
        <f t="shared" ref="D52:I52" si="1">$I$18*D39</f>
        <v>20.122199999999999</v>
      </c>
      <c r="E52" s="347">
        <f t="shared" si="1"/>
        <v>27.16497</v>
      </c>
      <c r="F52" s="346">
        <f t="shared" si="1"/>
        <v>20.122199999999999</v>
      </c>
      <c r="G52" s="347">
        <f t="shared" si="1"/>
        <v>27.16497</v>
      </c>
      <c r="H52" s="346">
        <f t="shared" si="1"/>
        <v>20.122199999999999</v>
      </c>
      <c r="I52" s="347">
        <f t="shared" si="1"/>
        <v>27.16497</v>
      </c>
    </row>
    <row r="53" spans="1:15" ht="19.5">
      <c r="A53" s="245" t="s">
        <v>598</v>
      </c>
      <c r="B53" s="244" t="s">
        <v>599</v>
      </c>
      <c r="C53" s="345">
        <f>$I$24*C41</f>
        <v>2.52</v>
      </c>
      <c r="D53" s="346">
        <f t="shared" ref="D53:I53" si="2">$I$24*D41</f>
        <v>1.8900000000000001</v>
      </c>
      <c r="E53" s="347">
        <f t="shared" si="2"/>
        <v>3.7800000000000002</v>
      </c>
      <c r="F53" s="346">
        <f t="shared" si="2"/>
        <v>1.8900000000000001</v>
      </c>
      <c r="G53" s="347">
        <f t="shared" si="2"/>
        <v>3.7800000000000002</v>
      </c>
      <c r="H53" s="346">
        <f t="shared" si="2"/>
        <v>1.8900000000000001</v>
      </c>
      <c r="I53" s="347">
        <f t="shared" si="2"/>
        <v>3.7800000000000002</v>
      </c>
    </row>
    <row r="54" spans="1:15" ht="20.25" thickBot="1">
      <c r="A54" s="350" t="s">
        <v>592</v>
      </c>
      <c r="B54" s="316" t="s">
        <v>331</v>
      </c>
      <c r="C54" s="351">
        <f>$I$21*C43</f>
        <v>3.78</v>
      </c>
      <c r="D54" s="352">
        <f t="shared" ref="D54:I54" si="3">$I$21*D43</f>
        <v>6.6149999999999993</v>
      </c>
      <c r="E54" s="353">
        <f t="shared" si="3"/>
        <v>6.6149999999999993</v>
      </c>
      <c r="F54" s="352">
        <f t="shared" si="3"/>
        <v>0</v>
      </c>
      <c r="G54" s="353">
        <f t="shared" si="3"/>
        <v>0</v>
      </c>
      <c r="H54" s="352">
        <f t="shared" si="3"/>
        <v>0</v>
      </c>
      <c r="I54" s="353">
        <f t="shared" si="3"/>
        <v>0</v>
      </c>
    </row>
    <row r="55" spans="1:15" ht="16.5" thickTop="1">
      <c r="A55" s="614" t="s">
        <v>448</v>
      </c>
      <c r="B55" s="620"/>
      <c r="C55" s="378">
        <f>SUM(C51:C54)</f>
        <v>26.973165000000002</v>
      </c>
      <c r="D55" s="379">
        <f t="shared" ref="D55:I55" si="4">SUM(D51:D54)</f>
        <v>29.123068499999999</v>
      </c>
      <c r="E55" s="380">
        <f t="shared" si="4"/>
        <v>38.248676250000003</v>
      </c>
      <c r="F55" s="379">
        <f t="shared" si="4"/>
        <v>22.5080685</v>
      </c>
      <c r="G55" s="380">
        <f t="shared" si="4"/>
        <v>31.633676250000001</v>
      </c>
      <c r="H55" s="379">
        <f t="shared" si="4"/>
        <v>22.5080685</v>
      </c>
      <c r="I55" s="380">
        <f t="shared" si="4"/>
        <v>31.633676250000001</v>
      </c>
      <c r="J55" s="37" t="s">
        <v>52</v>
      </c>
    </row>
    <row r="56" spans="1:15" ht="15.75">
      <c r="A56" s="625" t="s">
        <v>449</v>
      </c>
      <c r="B56" s="638"/>
      <c r="C56" s="370">
        <f>SUM(C51:C53)</f>
        <v>23.193165</v>
      </c>
      <c r="D56" s="371">
        <f t="shared" ref="D56:I56" si="5">SUM(D51:D53)</f>
        <v>22.5080685</v>
      </c>
      <c r="E56" s="372">
        <f t="shared" si="5"/>
        <v>31.633676250000001</v>
      </c>
      <c r="F56" s="371">
        <f t="shared" si="5"/>
        <v>22.5080685</v>
      </c>
      <c r="G56" s="372">
        <f t="shared" si="5"/>
        <v>31.633676250000001</v>
      </c>
      <c r="H56" s="371">
        <f t="shared" si="5"/>
        <v>22.5080685</v>
      </c>
      <c r="I56" s="372">
        <f t="shared" si="5"/>
        <v>31.633676250000001</v>
      </c>
      <c r="J56" s="37" t="s">
        <v>52</v>
      </c>
    </row>
    <row r="57" spans="1:15">
      <c r="C57" s="17"/>
      <c r="D57" s="17"/>
      <c r="E57" s="17"/>
      <c r="F57" s="17"/>
      <c r="G57" s="17"/>
      <c r="H57" s="17"/>
      <c r="I57" s="17"/>
    </row>
    <row r="58" spans="1:15">
      <c r="A58" s="1" t="s">
        <v>413</v>
      </c>
      <c r="B58" s="37"/>
      <c r="C58" s="593" t="s">
        <v>6</v>
      </c>
      <c r="D58" s="639" t="s">
        <v>7</v>
      </c>
      <c r="E58" s="640"/>
      <c r="F58" s="639" t="s">
        <v>8</v>
      </c>
      <c r="G58" s="640"/>
      <c r="H58" s="639" t="s">
        <v>9</v>
      </c>
      <c r="I58" s="640"/>
      <c r="J58" s="102"/>
    </row>
    <row r="59" spans="1:15">
      <c r="A59" s="10"/>
      <c r="B59" s="37"/>
      <c r="C59" s="594"/>
      <c r="D59" s="340" t="s">
        <v>12</v>
      </c>
      <c r="E59" s="343" t="s">
        <v>13</v>
      </c>
      <c r="F59" s="288" t="s">
        <v>12</v>
      </c>
      <c r="G59" s="343" t="s">
        <v>13</v>
      </c>
      <c r="H59" s="288" t="s">
        <v>12</v>
      </c>
      <c r="I59" s="343" t="s">
        <v>13</v>
      </c>
    </row>
    <row r="60" spans="1:15" ht="15.75">
      <c r="A60" s="54" t="s">
        <v>310</v>
      </c>
      <c r="B60" s="243" t="s">
        <v>330</v>
      </c>
      <c r="C60" s="348">
        <f>$I$17*C40</f>
        <v>2.5504089999999997</v>
      </c>
      <c r="D60" s="349">
        <f t="shared" ref="D60:I60" si="6">$I$17*D40</f>
        <v>3.8256134999999993</v>
      </c>
      <c r="E60" s="347">
        <f t="shared" si="6"/>
        <v>3.8256134999999993</v>
      </c>
      <c r="F60" s="349">
        <f t="shared" si="6"/>
        <v>3.8256134999999993</v>
      </c>
      <c r="G60" s="347">
        <f t="shared" si="6"/>
        <v>3.8256134999999993</v>
      </c>
      <c r="H60" s="349">
        <f t="shared" si="6"/>
        <v>0</v>
      </c>
      <c r="I60" s="347">
        <f t="shared" si="6"/>
        <v>0</v>
      </c>
    </row>
    <row r="61" spans="1:15" ht="19.5">
      <c r="A61" s="245" t="s">
        <v>596</v>
      </c>
      <c r="B61" s="169" t="s">
        <v>331</v>
      </c>
      <c r="C61" s="348">
        <f>$I$22*C43</f>
        <v>0.95820000000000005</v>
      </c>
      <c r="D61" s="349">
        <f t="shared" ref="D61:I61" si="7">$I$22*D43</f>
        <v>1.6768500000000002</v>
      </c>
      <c r="E61" s="347">
        <f t="shared" si="7"/>
        <v>1.6768500000000002</v>
      </c>
      <c r="F61" s="349">
        <f t="shared" si="7"/>
        <v>0</v>
      </c>
      <c r="G61" s="347">
        <f t="shared" si="7"/>
        <v>0</v>
      </c>
      <c r="H61" s="349">
        <f t="shared" si="7"/>
        <v>0</v>
      </c>
      <c r="I61" s="347">
        <f t="shared" si="7"/>
        <v>0</v>
      </c>
    </row>
    <row r="62" spans="1:15" ht="15.75">
      <c r="A62" s="54" t="s">
        <v>601</v>
      </c>
      <c r="B62" s="610" t="s">
        <v>334</v>
      </c>
      <c r="C62" s="348">
        <f>$I$29*C44</f>
        <v>0</v>
      </c>
      <c r="D62" s="349">
        <f t="shared" ref="D62:I62" si="8">$I$29*D44</f>
        <v>0</v>
      </c>
      <c r="E62" s="347">
        <f t="shared" si="8"/>
        <v>0</v>
      </c>
      <c r="F62" s="349">
        <f t="shared" si="8"/>
        <v>0</v>
      </c>
      <c r="G62" s="347">
        <f t="shared" si="8"/>
        <v>0</v>
      </c>
      <c r="H62" s="349">
        <f t="shared" si="8"/>
        <v>0.53558589000000001</v>
      </c>
      <c r="I62" s="347">
        <f t="shared" si="8"/>
        <v>0.53558589000000001</v>
      </c>
    </row>
    <row r="63" spans="1:15" ht="16.5" thickBot="1">
      <c r="A63" s="317" t="s">
        <v>433</v>
      </c>
      <c r="B63" s="611"/>
      <c r="C63" s="354">
        <f>$I$30*C44</f>
        <v>0</v>
      </c>
      <c r="D63" s="355">
        <f t="shared" ref="D63:I63" si="9">$I$30*D44</f>
        <v>0</v>
      </c>
      <c r="E63" s="353">
        <f t="shared" si="9"/>
        <v>0</v>
      </c>
      <c r="F63" s="355">
        <f t="shared" si="9"/>
        <v>0</v>
      </c>
      <c r="G63" s="353">
        <f t="shared" si="9"/>
        <v>0</v>
      </c>
      <c r="H63" s="355">
        <f t="shared" si="9"/>
        <v>0.20084470874999996</v>
      </c>
      <c r="I63" s="353">
        <f t="shared" si="9"/>
        <v>0.20084470874999996</v>
      </c>
    </row>
    <row r="64" spans="1:15" ht="13.5" thickTop="1">
      <c r="A64" s="625" t="s">
        <v>450</v>
      </c>
      <c r="B64" s="638"/>
      <c r="C64" s="370">
        <f>SUM(C60:C63)</f>
        <v>3.5086089999999999</v>
      </c>
      <c r="D64" s="371">
        <f t="shared" ref="D64:I64" si="10">SUM(D60:D63)</f>
        <v>5.5024634999999993</v>
      </c>
      <c r="E64" s="372">
        <f t="shared" si="10"/>
        <v>5.5024634999999993</v>
      </c>
      <c r="F64" s="371">
        <f t="shared" si="10"/>
        <v>3.8256134999999993</v>
      </c>
      <c r="G64" s="372">
        <f t="shared" si="10"/>
        <v>3.8256134999999993</v>
      </c>
      <c r="H64" s="371">
        <f t="shared" si="10"/>
        <v>0.73643059874999994</v>
      </c>
      <c r="I64" s="372">
        <f t="shared" si="10"/>
        <v>0.73643059874999994</v>
      </c>
      <c r="J64" s="37" t="s">
        <v>52</v>
      </c>
      <c r="O64" s="102"/>
    </row>
    <row r="67" spans="1:12">
      <c r="A67" s="8" t="s">
        <v>414</v>
      </c>
    </row>
    <row r="69" spans="1:12">
      <c r="A69" s="1" t="s">
        <v>415</v>
      </c>
    </row>
    <row r="70" spans="1:12">
      <c r="D70" s="234"/>
      <c r="E70" s="234"/>
      <c r="F70" s="234"/>
      <c r="G70" s="234"/>
      <c r="H70" s="234"/>
      <c r="I70" s="234"/>
      <c r="J70" s="234"/>
      <c r="K70" s="234"/>
      <c r="L70" s="234"/>
    </row>
    <row r="71" spans="1:12">
      <c r="A71" s="37" t="s">
        <v>705</v>
      </c>
      <c r="C71" s="15" t="s">
        <v>26</v>
      </c>
      <c r="D71" s="593" t="s">
        <v>6</v>
      </c>
      <c r="E71" s="589" t="s">
        <v>7</v>
      </c>
      <c r="F71" s="590"/>
      <c r="G71" s="589" t="s">
        <v>8</v>
      </c>
      <c r="H71" s="590"/>
      <c r="I71" s="589" t="s">
        <v>9</v>
      </c>
      <c r="J71" s="590"/>
    </row>
    <row r="72" spans="1:12">
      <c r="A72" s="37" t="s">
        <v>447</v>
      </c>
      <c r="C72" s="28" t="s">
        <v>28</v>
      </c>
      <c r="D72" s="594"/>
      <c r="E72" s="254" t="s">
        <v>12</v>
      </c>
      <c r="F72" s="320" t="s">
        <v>13</v>
      </c>
      <c r="G72" s="60" t="s">
        <v>12</v>
      </c>
      <c r="H72" s="320" t="s">
        <v>13</v>
      </c>
      <c r="I72" s="60" t="s">
        <v>12</v>
      </c>
      <c r="J72" s="320" t="s">
        <v>13</v>
      </c>
    </row>
    <row r="73" spans="1:12" ht="15.75">
      <c r="A73" s="168" t="s">
        <v>327</v>
      </c>
      <c r="B73" s="169" t="s">
        <v>332</v>
      </c>
      <c r="C73" s="335">
        <f>J19</f>
        <v>0.23</v>
      </c>
      <c r="D73" s="335">
        <f>$C73*C51</f>
        <v>0.12672195000000003</v>
      </c>
      <c r="E73" s="329">
        <f t="shared" ref="E73:J73" si="11">$C73*D51</f>
        <v>0.11404975500000002</v>
      </c>
      <c r="F73" s="330">
        <f t="shared" si="11"/>
        <v>0.15840243750000002</v>
      </c>
      <c r="G73" s="329">
        <f t="shared" si="11"/>
        <v>0.11404975500000002</v>
      </c>
      <c r="H73" s="330">
        <f t="shared" si="11"/>
        <v>0.15840243750000002</v>
      </c>
      <c r="I73" s="329">
        <f t="shared" si="11"/>
        <v>0.11404975500000002</v>
      </c>
      <c r="J73" s="330">
        <f t="shared" si="11"/>
        <v>0.15840243750000002</v>
      </c>
    </row>
    <row r="74" spans="1:12" ht="15.75">
      <c r="A74" s="168" t="s">
        <v>325</v>
      </c>
      <c r="B74" s="244" t="s">
        <v>333</v>
      </c>
      <c r="C74" s="335">
        <f>J18</f>
        <v>10.96</v>
      </c>
      <c r="D74" s="335">
        <f>$C74*C52</f>
        <v>220.53931200000002</v>
      </c>
      <c r="E74" s="329">
        <f t="shared" ref="E74:J74" si="12">$C74*D52</f>
        <v>220.53931200000002</v>
      </c>
      <c r="F74" s="330">
        <f t="shared" si="12"/>
        <v>297.72807120000004</v>
      </c>
      <c r="G74" s="329">
        <f t="shared" si="12"/>
        <v>220.53931200000002</v>
      </c>
      <c r="H74" s="330">
        <f t="shared" si="12"/>
        <v>297.72807120000004</v>
      </c>
      <c r="I74" s="329">
        <f t="shared" si="12"/>
        <v>220.53931200000002</v>
      </c>
      <c r="J74" s="330">
        <f t="shared" si="12"/>
        <v>297.72807120000004</v>
      </c>
    </row>
    <row r="75" spans="1:12" ht="19.5">
      <c r="A75" s="245" t="s">
        <v>598</v>
      </c>
      <c r="B75" s="244" t="s">
        <v>599</v>
      </c>
      <c r="C75" s="335">
        <f>J24</f>
        <v>10.96</v>
      </c>
      <c r="D75" s="335">
        <f>$C75*C53</f>
        <v>27.619200000000003</v>
      </c>
      <c r="E75" s="329">
        <f t="shared" ref="E75:J75" si="13">$C75*D53</f>
        <v>20.714400000000001</v>
      </c>
      <c r="F75" s="330">
        <f t="shared" si="13"/>
        <v>41.428800000000003</v>
      </c>
      <c r="G75" s="329">
        <f t="shared" si="13"/>
        <v>20.714400000000001</v>
      </c>
      <c r="H75" s="330">
        <f t="shared" si="13"/>
        <v>41.428800000000003</v>
      </c>
      <c r="I75" s="329">
        <f t="shared" si="13"/>
        <v>20.714400000000001</v>
      </c>
      <c r="J75" s="330">
        <f t="shared" si="13"/>
        <v>41.428800000000003</v>
      </c>
    </row>
    <row r="76" spans="1:12" ht="20.25" thickBot="1">
      <c r="A76" s="350" t="s">
        <v>592</v>
      </c>
      <c r="B76" s="316" t="s">
        <v>331</v>
      </c>
      <c r="C76" s="336">
        <f>J21</f>
        <v>10.96</v>
      </c>
      <c r="D76" s="336">
        <f>$C76*C54</f>
        <v>41.428800000000003</v>
      </c>
      <c r="E76" s="333">
        <f t="shared" ref="E76:J76" si="14">$C76*D54</f>
        <v>72.500399999999999</v>
      </c>
      <c r="F76" s="334">
        <f t="shared" si="14"/>
        <v>72.500399999999999</v>
      </c>
      <c r="G76" s="333">
        <f t="shared" si="14"/>
        <v>0</v>
      </c>
      <c r="H76" s="334">
        <f t="shared" si="14"/>
        <v>0</v>
      </c>
      <c r="I76" s="333">
        <f t="shared" si="14"/>
        <v>0</v>
      </c>
      <c r="J76" s="334">
        <f t="shared" si="14"/>
        <v>0</v>
      </c>
    </row>
    <row r="77" spans="1:12" ht="16.5" thickTop="1">
      <c r="A77" s="625" t="s">
        <v>451</v>
      </c>
      <c r="B77" s="626"/>
      <c r="C77" s="381"/>
      <c r="D77" s="370">
        <f t="shared" ref="D77:J77" si="15">SUM(D73:D76)</f>
        <v>289.71403395000004</v>
      </c>
      <c r="E77" s="371">
        <f t="shared" si="15"/>
        <v>313.86816175500002</v>
      </c>
      <c r="F77" s="372">
        <f t="shared" si="15"/>
        <v>411.81567363750008</v>
      </c>
      <c r="G77" s="371">
        <f t="shared" si="15"/>
        <v>241.36776175500003</v>
      </c>
      <c r="H77" s="372">
        <f t="shared" si="15"/>
        <v>339.31527363750007</v>
      </c>
      <c r="I77" s="371">
        <f t="shared" si="15"/>
        <v>241.36776175500003</v>
      </c>
      <c r="J77" s="372">
        <f t="shared" si="15"/>
        <v>339.31527363750007</v>
      </c>
      <c r="K77" s="37" t="s">
        <v>446</v>
      </c>
    </row>
    <row r="78" spans="1:12">
      <c r="C78" s="17"/>
      <c r="D78" s="17"/>
      <c r="E78" s="17"/>
      <c r="F78" s="17"/>
      <c r="G78" s="17"/>
      <c r="H78" s="17"/>
      <c r="I78" s="17"/>
      <c r="J78" s="17"/>
    </row>
    <row r="79" spans="1:12">
      <c r="A79" s="37" t="s">
        <v>706</v>
      </c>
      <c r="C79" s="25" t="s">
        <v>26</v>
      </c>
      <c r="D79" s="593" t="s">
        <v>6</v>
      </c>
      <c r="E79" s="587" t="s">
        <v>7</v>
      </c>
      <c r="F79" s="588"/>
      <c r="G79" s="587" t="s">
        <v>8</v>
      </c>
      <c r="H79" s="588"/>
      <c r="I79" s="587" t="s">
        <v>9</v>
      </c>
      <c r="J79" s="588"/>
    </row>
    <row r="80" spans="1:12">
      <c r="A80" s="37" t="s">
        <v>447</v>
      </c>
      <c r="C80" s="27" t="s">
        <v>27</v>
      </c>
      <c r="D80" s="594"/>
      <c r="E80" s="321" t="s">
        <v>12</v>
      </c>
      <c r="F80" s="323" t="s">
        <v>13</v>
      </c>
      <c r="G80" s="322" t="s">
        <v>12</v>
      </c>
      <c r="H80" s="323" t="s">
        <v>13</v>
      </c>
      <c r="I80" s="322" t="s">
        <v>12</v>
      </c>
      <c r="J80" s="323" t="s">
        <v>13</v>
      </c>
    </row>
    <row r="81" spans="1:12" ht="15.75">
      <c r="A81" s="54" t="s">
        <v>310</v>
      </c>
      <c r="B81" s="243" t="s">
        <v>330</v>
      </c>
      <c r="C81" s="335">
        <f>J17</f>
        <v>5.3233333333333333</v>
      </c>
      <c r="D81" s="335">
        <f>$C81*C60</f>
        <v>13.576677243333332</v>
      </c>
      <c r="E81" s="329">
        <f t="shared" ref="E81:J81" si="16">$C81*D60</f>
        <v>20.365015864999997</v>
      </c>
      <c r="F81" s="330">
        <f t="shared" si="16"/>
        <v>20.365015864999997</v>
      </c>
      <c r="G81" s="329">
        <f t="shared" si="16"/>
        <v>20.365015864999997</v>
      </c>
      <c r="H81" s="330">
        <f t="shared" si="16"/>
        <v>20.365015864999997</v>
      </c>
      <c r="I81" s="329">
        <f t="shared" si="16"/>
        <v>0</v>
      </c>
      <c r="J81" s="330">
        <f t="shared" si="16"/>
        <v>0</v>
      </c>
    </row>
    <row r="82" spans="1:12" ht="19.5">
      <c r="A82" s="245" t="s">
        <v>596</v>
      </c>
      <c r="B82" s="169" t="s">
        <v>331</v>
      </c>
      <c r="C82" s="335">
        <f>J22</f>
        <v>7.9850000000000003</v>
      </c>
      <c r="D82" s="335">
        <f>$C82*C61</f>
        <v>7.6512270000000004</v>
      </c>
      <c r="E82" s="329">
        <f t="shared" ref="E82:J82" si="17">$C82*D61</f>
        <v>13.389647250000001</v>
      </c>
      <c r="F82" s="330">
        <f t="shared" si="17"/>
        <v>13.389647250000001</v>
      </c>
      <c r="G82" s="329">
        <f t="shared" si="17"/>
        <v>0</v>
      </c>
      <c r="H82" s="330">
        <f t="shared" si="17"/>
        <v>0</v>
      </c>
      <c r="I82" s="329">
        <f t="shared" si="17"/>
        <v>0</v>
      </c>
      <c r="J82" s="330">
        <f t="shared" si="17"/>
        <v>0</v>
      </c>
    </row>
    <row r="83" spans="1:12" ht="15.75">
      <c r="A83" s="54" t="s">
        <v>601</v>
      </c>
      <c r="B83" s="610" t="s">
        <v>334</v>
      </c>
      <c r="C83" s="335">
        <f>J29</f>
        <v>7.9850000000000003</v>
      </c>
      <c r="D83" s="335">
        <f>$C83*C62</f>
        <v>0</v>
      </c>
      <c r="E83" s="329">
        <f t="shared" ref="E83:J83" si="18">$C83*D62</f>
        <v>0</v>
      </c>
      <c r="F83" s="330">
        <f t="shared" si="18"/>
        <v>0</v>
      </c>
      <c r="G83" s="329">
        <f t="shared" si="18"/>
        <v>0</v>
      </c>
      <c r="H83" s="330">
        <f t="shared" si="18"/>
        <v>0</v>
      </c>
      <c r="I83" s="329">
        <f t="shared" si="18"/>
        <v>4.2766533316500004</v>
      </c>
      <c r="J83" s="330">
        <f t="shared" si="18"/>
        <v>4.2766533316500004</v>
      </c>
    </row>
    <row r="84" spans="1:12" ht="16.5" thickBot="1">
      <c r="A84" s="317" t="s">
        <v>433</v>
      </c>
      <c r="B84" s="611"/>
      <c r="C84" s="336">
        <f>J30</f>
        <v>9.5820000000000007</v>
      </c>
      <c r="D84" s="336">
        <f>$C84*C63</f>
        <v>0</v>
      </c>
      <c r="E84" s="333">
        <f t="shared" ref="E84:J84" si="19">$C84*D63</f>
        <v>0</v>
      </c>
      <c r="F84" s="334">
        <f t="shared" si="19"/>
        <v>0</v>
      </c>
      <c r="G84" s="333">
        <f t="shared" si="19"/>
        <v>0</v>
      </c>
      <c r="H84" s="334">
        <f t="shared" si="19"/>
        <v>0</v>
      </c>
      <c r="I84" s="333">
        <f t="shared" si="19"/>
        <v>1.9244939992424999</v>
      </c>
      <c r="J84" s="334">
        <f t="shared" si="19"/>
        <v>1.9244939992424999</v>
      </c>
    </row>
    <row r="85" spans="1:12" ht="16.5" thickTop="1">
      <c r="A85" s="625" t="s">
        <v>452</v>
      </c>
      <c r="B85" s="626"/>
      <c r="C85" s="381"/>
      <c r="D85" s="370">
        <f>SUM(D81:D84)</f>
        <v>21.227904243333334</v>
      </c>
      <c r="E85" s="371">
        <f t="shared" ref="E85:J85" si="20">SUM(E81:E84)</f>
        <v>33.754663115</v>
      </c>
      <c r="F85" s="372">
        <f t="shared" si="20"/>
        <v>33.754663115</v>
      </c>
      <c r="G85" s="371">
        <f t="shared" si="20"/>
        <v>20.365015864999997</v>
      </c>
      <c r="H85" s="372">
        <f t="shared" si="20"/>
        <v>20.365015864999997</v>
      </c>
      <c r="I85" s="371">
        <f t="shared" si="20"/>
        <v>6.2011473308924998</v>
      </c>
      <c r="J85" s="372">
        <f t="shared" si="20"/>
        <v>6.2011473308924998</v>
      </c>
      <c r="K85" s="37" t="s">
        <v>446</v>
      </c>
    </row>
    <row r="88" spans="1:12">
      <c r="A88" s="1" t="s">
        <v>416</v>
      </c>
    </row>
    <row r="89" spans="1:12">
      <c r="C89" s="178">
        <v>1</v>
      </c>
      <c r="D89" s="178">
        <v>2</v>
      </c>
      <c r="E89" s="178">
        <v>3</v>
      </c>
      <c r="F89" s="178">
        <v>4</v>
      </c>
      <c r="G89" s="178">
        <v>5</v>
      </c>
      <c r="H89" s="178">
        <v>6</v>
      </c>
      <c r="I89" s="178">
        <v>7</v>
      </c>
    </row>
    <row r="90" spans="1:12">
      <c r="C90" s="593" t="s">
        <v>6</v>
      </c>
      <c r="D90" s="591" t="s">
        <v>7</v>
      </c>
      <c r="E90" s="592"/>
      <c r="F90" s="591" t="s">
        <v>8</v>
      </c>
      <c r="G90" s="592"/>
      <c r="H90" s="591" t="s">
        <v>9</v>
      </c>
      <c r="I90" s="592"/>
    </row>
    <row r="91" spans="1:12">
      <c r="C91" s="594"/>
      <c r="D91" s="254" t="s">
        <v>12</v>
      </c>
      <c r="E91" s="320" t="s">
        <v>13</v>
      </c>
      <c r="F91" s="60" t="s">
        <v>12</v>
      </c>
      <c r="G91" s="320" t="s">
        <v>13</v>
      </c>
      <c r="H91" s="60" t="s">
        <v>12</v>
      </c>
      <c r="I91" s="320" t="s">
        <v>13</v>
      </c>
    </row>
    <row r="92" spans="1:12">
      <c r="A92" s="168" t="s">
        <v>463</v>
      </c>
      <c r="B92" s="281" t="s">
        <v>154</v>
      </c>
      <c r="C92" s="335">
        <f>C56</f>
        <v>23.193165</v>
      </c>
      <c r="D92" s="329">
        <f t="shared" ref="D92:I92" si="21">D56</f>
        <v>22.5080685</v>
      </c>
      <c r="E92" s="330">
        <f t="shared" si="21"/>
        <v>31.633676250000001</v>
      </c>
      <c r="F92" s="329">
        <f t="shared" si="21"/>
        <v>22.5080685</v>
      </c>
      <c r="G92" s="330">
        <f t="shared" si="21"/>
        <v>31.633676250000001</v>
      </c>
      <c r="H92" s="329">
        <f t="shared" si="21"/>
        <v>22.5080685</v>
      </c>
      <c r="I92" s="330">
        <f t="shared" si="21"/>
        <v>31.633676250000001</v>
      </c>
    </row>
    <row r="93" spans="1:12" ht="15.75">
      <c r="A93" s="66" t="s">
        <v>31</v>
      </c>
      <c r="B93" s="283" t="s">
        <v>42</v>
      </c>
      <c r="C93" s="335">
        <f>(D77-D85)/C92</f>
        <v>11.576088459969421</v>
      </c>
      <c r="D93" s="329">
        <f t="shared" ref="D93:I93" si="22">(E77-E85)/D92</f>
        <v>12.445026042105745</v>
      </c>
      <c r="E93" s="330">
        <f t="shared" si="22"/>
        <v>11.951219565335851</v>
      </c>
      <c r="F93" s="329">
        <f t="shared" si="22"/>
        <v>9.8188232317668671</v>
      </c>
      <c r="G93" s="330">
        <f t="shared" si="22"/>
        <v>10.082617500787633</v>
      </c>
      <c r="H93" s="329">
        <f t="shared" si="22"/>
        <v>10.448102840281809</v>
      </c>
      <c r="I93" s="330">
        <f t="shared" si="22"/>
        <v>10.530364023264843</v>
      </c>
    </row>
    <row r="94" spans="1:12" ht="15.75">
      <c r="A94" s="66" t="s">
        <v>29</v>
      </c>
      <c r="B94" s="283" t="s">
        <v>42</v>
      </c>
      <c r="C94" s="335">
        <f t="shared" ref="C94:I94" si="23">Base_theor/2-C93</f>
        <v>-0.84608845996942073</v>
      </c>
      <c r="D94" s="329">
        <f t="shared" si="23"/>
        <v>-1.7150260421057446</v>
      </c>
      <c r="E94" s="330">
        <f t="shared" si="23"/>
        <v>-1.2212195653358506</v>
      </c>
      <c r="F94" s="329">
        <f t="shared" si="23"/>
        <v>0.91117676823313332</v>
      </c>
      <c r="G94" s="330">
        <f t="shared" si="23"/>
        <v>0.64738249921236779</v>
      </c>
      <c r="H94" s="329">
        <f t="shared" si="23"/>
        <v>0.2818971597181914</v>
      </c>
      <c r="I94" s="330">
        <f t="shared" si="23"/>
        <v>0.19963597673515743</v>
      </c>
    </row>
    <row r="95" spans="1:12" ht="15.75">
      <c r="A95" s="168" t="s">
        <v>459</v>
      </c>
      <c r="B95" s="283" t="s">
        <v>42</v>
      </c>
      <c r="C95" s="335">
        <f t="shared" ref="C95:I95" si="24">IF(base_matl="r",Base_theor*3/8,Base_theor*1/4)</f>
        <v>5.3650000000000002</v>
      </c>
      <c r="D95" s="329">
        <f t="shared" si="24"/>
        <v>5.3650000000000002</v>
      </c>
      <c r="E95" s="330">
        <f t="shared" si="24"/>
        <v>5.3650000000000002</v>
      </c>
      <c r="F95" s="329">
        <f t="shared" si="24"/>
        <v>5.3650000000000002</v>
      </c>
      <c r="G95" s="330">
        <f t="shared" si="24"/>
        <v>5.3650000000000002</v>
      </c>
      <c r="H95" s="329">
        <f t="shared" si="24"/>
        <v>5.3650000000000002</v>
      </c>
      <c r="I95" s="330">
        <f t="shared" si="24"/>
        <v>5.3650000000000002</v>
      </c>
      <c r="J95" s="9"/>
    </row>
    <row r="96" spans="1:12">
      <c r="A96" s="168" t="s">
        <v>466</v>
      </c>
      <c r="B96" s="357"/>
      <c r="C96" s="335">
        <f>C95/ABS(C94)</f>
        <v>6.340944539290728</v>
      </c>
      <c r="D96" s="329">
        <f t="shared" ref="D96:I96" si="25">D95/ABS(D94)</f>
        <v>3.1282323814819404</v>
      </c>
      <c r="E96" s="330">
        <f t="shared" si="25"/>
        <v>4.3931493994075979</v>
      </c>
      <c r="F96" s="329">
        <f t="shared" si="25"/>
        <v>5.8879903296956249</v>
      </c>
      <c r="G96" s="330">
        <f t="shared" si="25"/>
        <v>8.2872181539156227</v>
      </c>
      <c r="H96" s="329">
        <f t="shared" si="25"/>
        <v>19.031763233667608</v>
      </c>
      <c r="I96" s="330">
        <f t="shared" si="25"/>
        <v>26.8739136489279</v>
      </c>
      <c r="L96" s="22"/>
    </row>
    <row r="97" spans="1:10" ht="13.5" thickBot="1">
      <c r="A97" s="358" t="s">
        <v>113</v>
      </c>
      <c r="B97" s="359"/>
      <c r="C97" s="364">
        <f>IF(C96=MIN($C$96:$I$96,WORKSHEET_FINAL!C153:K153),1,0)</f>
        <v>0</v>
      </c>
      <c r="D97" s="365">
        <f>IF(D96=MIN($C$96:$I$96,WORKSHEET_FINAL!D153:L153),1,0)</f>
        <v>0</v>
      </c>
      <c r="E97" s="366">
        <f>IF(E96=MIN($C$96:$I$96,WORKSHEET_FINAL!E153:M153),1,0)</f>
        <v>0</v>
      </c>
      <c r="F97" s="365">
        <f>IF(F96=MIN($C$96:$I$96,WORKSHEET_FINAL!F153:N153),1,0)</f>
        <v>0</v>
      </c>
      <c r="G97" s="366">
        <f>IF(G96=MIN($C$96:$I$96,WORKSHEET_FINAL!G153:O153),1,0)</f>
        <v>0</v>
      </c>
      <c r="H97" s="365">
        <f>IF(H96=MIN($C$96:$I$96,WORKSHEET_FINAL!H153:P153),1,0)</f>
        <v>0</v>
      </c>
      <c r="I97" s="366">
        <f>IF(I96=MIN($C$96:$I$96,WORKSHEET_FINAL!I153:Q153),1,0)</f>
        <v>0</v>
      </c>
      <c r="J97" s="102"/>
    </row>
    <row r="98" spans="1:10" ht="16.5" thickTop="1">
      <c r="A98" s="367" t="s">
        <v>460</v>
      </c>
      <c r="B98" s="368"/>
      <c r="C98" s="432" t="str">
        <f>IF(C94&lt;=C95,"OK","NG!")</f>
        <v>OK</v>
      </c>
      <c r="D98" s="433" t="str">
        <f t="shared" ref="D98:I98" si="26">IF(D94&lt;=D95,"OK","NG!")</f>
        <v>OK</v>
      </c>
      <c r="E98" s="434" t="str">
        <f t="shared" si="26"/>
        <v>OK</v>
      </c>
      <c r="F98" s="433" t="str">
        <f t="shared" si="26"/>
        <v>OK</v>
      </c>
      <c r="G98" s="434" t="str">
        <f t="shared" si="26"/>
        <v>OK</v>
      </c>
      <c r="H98" s="433" t="str">
        <f t="shared" si="26"/>
        <v>OK</v>
      </c>
      <c r="I98" s="434" t="str">
        <f t="shared" si="26"/>
        <v>OK</v>
      </c>
    </row>
    <row r="99" spans="1:10">
      <c r="C99" s="22"/>
      <c r="D99" s="22"/>
      <c r="E99" s="22"/>
      <c r="F99" s="22"/>
      <c r="G99" s="22"/>
      <c r="H99" s="22"/>
      <c r="I99" s="22"/>
    </row>
    <row r="100" spans="1:10" s="9" customFormat="1">
      <c r="C100" s="23"/>
      <c r="D100" s="23"/>
      <c r="E100" s="23"/>
      <c r="F100" s="23"/>
      <c r="G100" s="23"/>
      <c r="H100" s="23"/>
      <c r="I100" s="23"/>
    </row>
    <row r="101" spans="1:10">
      <c r="A101" s="1" t="s">
        <v>417</v>
      </c>
      <c r="C101" s="22"/>
      <c r="D101" s="22"/>
      <c r="E101" s="22"/>
      <c r="F101" s="22"/>
      <c r="G101" s="22"/>
      <c r="H101" s="22"/>
      <c r="I101" s="22"/>
    </row>
    <row r="102" spans="1:10">
      <c r="C102" s="22"/>
      <c r="D102" s="22"/>
      <c r="E102" s="22"/>
      <c r="F102" s="22"/>
      <c r="G102" s="22"/>
      <c r="H102" s="22"/>
      <c r="I102" s="22"/>
    </row>
    <row r="103" spans="1:10" ht="14.25">
      <c r="A103" t="s">
        <v>32</v>
      </c>
      <c r="C103" s="22"/>
      <c r="D103" s="138" t="s">
        <v>453</v>
      </c>
      <c r="E103" s="22"/>
      <c r="F103" s="37" t="s">
        <v>456</v>
      </c>
      <c r="G103" s="22"/>
      <c r="H103" s="22"/>
      <c r="I103" s="22"/>
    </row>
    <row r="104" spans="1:10" ht="15.75">
      <c r="A104" t="s">
        <v>62</v>
      </c>
      <c r="C104" s="22"/>
      <c r="D104" s="138" t="s">
        <v>454</v>
      </c>
      <c r="E104" s="22"/>
      <c r="F104" s="37" t="s">
        <v>455</v>
      </c>
      <c r="G104" s="22"/>
      <c r="H104" s="22"/>
      <c r="I104" s="22"/>
    </row>
    <row r="105" spans="1:10">
      <c r="C105" s="22"/>
      <c r="D105" s="22"/>
      <c r="E105" s="22"/>
      <c r="F105" s="138"/>
      <c r="G105" s="22"/>
      <c r="H105" s="22"/>
      <c r="I105" s="22"/>
    </row>
    <row r="106" spans="1:10" ht="15.75">
      <c r="A106" s="13" t="s">
        <v>458</v>
      </c>
      <c r="C106" s="22"/>
      <c r="D106" s="363">
        <f>IF(Reinf_cont="y",MIN(PHI_base,PHI_reinf,IF(rho="",2/3*PHI_base,rho)),MIN(PHI_base,PHI_reinf))</f>
        <v>31</v>
      </c>
      <c r="E106" s="174" t="s">
        <v>3</v>
      </c>
      <c r="F106" s="37" t="s">
        <v>457</v>
      </c>
      <c r="G106" s="22"/>
      <c r="H106" s="22"/>
      <c r="I106" s="22"/>
    </row>
    <row r="107" spans="1:10" ht="15.75">
      <c r="A107" s="142" t="s">
        <v>470</v>
      </c>
      <c r="B107" s="9"/>
      <c r="C107" s="23"/>
      <c r="D107" s="294">
        <f>IF(cohesion=0,0,MIN(cohesion*(0.21+0.27/cohesion),1))</f>
        <v>0</v>
      </c>
      <c r="E107" s="175" t="s">
        <v>153</v>
      </c>
      <c r="F107" s="301" t="s">
        <v>707</v>
      </c>
      <c r="G107" s="22"/>
      <c r="H107" s="22"/>
      <c r="I107" s="22"/>
    </row>
    <row r="108" spans="1:10">
      <c r="C108" s="22"/>
      <c r="D108" s="22"/>
      <c r="E108" s="22"/>
      <c r="F108" s="22"/>
      <c r="G108" s="22"/>
      <c r="H108" s="22"/>
      <c r="I108" s="22"/>
    </row>
    <row r="109" spans="1:10">
      <c r="C109" s="593" t="s">
        <v>6</v>
      </c>
      <c r="D109" s="587" t="s">
        <v>7</v>
      </c>
      <c r="E109" s="588"/>
      <c r="F109" s="587" t="s">
        <v>8</v>
      </c>
      <c r="G109" s="588"/>
      <c r="H109" s="587" t="s">
        <v>9</v>
      </c>
      <c r="I109" s="588"/>
    </row>
    <row r="110" spans="1:10">
      <c r="C110" s="594"/>
      <c r="D110" s="24" t="s">
        <v>12</v>
      </c>
      <c r="E110" s="25" t="s">
        <v>13</v>
      </c>
      <c r="F110" s="25" t="s">
        <v>12</v>
      </c>
      <c r="G110" s="25" t="s">
        <v>13</v>
      </c>
      <c r="H110" s="25" t="s">
        <v>12</v>
      </c>
      <c r="I110" s="25" t="s">
        <v>13</v>
      </c>
    </row>
    <row r="111" spans="1:10">
      <c r="A111" s="168" t="s">
        <v>463</v>
      </c>
      <c r="B111" s="281" t="s">
        <v>154</v>
      </c>
      <c r="C111" s="335">
        <f>C56</f>
        <v>23.193165</v>
      </c>
      <c r="D111" s="329">
        <f t="shared" ref="D111:I111" si="27">D56</f>
        <v>22.5080685</v>
      </c>
      <c r="E111" s="330">
        <f t="shared" si="27"/>
        <v>31.633676250000001</v>
      </c>
      <c r="F111" s="329">
        <f t="shared" si="27"/>
        <v>22.5080685</v>
      </c>
      <c r="G111" s="330">
        <f t="shared" si="27"/>
        <v>31.633676250000001</v>
      </c>
      <c r="H111" s="329">
        <f t="shared" si="27"/>
        <v>22.5080685</v>
      </c>
      <c r="I111" s="330">
        <f t="shared" si="27"/>
        <v>31.633676250000001</v>
      </c>
    </row>
    <row r="112" spans="1:10">
      <c r="A112" s="168" t="s">
        <v>462</v>
      </c>
      <c r="B112" s="281" t="s">
        <v>42</v>
      </c>
      <c r="C112" s="335">
        <f t="shared" ref="C112:I112" si="28">Base_theor-2*C94</f>
        <v>23.152176919938842</v>
      </c>
      <c r="D112" s="329">
        <f t="shared" si="28"/>
        <v>24.89005208421149</v>
      </c>
      <c r="E112" s="330">
        <f t="shared" si="28"/>
        <v>23.902439130671702</v>
      </c>
      <c r="F112" s="329">
        <f t="shared" si="28"/>
        <v>19.637646463533734</v>
      </c>
      <c r="G112" s="330">
        <f t="shared" si="28"/>
        <v>20.165235001575265</v>
      </c>
      <c r="H112" s="329">
        <f t="shared" si="28"/>
        <v>20.896205680563618</v>
      </c>
      <c r="I112" s="330">
        <f t="shared" si="28"/>
        <v>21.060728046529686</v>
      </c>
    </row>
    <row r="113" spans="1:10" ht="14.25">
      <c r="A113" s="168" t="s">
        <v>461</v>
      </c>
      <c r="B113" s="283" t="s">
        <v>154</v>
      </c>
      <c r="C113" s="335">
        <f t="shared" ref="C113:I113" si="29">C111*TAN(RADIANS(delta))+adhesion*C112</f>
        <v>13.935859479108348</v>
      </c>
      <c r="D113" s="329">
        <f t="shared" si="29"/>
        <v>13.524211972024732</v>
      </c>
      <c r="E113" s="330">
        <f t="shared" si="29"/>
        <v>19.007430293692437</v>
      </c>
      <c r="F113" s="329">
        <f t="shared" si="29"/>
        <v>13.524211972024732</v>
      </c>
      <c r="G113" s="330">
        <f t="shared" si="29"/>
        <v>19.007430293692437</v>
      </c>
      <c r="H113" s="329">
        <f t="shared" si="29"/>
        <v>13.524211972024732</v>
      </c>
      <c r="I113" s="330">
        <f t="shared" si="29"/>
        <v>19.007430293692437</v>
      </c>
    </row>
    <row r="114" spans="1:10" ht="15.75">
      <c r="A114" s="168" t="s">
        <v>464</v>
      </c>
      <c r="B114" s="283" t="s">
        <v>154</v>
      </c>
      <c r="C114" s="348">
        <f t="shared" ref="C114:I114" si="30">IF(Su&gt;0,phi_sliding*C112*MIN(cohesion,Su,0.5*C111/C112),phi_sliding*C113)</f>
        <v>13.935859479108348</v>
      </c>
      <c r="D114" s="349">
        <f t="shared" si="30"/>
        <v>13.524211972024732</v>
      </c>
      <c r="E114" s="347">
        <f t="shared" si="30"/>
        <v>19.007430293692437</v>
      </c>
      <c r="F114" s="349">
        <f t="shared" si="30"/>
        <v>13.524211972024732</v>
      </c>
      <c r="G114" s="347">
        <f t="shared" si="30"/>
        <v>19.007430293692437</v>
      </c>
      <c r="H114" s="349">
        <f t="shared" si="30"/>
        <v>13.524211972024732</v>
      </c>
      <c r="I114" s="347">
        <f t="shared" si="30"/>
        <v>19.007430293692437</v>
      </c>
      <c r="J114" s="102"/>
    </row>
    <row r="115" spans="1:10">
      <c r="A115" s="168" t="s">
        <v>450</v>
      </c>
      <c r="B115" s="283" t="s">
        <v>154</v>
      </c>
      <c r="C115" s="335">
        <f>C64</f>
        <v>3.5086089999999999</v>
      </c>
      <c r="D115" s="329">
        <f t="shared" ref="D115:I115" si="31">D64</f>
        <v>5.5024634999999993</v>
      </c>
      <c r="E115" s="330">
        <f t="shared" si="31"/>
        <v>5.5024634999999993</v>
      </c>
      <c r="F115" s="329">
        <f t="shared" si="31"/>
        <v>3.8256134999999993</v>
      </c>
      <c r="G115" s="330">
        <f t="shared" si="31"/>
        <v>3.8256134999999993</v>
      </c>
      <c r="H115" s="329">
        <f t="shared" si="31"/>
        <v>0.73643059874999994</v>
      </c>
      <c r="I115" s="330">
        <f t="shared" si="31"/>
        <v>0.73643059874999994</v>
      </c>
    </row>
    <row r="116" spans="1:10">
      <c r="A116" s="168" t="s">
        <v>466</v>
      </c>
      <c r="B116" s="357"/>
      <c r="C116" s="335">
        <f>C114/C115</f>
        <v>3.9719043869260862</v>
      </c>
      <c r="D116" s="329">
        <f t="shared" ref="D116:I116" si="32">D114/D115</f>
        <v>2.4578467393785952</v>
      </c>
      <c r="E116" s="330">
        <f t="shared" si="32"/>
        <v>3.4543491826329134</v>
      </c>
      <c r="F116" s="329">
        <f t="shared" si="32"/>
        <v>3.535174677741161</v>
      </c>
      <c r="G116" s="330">
        <f t="shared" si="32"/>
        <v>4.9684659189153431</v>
      </c>
      <c r="H116" s="329">
        <f t="shared" si="32"/>
        <v>18.364543780473561</v>
      </c>
      <c r="I116" s="330">
        <f t="shared" si="32"/>
        <v>25.810212565793986</v>
      </c>
    </row>
    <row r="117" spans="1:10" ht="13.5" thickBot="1">
      <c r="A117" s="358" t="s">
        <v>113</v>
      </c>
      <c r="B117" s="359"/>
      <c r="C117" s="360">
        <f>IF(C116=MIN($C$116:$I$116,WORKSHEET_FINAL!$C$173:$K$173),1,0)</f>
        <v>0</v>
      </c>
      <c r="D117" s="361">
        <f>IF(D116=MIN($C$116:$I$116,WORKSHEET_FINAL!$C$173:$K$173),1,0)</f>
        <v>0</v>
      </c>
      <c r="E117" s="362">
        <f>IF(E116=MIN($C$116:$I$116,WORKSHEET_FINAL!$C$173:$K$173),1,0)</f>
        <v>0</v>
      </c>
      <c r="F117" s="361">
        <f>IF(F116=MIN($C$116:$I$116,WORKSHEET_FINAL!$C$173:$K$173),1,0)</f>
        <v>0</v>
      </c>
      <c r="G117" s="362">
        <f>IF(G116=MIN($C$116:$I$116,WORKSHEET_FINAL!$C$173:$K$173),1,0)</f>
        <v>0</v>
      </c>
      <c r="H117" s="361">
        <f>IF(H116=MIN($C$116:$I$116,WORKSHEET_FINAL!$C$173:$K$173),1,0)</f>
        <v>0</v>
      </c>
      <c r="I117" s="362">
        <f>IF(I116=MIN($C$116:$I$116,WORKSHEET_FINAL!$C$173:$K$173),1,0)</f>
        <v>0</v>
      </c>
      <c r="J117" s="102"/>
    </row>
    <row r="118" spans="1:10" ht="16.5" thickTop="1">
      <c r="A118" s="55" t="s">
        <v>465</v>
      </c>
      <c r="B118" s="171"/>
      <c r="C118" s="432" t="str">
        <f>IF(C114&gt;=C115,"OK","NG!")</f>
        <v>OK</v>
      </c>
      <c r="D118" s="433" t="str">
        <f t="shared" ref="D118:I118" si="33">IF(D114&gt;=D115,"OK","NG!")</f>
        <v>OK</v>
      </c>
      <c r="E118" s="434" t="str">
        <f t="shared" si="33"/>
        <v>OK</v>
      </c>
      <c r="F118" s="433" t="str">
        <f t="shared" si="33"/>
        <v>OK</v>
      </c>
      <c r="G118" s="434" t="str">
        <f t="shared" si="33"/>
        <v>OK</v>
      </c>
      <c r="H118" s="433" t="str">
        <f t="shared" si="33"/>
        <v>OK</v>
      </c>
      <c r="I118" s="434" t="str">
        <f t="shared" si="33"/>
        <v>OK</v>
      </c>
    </row>
    <row r="119" spans="1:10">
      <c r="C119" s="22"/>
      <c r="D119" s="22"/>
      <c r="E119" s="22"/>
      <c r="F119" s="22"/>
      <c r="G119" s="22"/>
      <c r="H119" s="22"/>
      <c r="I119" s="22"/>
    </row>
    <row r="120" spans="1:10">
      <c r="A120" s="9"/>
      <c r="B120" s="9"/>
      <c r="C120" s="23"/>
      <c r="D120" s="22"/>
      <c r="E120" s="22"/>
      <c r="F120" s="22"/>
      <c r="G120" s="22"/>
      <c r="H120" s="22"/>
      <c r="I120" s="22"/>
    </row>
    <row r="121" spans="1:10">
      <c r="A121" s="1" t="s">
        <v>418</v>
      </c>
      <c r="C121" s="22"/>
      <c r="D121" s="22"/>
      <c r="E121" s="22"/>
      <c r="F121" s="22"/>
      <c r="G121" s="22"/>
      <c r="H121" s="22"/>
      <c r="I121" s="22"/>
    </row>
    <row r="122" spans="1:10">
      <c r="C122" s="22"/>
      <c r="D122" s="22"/>
      <c r="E122" s="22"/>
      <c r="F122" s="22"/>
      <c r="G122" s="22"/>
      <c r="H122" s="22"/>
      <c r="I122" s="22"/>
    </row>
    <row r="123" spans="1:10">
      <c r="B123" s="10" t="s">
        <v>746</v>
      </c>
      <c r="D123" s="22"/>
      <c r="E123" s="22"/>
      <c r="F123" s="22"/>
      <c r="G123" s="22"/>
      <c r="H123" s="22"/>
      <c r="I123" s="22"/>
      <c r="J123" s="22"/>
    </row>
    <row r="124" spans="1:10" ht="15.75">
      <c r="B124" s="212" t="s">
        <v>467</v>
      </c>
      <c r="C124" s="294">
        <f>IF(PHI_base=0,2+PI(),(Nq-1)*(1/TAN(RADIANS(PHI_base))))</f>
        <v>32.671126278359431</v>
      </c>
      <c r="D124" s="174"/>
      <c r="E124" s="174" t="s">
        <v>748</v>
      </c>
      <c r="F124" s="138"/>
      <c r="G124" s="138"/>
      <c r="H124" s="138" t="s">
        <v>751</v>
      </c>
      <c r="I124" s="174"/>
      <c r="J124" s="22"/>
    </row>
    <row r="125" spans="1:10" ht="17.25">
      <c r="B125" s="212" t="s">
        <v>469</v>
      </c>
      <c r="C125" s="294">
        <f>2*(Nq+1)*TAN(RADIANS(PHI_base))</f>
        <v>25.994183536280509</v>
      </c>
      <c r="D125" s="174"/>
      <c r="E125" s="174" t="s">
        <v>749</v>
      </c>
      <c r="F125" s="138"/>
      <c r="G125" s="138"/>
      <c r="H125" s="138" t="s">
        <v>752</v>
      </c>
      <c r="I125" s="174"/>
      <c r="J125" s="22"/>
    </row>
    <row r="126" spans="1:10" ht="15.75">
      <c r="B126" s="212" t="s">
        <v>468</v>
      </c>
      <c r="C126" s="294">
        <f>EXP(PI()*TAN(RADIANS(PHI_base)))*TAN(RADIANS(45+PHI_base/2))^2</f>
        <v>20.630793159942641</v>
      </c>
      <c r="D126" s="174"/>
      <c r="E126" s="174" t="s">
        <v>747</v>
      </c>
      <c r="F126" s="138"/>
      <c r="G126" s="138"/>
      <c r="H126" s="138"/>
      <c r="I126" s="174"/>
      <c r="J126" s="22"/>
    </row>
    <row r="127" spans="1:10">
      <c r="B127" s="212" t="s">
        <v>33</v>
      </c>
      <c r="C127" s="294">
        <f>0.5*Base_theor*TAN(RADIANS(45+PHI_base/2))</f>
        <v>18.965210794286222</v>
      </c>
      <c r="D127" s="174" t="s">
        <v>56</v>
      </c>
      <c r="E127" s="138" t="s">
        <v>750</v>
      </c>
      <c r="F127" s="138"/>
      <c r="G127" s="138"/>
      <c r="H127" s="138"/>
      <c r="I127" s="174"/>
      <c r="J127" s="22"/>
    </row>
    <row r="128" spans="1:10" ht="15">
      <c r="B128" s="176" t="s">
        <v>590</v>
      </c>
      <c r="C128" s="438">
        <f>IF(PHI_base&lt;37,IF(z_water&gt;=Base_theor,gamma_base_moist,IF(z_water&lt;=0,gamma_base_sat-62.4/2000,(gamma_base_sat-62.4/2000)+(z_water/Base_theor)*(gamma_base_moist-(gamma_base_sat-62.4/2000)))),IF(z_water&gt;=C127,gamma_base_moist,IF(z_water&lt;=0,gamma_base_sat-62.4/2000,(2*C127-z_water)*(z_water*gamma_base_moist/C127^2)+((gamma_base_sat-62.4/2000)/C127^2)*(C127-z_water)^2)))</f>
        <v>5.7500000000000002E-2</v>
      </c>
      <c r="D128" s="174" t="s">
        <v>214</v>
      </c>
      <c r="E128" s="388" t="s">
        <v>793</v>
      </c>
      <c r="F128" s="387"/>
      <c r="G128" s="387"/>
      <c r="H128" s="174"/>
      <c r="I128" s="174"/>
      <c r="J128" s="22"/>
    </row>
    <row r="129" spans="1:10">
      <c r="B129" s="176" t="s">
        <v>89</v>
      </c>
      <c r="C129" s="438">
        <f>90</f>
        <v>90</v>
      </c>
      <c r="D129" s="174" t="s">
        <v>3</v>
      </c>
      <c r="E129" s="387"/>
      <c r="F129" s="387"/>
      <c r="G129" s="387"/>
      <c r="H129" s="174"/>
      <c r="I129" s="174"/>
      <c r="J129" s="22"/>
    </row>
    <row r="130" spans="1:10">
      <c r="C130" s="7"/>
      <c r="D130" s="174"/>
      <c r="E130" s="174"/>
      <c r="F130" s="174"/>
      <c r="G130" s="174"/>
      <c r="H130" s="174"/>
      <c r="I130" s="174"/>
      <c r="J130" s="22"/>
    </row>
    <row r="131" spans="1:10" ht="15.75">
      <c r="B131" s="12" t="s">
        <v>480</v>
      </c>
      <c r="C131" s="294" t="str">
        <f>IF(L_wall&gt;5*Base_theor,"YES","NO")</f>
        <v>NO</v>
      </c>
      <c r="D131" s="457" t="str">
        <f>IF(C131="YES","(footing is continuous)","(footing is not continuous)")</f>
        <v>(footing is not continuous)</v>
      </c>
      <c r="E131" s="457"/>
      <c r="F131" s="142"/>
      <c r="G131" s="174" t="s">
        <v>479</v>
      </c>
      <c r="H131" s="142"/>
      <c r="I131" s="174"/>
      <c r="J131" s="23"/>
    </row>
    <row r="132" spans="1:10">
      <c r="A132" s="8"/>
      <c r="C132" s="23"/>
      <c r="D132" s="23"/>
      <c r="E132" s="23"/>
      <c r="F132" s="23"/>
      <c r="G132" s="23"/>
      <c r="H132" s="23"/>
      <c r="I132" s="23"/>
    </row>
    <row r="133" spans="1:10">
      <c r="C133" s="593" t="s">
        <v>6</v>
      </c>
      <c r="D133" s="647" t="s">
        <v>7</v>
      </c>
      <c r="E133" s="648"/>
      <c r="F133" s="647" t="s">
        <v>8</v>
      </c>
      <c r="G133" s="648"/>
      <c r="H133" s="647" t="s">
        <v>9</v>
      </c>
      <c r="I133" s="648"/>
    </row>
    <row r="134" spans="1:10">
      <c r="C134" s="594"/>
      <c r="D134" s="96" t="s">
        <v>12</v>
      </c>
      <c r="E134" s="344" t="s">
        <v>13</v>
      </c>
      <c r="F134" s="341" t="s">
        <v>12</v>
      </c>
      <c r="G134" s="344" t="s">
        <v>13</v>
      </c>
      <c r="H134" s="341" t="s">
        <v>12</v>
      </c>
      <c r="I134" s="344" t="s">
        <v>13</v>
      </c>
    </row>
    <row r="135" spans="1:10">
      <c r="A135" s="212" t="s">
        <v>463</v>
      </c>
      <c r="B135" s="229" t="s">
        <v>154</v>
      </c>
      <c r="C135" s="309">
        <f t="shared" ref="C135:I135" si="34">C55</f>
        <v>26.973165000000002</v>
      </c>
      <c r="D135" s="455">
        <f t="shared" si="34"/>
        <v>29.123068499999999</v>
      </c>
      <c r="E135" s="456">
        <f t="shared" si="34"/>
        <v>38.248676250000003</v>
      </c>
      <c r="F135" s="455">
        <f t="shared" si="34"/>
        <v>22.5080685</v>
      </c>
      <c r="G135" s="456">
        <f t="shared" si="34"/>
        <v>31.633676250000001</v>
      </c>
      <c r="H135" s="455">
        <f t="shared" si="34"/>
        <v>22.5080685</v>
      </c>
      <c r="I135" s="456">
        <f t="shared" si="34"/>
        <v>31.633676250000001</v>
      </c>
      <c r="J135" s="9"/>
    </row>
    <row r="136" spans="1:10" ht="15.75">
      <c r="A136" s="212" t="s">
        <v>471</v>
      </c>
      <c r="B136" s="234" t="s">
        <v>42</v>
      </c>
      <c r="C136" s="309">
        <f>(D77+C54*$J$21-D85)/C135</f>
        <v>11.489750265001037</v>
      </c>
      <c r="D136" s="455">
        <f t="shared" ref="D136:I136" si="35">(E77+D54*$J$21-E85)/D135</f>
        <v>12.107717929516941</v>
      </c>
      <c r="E136" s="456">
        <f t="shared" si="35"/>
        <v>11.77979095479154</v>
      </c>
      <c r="F136" s="455">
        <f t="shared" si="35"/>
        <v>9.8188232317668671</v>
      </c>
      <c r="G136" s="456">
        <f t="shared" si="35"/>
        <v>10.082617500787633</v>
      </c>
      <c r="H136" s="455">
        <f t="shared" si="35"/>
        <v>10.448102840281809</v>
      </c>
      <c r="I136" s="456">
        <f t="shared" si="35"/>
        <v>10.530364023264843</v>
      </c>
    </row>
    <row r="137" spans="1:10" ht="15.75">
      <c r="A137" s="212" t="s">
        <v>117</v>
      </c>
      <c r="B137" s="234" t="s">
        <v>42</v>
      </c>
      <c r="C137" s="309">
        <f t="shared" ref="C137:I137" si="36">Base_theor/2-C136</f>
        <v>-0.7597502650010366</v>
      </c>
      <c r="D137" s="455">
        <f t="shared" si="36"/>
        <v>-1.3777179295169404</v>
      </c>
      <c r="E137" s="456">
        <f t="shared" si="36"/>
        <v>-1.0497909547915398</v>
      </c>
      <c r="F137" s="455">
        <f t="shared" si="36"/>
        <v>0.91117676823313332</v>
      </c>
      <c r="G137" s="456">
        <f t="shared" si="36"/>
        <v>0.64738249921236779</v>
      </c>
      <c r="H137" s="455">
        <f t="shared" si="36"/>
        <v>0.2818971597181914</v>
      </c>
      <c r="I137" s="456">
        <f t="shared" si="36"/>
        <v>0.19963597673515743</v>
      </c>
    </row>
    <row r="138" spans="1:10">
      <c r="A138" s="212" t="s">
        <v>462</v>
      </c>
      <c r="B138" s="234" t="s">
        <v>42</v>
      </c>
      <c r="C138" s="309">
        <f t="shared" ref="C138:I138" si="37">Base_theor-2*C137</f>
        <v>22.979500530002074</v>
      </c>
      <c r="D138" s="455">
        <f t="shared" si="37"/>
        <v>24.215435859033882</v>
      </c>
      <c r="E138" s="456">
        <f t="shared" si="37"/>
        <v>23.559581909583081</v>
      </c>
      <c r="F138" s="455">
        <f t="shared" si="37"/>
        <v>19.637646463533734</v>
      </c>
      <c r="G138" s="456">
        <f t="shared" si="37"/>
        <v>20.165235001575265</v>
      </c>
      <c r="H138" s="455">
        <f t="shared" si="37"/>
        <v>20.896205680563618</v>
      </c>
      <c r="I138" s="456">
        <f t="shared" si="37"/>
        <v>21.060728046529686</v>
      </c>
    </row>
    <row r="139" spans="1:10" ht="15.75">
      <c r="A139" s="212" t="s">
        <v>474</v>
      </c>
      <c r="B139" s="6"/>
      <c r="C139" s="309">
        <f t="shared" ref="C139:I139" si="38">IF(PHI_base&gt;0,1+(C138/L_wall)*(Nq/Nc),1+C138/(5*L_wall))</f>
        <v>1.336210263895051</v>
      </c>
      <c r="D139" s="455">
        <f t="shared" si="38"/>
        <v>1.3542930826485953</v>
      </c>
      <c r="E139" s="456">
        <f t="shared" si="38"/>
        <v>1.3446973636670809</v>
      </c>
      <c r="F139" s="455">
        <f t="shared" si="38"/>
        <v>1.2873160054615773</v>
      </c>
      <c r="G139" s="456">
        <f t="shared" si="38"/>
        <v>1.2950350888842721</v>
      </c>
      <c r="H139" s="455">
        <f t="shared" si="38"/>
        <v>1.3057298315555219</v>
      </c>
      <c r="I139" s="456">
        <f t="shared" si="38"/>
        <v>1.3081369381854451</v>
      </c>
    </row>
    <row r="140" spans="1:10" ht="17.25">
      <c r="A140" s="212" t="s">
        <v>475</v>
      </c>
      <c r="B140" s="6"/>
      <c r="C140" s="309">
        <f t="shared" ref="C140:I140" si="39">IF(PHI_base&gt;0,1-0.4*(C138/L_wall),1)</f>
        <v>0.78702965217792331</v>
      </c>
      <c r="D140" s="455">
        <f t="shared" si="39"/>
        <v>0.77557520056502427</v>
      </c>
      <c r="E140" s="456">
        <f t="shared" si="39"/>
        <v>0.78165355042091678</v>
      </c>
      <c r="F140" s="455">
        <f t="shared" si="39"/>
        <v>0.81800142295149458</v>
      </c>
      <c r="G140" s="456">
        <f t="shared" si="39"/>
        <v>0.81311181648215691</v>
      </c>
      <c r="H140" s="455">
        <f t="shared" si="39"/>
        <v>0.80633729675103227</v>
      </c>
      <c r="I140" s="456">
        <f t="shared" si="39"/>
        <v>0.80481252968925221</v>
      </c>
    </row>
    <row r="141" spans="1:10" ht="15.75">
      <c r="A141" s="212" t="s">
        <v>473</v>
      </c>
      <c r="B141" s="6"/>
      <c r="C141" s="309">
        <f t="shared" ref="C141:I141" si="40">IF(PHI_base&gt;0,1+(C138/L_wall)*TAN(RADIANS(PHI_base)),1)</f>
        <v>1.3199137375672196</v>
      </c>
      <c r="D141" s="455">
        <f t="shared" si="40"/>
        <v>1.3371200597840889</v>
      </c>
      <c r="E141" s="456">
        <f t="shared" si="40"/>
        <v>1.327989457141395</v>
      </c>
      <c r="F141" s="455">
        <f t="shared" si="40"/>
        <v>1.2733894441687503</v>
      </c>
      <c r="G141" s="456">
        <f t="shared" si="40"/>
        <v>1.2807343740936687</v>
      </c>
      <c r="H141" s="455">
        <f t="shared" si="40"/>
        <v>1.2909107293918138</v>
      </c>
      <c r="I141" s="456">
        <f t="shared" si="40"/>
        <v>1.2932011605933487</v>
      </c>
    </row>
    <row r="142" spans="1:10" ht="15.75">
      <c r="A142" s="212" t="s">
        <v>477</v>
      </c>
      <c r="B142" s="6"/>
      <c r="C142" s="309">
        <f t="shared" ref="C142:I142" si="41">IF(PHI_base&gt;0,MAX(C144-(1-C144)/(Nq-1),0),MAX(1-(C145*C115*L_wall)/(cohesion*C138*L_wall*Nc),0))</f>
        <v>0.78382774007519396</v>
      </c>
      <c r="D142" s="455">
        <f t="shared" si="41"/>
        <v>0.69443120850069218</v>
      </c>
      <c r="E142" s="456">
        <f t="shared" si="41"/>
        <v>0.76280175441189857</v>
      </c>
      <c r="F142" s="455">
        <f t="shared" si="41"/>
        <v>0.71654364038193918</v>
      </c>
      <c r="G142" s="456">
        <f t="shared" si="41"/>
        <v>0.7952071710876939</v>
      </c>
      <c r="H142" s="455">
        <f t="shared" si="41"/>
        <v>0.94308328098054683</v>
      </c>
      <c r="I142" s="456">
        <f t="shared" si="41"/>
        <v>0.95941254239478313</v>
      </c>
      <c r="J142" s="102"/>
    </row>
    <row r="143" spans="1:10">
      <c r="A143" s="212" t="s">
        <v>129</v>
      </c>
      <c r="B143" s="6"/>
      <c r="C143" s="309">
        <f t="shared" ref="C143:I143" si="42">IF(PHI_base=0,1,(1-C$115*L_wall/(C$135*L_wall+cohesion*C$138*L_wall*(1/TAN(RADIANS(PHI_base)))))^(C$145+1))</f>
        <v>0.69098434366788197</v>
      </c>
      <c r="D143" s="455">
        <f t="shared" si="42"/>
        <v>0.5752394208175915</v>
      </c>
      <c r="E143" s="456">
        <f t="shared" si="42"/>
        <v>0.66290820440932818</v>
      </c>
      <c r="F143" s="455">
        <f t="shared" si="42"/>
        <v>0.60615958781132184</v>
      </c>
      <c r="G143" s="456">
        <f t="shared" si="42"/>
        <v>0.70776501504183065</v>
      </c>
      <c r="H143" s="455">
        <f t="shared" si="42"/>
        <v>0.91489555457168359</v>
      </c>
      <c r="I143" s="456">
        <f t="shared" si="42"/>
        <v>0.93899898532286918</v>
      </c>
    </row>
    <row r="144" spans="1:10" ht="15.75">
      <c r="A144" s="212" t="s">
        <v>476</v>
      </c>
      <c r="B144" s="6"/>
      <c r="C144" s="309">
        <f t="shared" ref="C144:I144" si="43">IF(PHI_base=0,1,(1-C$115*L_wall/(C$135*L_wall+cohesion*C$138*L_wall*(1/TAN(RADIANS(PHI_base)))))^C$145)</f>
        <v>0.79430587624033822</v>
      </c>
      <c r="D144" s="455">
        <f t="shared" si="43"/>
        <v>0.70924250485417462</v>
      </c>
      <c r="E144" s="456">
        <f t="shared" si="43"/>
        <v>0.77429904604529309</v>
      </c>
      <c r="F144" s="455">
        <f t="shared" si="43"/>
        <v>0.73028311987846328</v>
      </c>
      <c r="G144" s="456">
        <f t="shared" si="43"/>
        <v>0.80513373219102258</v>
      </c>
      <c r="H144" s="455">
        <f t="shared" si="43"/>
        <v>0.9458421045787575</v>
      </c>
      <c r="I144" s="456">
        <f t="shared" si="43"/>
        <v>0.96137986654420182</v>
      </c>
    </row>
    <row r="145" spans="1:13">
      <c r="A145" s="212" t="s">
        <v>130</v>
      </c>
      <c r="B145" s="6"/>
      <c r="C145" s="309">
        <f t="shared" ref="C145:I145" si="44">((2+L_wall/C138)/(1+L_wall/C138))*COS(RADIANS(theta))^2+((2+C138/L_wall)/(1+C138/L_wall))*SIN(RADIANS(theta))^2</f>
        <v>1.6525601139128929</v>
      </c>
      <c r="D145" s="455">
        <f t="shared" si="44"/>
        <v>1.6405895479518888</v>
      </c>
      <c r="E145" s="456">
        <f t="shared" si="44"/>
        <v>1.6468865476179015</v>
      </c>
      <c r="F145" s="455">
        <f t="shared" si="44"/>
        <v>1.6872869037387059</v>
      </c>
      <c r="G145" s="456">
        <f t="shared" si="44"/>
        <v>1.6815608343013078</v>
      </c>
      <c r="H145" s="455">
        <f t="shared" si="44"/>
        <v>1.6737832742580929</v>
      </c>
      <c r="I145" s="456">
        <f t="shared" si="44"/>
        <v>1.6720571583792914</v>
      </c>
    </row>
    <row r="146" spans="1:13" ht="15.75">
      <c r="A146" s="212" t="s">
        <v>756</v>
      </c>
      <c r="B146" s="458" t="s">
        <v>41</v>
      </c>
      <c r="C146" s="309">
        <f t="shared" ref="C146:I146" si="45">IF(base_matl="r","---",cohesion*IF(wall_on_slope="y",MIN(Ncq,Nc),Nc)+0.5*g*C138*IF(wall_on_slope="y",MIN(Ngq,Ng),Ng))</f>
        <v>17.173333937531712</v>
      </c>
      <c r="D146" s="455">
        <f t="shared" si="45"/>
        <v>18.096988918759212</v>
      </c>
      <c r="E146" s="456">
        <f t="shared" si="45"/>
        <v>17.606847765627428</v>
      </c>
      <c r="F146" s="455">
        <f t="shared" si="45"/>
        <v>14.675856858818467</v>
      </c>
      <c r="G146" s="456">
        <f t="shared" si="45"/>
        <v>15.070141065891288</v>
      </c>
      <c r="H146" s="455">
        <f t="shared" si="45"/>
        <v>15.616419413082593</v>
      </c>
      <c r="I146" s="456">
        <f t="shared" si="45"/>
        <v>15.739372369664016</v>
      </c>
    </row>
    <row r="147" spans="1:13" ht="15.75">
      <c r="A147" s="212" t="s">
        <v>755</v>
      </c>
      <c r="B147" s="458" t="s">
        <v>41</v>
      </c>
      <c r="C147" s="309">
        <f t="shared" ref="C147:I147" si="46">IF(base_matl="r","---",cohesion*IF(wall_on_slope="y",MIN(Ncq,Nc),Nc)*C139*C142+0.5*g*C138*IF(wall_on_slope="y",MIN(Ngq,Ng),Ng)*C140*C143)</f>
        <v>9.3392912078133907</v>
      </c>
      <c r="D147" s="455">
        <f t="shared" si="46"/>
        <v>8.0738164999524429</v>
      </c>
      <c r="E147" s="456">
        <f t="shared" si="46"/>
        <v>9.1232443772084881</v>
      </c>
      <c r="F147" s="455">
        <f t="shared" si="46"/>
        <v>7.2768681381035814</v>
      </c>
      <c r="G147" s="456">
        <f t="shared" si="46"/>
        <v>8.6727470844449783</v>
      </c>
      <c r="H147" s="455">
        <f t="shared" si="46"/>
        <v>11.520457606819315</v>
      </c>
      <c r="I147" s="456">
        <f t="shared" si="46"/>
        <v>11.894529349741951</v>
      </c>
    </row>
    <row r="148" spans="1:13" ht="15.75">
      <c r="A148" s="212" t="s">
        <v>757</v>
      </c>
      <c r="B148" s="458" t="s">
        <v>41</v>
      </c>
      <c r="C148" s="309" t="str">
        <f t="shared" ref="C148:I148" si="47">IF(base_matl="r",Co*Nms,"---")</f>
        <v>---</v>
      </c>
      <c r="D148" s="455" t="str">
        <f t="shared" si="47"/>
        <v>---</v>
      </c>
      <c r="E148" s="456" t="str">
        <f t="shared" si="47"/>
        <v>---</v>
      </c>
      <c r="F148" s="455" t="str">
        <f t="shared" si="47"/>
        <v>---</v>
      </c>
      <c r="G148" s="456" t="str">
        <f t="shared" si="47"/>
        <v>---</v>
      </c>
      <c r="H148" s="455" t="str">
        <f t="shared" si="47"/>
        <v>---</v>
      </c>
      <c r="I148" s="456" t="str">
        <f t="shared" si="47"/>
        <v>---</v>
      </c>
    </row>
    <row r="149" spans="1:13" ht="15.75">
      <c r="A149" s="212" t="s">
        <v>481</v>
      </c>
      <c r="B149" s="229" t="s">
        <v>41</v>
      </c>
      <c r="C149" s="309">
        <f t="shared" ref="C149:I149" si="48">IF(base_matl="r",C148,IF($C$131="YES",C146,C147))</f>
        <v>9.3392912078133907</v>
      </c>
      <c r="D149" s="455">
        <f t="shared" si="48"/>
        <v>8.0738164999524429</v>
      </c>
      <c r="E149" s="456">
        <f t="shared" si="48"/>
        <v>9.1232443772084881</v>
      </c>
      <c r="F149" s="455">
        <f t="shared" si="48"/>
        <v>7.2768681381035814</v>
      </c>
      <c r="G149" s="456">
        <f t="shared" si="48"/>
        <v>8.6727470844449783</v>
      </c>
      <c r="H149" s="455">
        <f t="shared" si="48"/>
        <v>11.520457606819315</v>
      </c>
      <c r="I149" s="456">
        <f t="shared" si="48"/>
        <v>11.894529349741951</v>
      </c>
      <c r="J149" s="9"/>
      <c r="K149" s="102"/>
    </row>
    <row r="150" spans="1:13" ht="15.75">
      <c r="A150" s="212" t="s">
        <v>472</v>
      </c>
      <c r="B150" s="229" t="s">
        <v>41</v>
      </c>
      <c r="C150" s="309">
        <f>C149*phi_bearing</f>
        <v>4.2026810435160256</v>
      </c>
      <c r="D150" s="455">
        <f>D149*phi_bearing</f>
        <v>3.6332174249785996</v>
      </c>
      <c r="E150" s="456">
        <f>E149*phi_bearing</f>
        <v>4.1054599697438201</v>
      </c>
      <c r="F150" s="455">
        <f>F149*phi_bearing</f>
        <v>3.2745906621466117</v>
      </c>
      <c r="G150" s="456">
        <f>G149*phi_bearing</f>
        <v>3.9027361880002402</v>
      </c>
      <c r="H150" s="455">
        <f>H149*phi_Seismic</f>
        <v>11.520457606819315</v>
      </c>
      <c r="I150" s="456">
        <f>I149*phi_Seismic</f>
        <v>11.894529349741951</v>
      </c>
      <c r="J150" s="9"/>
    </row>
    <row r="151" spans="1:13">
      <c r="A151" s="212" t="s">
        <v>89</v>
      </c>
      <c r="B151" s="229" t="s">
        <v>41</v>
      </c>
      <c r="C151" s="309">
        <f t="shared" ref="C151:I151" si="49">C135/C138</f>
        <v>1.1737924836435758</v>
      </c>
      <c r="D151" s="455">
        <f t="shared" si="49"/>
        <v>1.2026654679905446</v>
      </c>
      <c r="E151" s="456">
        <f t="shared" si="49"/>
        <v>1.6234870549397142</v>
      </c>
      <c r="F151" s="455">
        <f t="shared" si="49"/>
        <v>1.1461693508841051</v>
      </c>
      <c r="G151" s="456">
        <f t="shared" si="49"/>
        <v>1.5687234117295854</v>
      </c>
      <c r="H151" s="455">
        <f t="shared" si="49"/>
        <v>1.0771366268152518</v>
      </c>
      <c r="I151" s="456">
        <f t="shared" si="49"/>
        <v>1.5020219709457048</v>
      </c>
      <c r="J151" s="9"/>
    </row>
    <row r="152" spans="1:13">
      <c r="A152" s="12" t="s">
        <v>466</v>
      </c>
      <c r="C152" s="309">
        <f t="shared" ref="C152:I152" si="50">C150/C151</f>
        <v>3.5804293365982884</v>
      </c>
      <c r="D152" s="455">
        <f t="shared" si="50"/>
        <v>3.0209709363727768</v>
      </c>
      <c r="E152" s="456">
        <f t="shared" si="50"/>
        <v>2.5287913182013453</v>
      </c>
      <c r="F152" s="455">
        <f t="shared" si="50"/>
        <v>2.8569867617038747</v>
      </c>
      <c r="G152" s="456">
        <f t="shared" si="50"/>
        <v>2.4878421261637862</v>
      </c>
      <c r="H152" s="455">
        <f t="shared" si="50"/>
        <v>10.695446909907446</v>
      </c>
      <c r="I152" s="456">
        <f t="shared" si="50"/>
        <v>7.9190115589673464</v>
      </c>
      <c r="J152" s="9"/>
    </row>
    <row r="153" spans="1:13" ht="13.5" thickBot="1">
      <c r="A153" t="s">
        <v>113</v>
      </c>
      <c r="C153" s="360">
        <f>IF(C152=MIN($C$152:$I$152,WORKSHEET_FINAL!C209:K209),1,0)</f>
        <v>0</v>
      </c>
      <c r="D153" s="361">
        <f>IF(D152=MIN($C$152:$I$152,WORKSHEET_FINAL!D209:L209),1,0)</f>
        <v>0</v>
      </c>
      <c r="E153" s="362">
        <f>IF(E152=MIN($C$152:$I$152,WORKSHEET_FINAL!E209:M209),1,0)</f>
        <v>0</v>
      </c>
      <c r="F153" s="361">
        <f>IF(F152=MIN($C$152:$I$152,WORKSHEET_FINAL!F209:N209),1,0)</f>
        <v>0</v>
      </c>
      <c r="G153" s="362">
        <f>IF(G152=MIN($C$152:$I$152,WORKSHEET_FINAL!G209:O209),1,0)</f>
        <v>0</v>
      </c>
      <c r="H153" s="361">
        <f>IF(H152=MIN($C$152:$I$152,WORKSHEET_FINAL!H209:P209),1,0)</f>
        <v>0</v>
      </c>
      <c r="I153" s="362">
        <f>IF(I152=MIN($C$152:$I$152,WORKSHEET_FINAL!I209:Q209),1,0)</f>
        <v>0</v>
      </c>
      <c r="J153" s="102"/>
    </row>
    <row r="154" spans="1:13" ht="16.5" thickTop="1">
      <c r="A154" s="12" t="s">
        <v>478</v>
      </c>
      <c r="B154" s="37"/>
      <c r="C154" s="432" t="str">
        <f t="shared" ref="C154" si="51">IF(C150&gt;=C151,"OK","NG!")</f>
        <v>OK</v>
      </c>
      <c r="D154" s="433" t="str">
        <f t="shared" ref="D154:I154" si="52">IF(D150&gt;=D151,"OK","NG!")</f>
        <v>OK</v>
      </c>
      <c r="E154" s="434" t="str">
        <f t="shared" si="52"/>
        <v>OK</v>
      </c>
      <c r="F154" s="433" t="str">
        <f t="shared" si="52"/>
        <v>OK</v>
      </c>
      <c r="G154" s="434" t="str">
        <f t="shared" si="52"/>
        <v>OK</v>
      </c>
      <c r="H154" s="433" t="str">
        <f t="shared" si="52"/>
        <v>OK</v>
      </c>
      <c r="I154" s="434" t="str">
        <f t="shared" si="52"/>
        <v>OK</v>
      </c>
      <c r="J154" s="9"/>
    </row>
    <row r="157" spans="1:13">
      <c r="A157" s="8" t="s">
        <v>419</v>
      </c>
      <c r="D157" s="1" t="s">
        <v>487</v>
      </c>
    </row>
    <row r="158" spans="1:13">
      <c r="F158" s="147"/>
      <c r="K158" s="9"/>
      <c r="L158" s="9"/>
      <c r="M158" s="9"/>
    </row>
    <row r="159" spans="1:13" ht="15.75">
      <c r="A159" s="12" t="s">
        <v>321</v>
      </c>
      <c r="D159" s="296">
        <f>(TAN(RADIANS(45-PHI_reinf/2)))^2</f>
        <v>0.28271491971777274</v>
      </c>
      <c r="E159" s="37"/>
      <c r="F159" s="37" t="s">
        <v>299</v>
      </c>
      <c r="G159" s="37"/>
      <c r="H159" s="37"/>
      <c r="K159" s="9"/>
      <c r="L159" s="9"/>
      <c r="M159" s="9"/>
    </row>
    <row r="160" spans="1:13">
      <c r="A160" s="12" t="s">
        <v>606</v>
      </c>
      <c r="D160" s="294">
        <f>0</f>
        <v>0</v>
      </c>
      <c r="E160" s="37" t="s">
        <v>56</v>
      </c>
      <c r="F160" s="37" t="s">
        <v>317</v>
      </c>
      <c r="G160" s="37"/>
      <c r="H160" s="37"/>
      <c r="K160" s="9"/>
      <c r="L160" s="9"/>
      <c r="M160" s="9"/>
    </row>
    <row r="161" spans="1:18" ht="15.75">
      <c r="A161" s="553" t="s">
        <v>620</v>
      </c>
      <c r="B161" s="9"/>
      <c r="C161" s="9"/>
      <c r="D161" s="291">
        <f>Z_2_Pv</f>
        <v>2.0599999999999996</v>
      </c>
      <c r="E161" s="142" t="s">
        <v>56</v>
      </c>
      <c r="F161" s="142" t="s">
        <v>710</v>
      </c>
      <c r="G161" s="9"/>
      <c r="H161" s="105"/>
      <c r="I161" s="9"/>
      <c r="J161" s="9"/>
      <c r="K161" s="496"/>
      <c r="L161" s="477"/>
      <c r="M161" s="87"/>
    </row>
    <row r="162" spans="1:18">
      <c r="E162" s="37"/>
      <c r="F162" s="37"/>
      <c r="G162" s="37"/>
      <c r="H162" s="37"/>
      <c r="K162" s="11"/>
      <c r="L162" s="228"/>
      <c r="M162" s="7"/>
    </row>
    <row r="163" spans="1:18">
      <c r="A163" s="10" t="s">
        <v>338</v>
      </c>
      <c r="C163" s="37"/>
      <c r="E163" s="37"/>
      <c r="F163" s="37" t="s">
        <v>260</v>
      </c>
      <c r="K163" s="228"/>
      <c r="L163" s="228"/>
      <c r="M163" s="7"/>
    </row>
    <row r="164" spans="1:18">
      <c r="A164" s="37" t="s">
        <v>271</v>
      </c>
      <c r="D164" s="294">
        <v>0.57999999999999996</v>
      </c>
      <c r="E164" s="37" t="s">
        <v>261</v>
      </c>
      <c r="F164" s="384">
        <f>D164/1000</f>
        <v>5.8E-4</v>
      </c>
      <c r="G164" s="37" t="s">
        <v>264</v>
      </c>
      <c r="K164" s="228"/>
      <c r="L164" s="228"/>
      <c r="M164" s="7"/>
    </row>
    <row r="165" spans="1:18">
      <c r="A165" s="37"/>
      <c r="B165" s="37" t="s">
        <v>270</v>
      </c>
      <c r="D165" s="294">
        <v>0.16</v>
      </c>
      <c r="E165" s="37" t="s">
        <v>261</v>
      </c>
      <c r="F165" s="384">
        <f>D165/1000</f>
        <v>1.6000000000000001E-4</v>
      </c>
      <c r="G165" s="37" t="s">
        <v>264</v>
      </c>
      <c r="K165" s="228"/>
      <c r="L165" s="228"/>
      <c r="M165" s="7"/>
    </row>
    <row r="166" spans="1:18">
      <c r="A166" s="37" t="s">
        <v>269</v>
      </c>
      <c r="D166" s="294">
        <v>0.47</v>
      </c>
      <c r="E166" s="37" t="s">
        <v>261</v>
      </c>
      <c r="F166" s="384">
        <f>D166/1000</f>
        <v>4.6999999999999999E-4</v>
      </c>
      <c r="G166" s="37" t="s">
        <v>264</v>
      </c>
      <c r="K166" s="228"/>
      <c r="L166" s="228"/>
      <c r="M166" s="7"/>
    </row>
    <row r="167" spans="1:18">
      <c r="A167" s="37" t="s">
        <v>267</v>
      </c>
      <c r="D167" s="294">
        <v>3.4</v>
      </c>
      <c r="E167" t="s">
        <v>49</v>
      </c>
      <c r="F167" s="37"/>
      <c r="K167" s="228"/>
      <c r="L167" s="228"/>
      <c r="M167" s="7"/>
    </row>
    <row r="168" spans="1:18">
      <c r="A168" s="37" t="s">
        <v>268</v>
      </c>
      <c r="D168" s="291">
        <f>2+(D167-2*D164)/D165</f>
        <v>16</v>
      </c>
      <c r="E168" t="s">
        <v>50</v>
      </c>
      <c r="F168" s="138"/>
      <c r="G168" s="37"/>
    </row>
    <row r="169" spans="1:18">
      <c r="A169" s="37" t="s">
        <v>272</v>
      </c>
      <c r="D169" s="294">
        <f>IF(D168&gt;=100,100,100-D168)</f>
        <v>84</v>
      </c>
      <c r="E169" t="s">
        <v>50</v>
      </c>
    </row>
    <row r="170" spans="1:18">
      <c r="A170" s="37" t="s">
        <v>273</v>
      </c>
      <c r="D170" s="294">
        <f>IF(D169=100,0,D169*D166)</f>
        <v>39.479999999999997</v>
      </c>
      <c r="E170" t="s">
        <v>51</v>
      </c>
      <c r="F170" s="384">
        <f>D170/1000</f>
        <v>3.9479999999999994E-2</v>
      </c>
      <c r="G170" s="37" t="s">
        <v>209</v>
      </c>
      <c r="H170" s="9"/>
      <c r="I170" s="9"/>
    </row>
    <row r="171" spans="1:18">
      <c r="E171" s="17"/>
      <c r="I171" s="9"/>
      <c r="J171" s="9"/>
    </row>
    <row r="172" spans="1:18">
      <c r="A172" s="10" t="s">
        <v>339</v>
      </c>
      <c r="B172" s="10"/>
      <c r="E172" s="17"/>
      <c r="F172" s="37" t="s">
        <v>337</v>
      </c>
      <c r="I172" s="9"/>
      <c r="J172" s="9"/>
      <c r="K172" s="221"/>
      <c r="O172" s="102"/>
    </row>
    <row r="173" spans="1:18" ht="15.75">
      <c r="A173" s="37" t="s">
        <v>300</v>
      </c>
      <c r="B173" s="37"/>
      <c r="D173" s="291">
        <f>IF(RF_ID*RF_CR*RF_D=0,1,MAX(RF_ID,1.1)*RF_CR*MAX(RF_D,1.1))</f>
        <v>1</v>
      </c>
      <c r="E173" s="17"/>
      <c r="F173" s="37"/>
      <c r="I173" s="9"/>
      <c r="J173" s="9"/>
      <c r="K173" s="221"/>
      <c r="O173" s="102"/>
    </row>
    <row r="174" spans="1:18" ht="15.75" customHeight="1">
      <c r="F174" s="102"/>
      <c r="H174" s="234"/>
      <c r="I174" s="9"/>
      <c r="J174" s="597" t="s">
        <v>494</v>
      </c>
      <c r="K174" s="616"/>
      <c r="L174" s="616"/>
      <c r="M174" s="598"/>
      <c r="N174" s="597" t="s">
        <v>495</v>
      </c>
      <c r="O174" s="616"/>
      <c r="P174" s="598"/>
      <c r="Q174" s="597" t="s">
        <v>503</v>
      </c>
      <c r="R174" s="598"/>
    </row>
    <row r="175" spans="1:18" ht="12.75" customHeight="1">
      <c r="E175" s="29"/>
      <c r="J175" s="599"/>
      <c r="K175" s="636"/>
      <c r="L175" s="636"/>
      <c r="M175" s="600"/>
      <c r="N175" s="599"/>
      <c r="O175" s="636"/>
      <c r="P175" s="600"/>
      <c r="Q175" s="599"/>
      <c r="R175" s="600"/>
    </row>
    <row r="176" spans="1:18" ht="15.75">
      <c r="A176" s="100" t="s">
        <v>34</v>
      </c>
      <c r="B176" s="15" t="s">
        <v>35</v>
      </c>
      <c r="C176" s="233" t="s">
        <v>265</v>
      </c>
      <c r="D176" s="100" t="s">
        <v>266</v>
      </c>
      <c r="E176" s="238" t="s">
        <v>66</v>
      </c>
      <c r="F176" s="100" t="s">
        <v>555</v>
      </c>
      <c r="G176" s="139" t="s">
        <v>556</v>
      </c>
      <c r="H176" s="100" t="s">
        <v>295</v>
      </c>
      <c r="I176" s="233" t="s">
        <v>296</v>
      </c>
      <c r="J176" s="100" t="s">
        <v>508</v>
      </c>
      <c r="K176" s="465" t="s">
        <v>509</v>
      </c>
      <c r="L176" s="250" t="s">
        <v>510</v>
      </c>
      <c r="M176" s="98" t="s">
        <v>298</v>
      </c>
      <c r="N176" s="250" t="s">
        <v>552</v>
      </c>
      <c r="O176" s="98" t="s">
        <v>297</v>
      </c>
      <c r="P176" s="250" t="s">
        <v>520</v>
      </c>
      <c r="Q176" s="286" t="s">
        <v>499</v>
      </c>
      <c r="R176" s="286" t="s">
        <v>500</v>
      </c>
    </row>
    <row r="177" spans="1:19" ht="14.25">
      <c r="A177" s="209" t="s">
        <v>352</v>
      </c>
      <c r="B177" s="28" t="s">
        <v>42</v>
      </c>
      <c r="C177" s="231" t="s">
        <v>262</v>
      </c>
      <c r="D177" s="209" t="s">
        <v>262</v>
      </c>
      <c r="E177" s="231" t="s">
        <v>262</v>
      </c>
      <c r="F177" s="209" t="s">
        <v>263</v>
      </c>
      <c r="G177" s="209" t="s">
        <v>263</v>
      </c>
      <c r="H177" s="209" t="s">
        <v>263</v>
      </c>
      <c r="I177" s="231" t="s">
        <v>525</v>
      </c>
      <c r="J177" s="28" t="s">
        <v>154</v>
      </c>
      <c r="K177" s="209" t="s">
        <v>154</v>
      </c>
      <c r="L177" s="28" t="s">
        <v>154</v>
      </c>
      <c r="M177" s="28" t="s">
        <v>154</v>
      </c>
      <c r="N177" s="62" t="s">
        <v>154</v>
      </c>
      <c r="O177" s="28" t="s">
        <v>154</v>
      </c>
      <c r="P177" s="62" t="s">
        <v>154</v>
      </c>
      <c r="Q177" s="28" t="s">
        <v>154</v>
      </c>
      <c r="R177" s="28" t="s">
        <v>154</v>
      </c>
      <c r="S177" s="37"/>
    </row>
    <row r="178" spans="1:19">
      <c r="A178" s="435">
        <f>IF(INPUT!B111="---","---",INPUT!A111)</f>
        <v>1</v>
      </c>
      <c r="B178" s="309">
        <f>IF(A178="---","---",IF(A178=1,Z_1,INPUT!B111))</f>
        <v>1.5</v>
      </c>
      <c r="C178" s="309">
        <f>IF(A178="---","---",INPUT!G111)</f>
        <v>0.16300000000000001</v>
      </c>
      <c r="D178" s="309">
        <f t="shared" ref="D178:D209" si="53">IF(A178="---","---",IF(C178=0,0,C178-2*$F$170))</f>
        <v>8.4040000000000017E-2</v>
      </c>
      <c r="E178" s="337">
        <f>IF(A178="---","---",INPUT!H111-2*$F$170)</f>
        <v>-7.8959999999999989E-2</v>
      </c>
      <c r="F178" s="309">
        <f>IF(A178="---","---",IF(INPUT!K111&gt;0,INPUT!K111,IF(INPUT!H111&gt;0,INPUT!F111*E178^2*PI()/4,D178*INPUT!E111)))</f>
        <v>0.16808000000000003</v>
      </c>
      <c r="G178" s="309">
        <f>IF(A178="---","---",IF(INPUT!K111&gt;0,INPUT!K111,INPUT!E111*INPUT!G111))</f>
        <v>0.32600000000000001</v>
      </c>
      <c r="H178" s="309">
        <f t="shared" ref="H178:H227" si="54">IF(A178="---","---",IF(Type_Reinf="g",G178,F178))</f>
        <v>0.16808000000000003</v>
      </c>
      <c r="I178" s="436">
        <f>IF(A178="---","---",IF(Reinf_cont="y",1,IF(INPUT!D111=0,0,INPUT!E111/(INPUT!D111*12))))</f>
        <v>6.7204301075268827E-2</v>
      </c>
      <c r="J178" s="309">
        <f>IF(A178="---","---",IF(Type_Reinf="g","---",IF(INPUT!D111=0,0,H178*(Fy/2)/(INPUT!E111/12))))</f>
        <v>30.254400000000004</v>
      </c>
      <c r="K178" s="309" t="str">
        <f>IF(A178="---","---",IF(Type_Reinf="g",(INPUT!M111+INPUT!N111),"---"))</f>
        <v>---</v>
      </c>
      <c r="L178" s="309" t="str">
        <f t="shared" ref="L178:L209" si="55">IF(A178="---","---",IF(Type_Reinf="g",K178/$D$173,"---"))</f>
        <v>---</v>
      </c>
      <c r="M178" s="309">
        <f t="shared" ref="M178:M227" si="56">IF(A178="---","---",IF(Type_Reinf="g",L178,J178)*phi_Tensile_Static*I178)</f>
        <v>1.5249193548387101</v>
      </c>
      <c r="N178" s="309" t="str">
        <f>IF(A178="---","---",IF(Type_Reinf="g",K178*INPUT!L111/MAX(RF_D,1.1),"---"))</f>
        <v>---</v>
      </c>
      <c r="O178" s="309" t="str">
        <f t="shared" ref="O178:O209" si="57">IF(A178="---","---",IF(Type_Reinf="g",phi_Tensile_Static*N178*I178,"---"))</f>
        <v>---</v>
      </c>
      <c r="P178" s="309">
        <f>IF(A178="---","---",IF(Type_Reinf="g","---",INPUT!O111))</f>
        <v>5</v>
      </c>
      <c r="Q178" s="309" t="str">
        <f>IF(Type_Reinf="g",IF(A178="---","---",phi_Tensile_Static*I178*INPUT!M111/$D$173),"---")</f>
        <v>---</v>
      </c>
      <c r="R178" s="337" t="str">
        <f>IF(Type_Reinf="g",IF(A178="---","---",phi_Tensile_Combined*I178*INPUT!N111/(MAX(RF_ID,1.1)*MAX(RF_D,1.1))),"---")</f>
        <v>---</v>
      </c>
    </row>
    <row r="179" spans="1:19">
      <c r="A179" s="435">
        <f>IF(INPUT!B112="---","---",INPUT!A112)</f>
        <v>2</v>
      </c>
      <c r="B179" s="309">
        <f>IF(A179="---","---",IF(A179=1,Z_1,INPUT!B112))</f>
        <v>4</v>
      </c>
      <c r="C179" s="309">
        <f>IF(A179="---","---",INPUT!G112)</f>
        <v>0.16300000000000001</v>
      </c>
      <c r="D179" s="309">
        <f t="shared" si="53"/>
        <v>8.4040000000000017E-2</v>
      </c>
      <c r="E179" s="337">
        <f>IF(A179="---","---",INPUT!H112-2*$F$170)</f>
        <v>-7.8959999999999989E-2</v>
      </c>
      <c r="F179" s="309">
        <f>IF(A179="---","---",IF(INPUT!K112&gt;0,INPUT!K112,IF(INPUT!H112&gt;0,INPUT!F112*E179^2*PI()/4,D179*INPUT!E112)))</f>
        <v>0.16808000000000003</v>
      </c>
      <c r="G179" s="309">
        <f>IF(A179="---","---",IF(INPUT!K112&gt;0,INPUT!K112,INPUT!E112*INPUT!G112))</f>
        <v>0.32600000000000001</v>
      </c>
      <c r="H179" s="309">
        <f t="shared" si="54"/>
        <v>0.16808000000000003</v>
      </c>
      <c r="I179" s="436">
        <f>IF(A179="---","---",IF(Reinf_cont="y",1,IF(INPUT!D112=0,0,INPUT!E112/(INPUT!D112*12))))</f>
        <v>6.7204301075268827E-2</v>
      </c>
      <c r="J179" s="309">
        <f>IF(A179="---","---",IF(Type_Reinf="g","---",IF(INPUT!D112=0,0,H179*(Fy/2)/(INPUT!E112/12))))</f>
        <v>30.254400000000004</v>
      </c>
      <c r="K179" s="309" t="str">
        <f>IF(A179="---","---",IF(Type_Reinf="g",(INPUT!M112+INPUT!N112),"---"))</f>
        <v>---</v>
      </c>
      <c r="L179" s="309" t="str">
        <f t="shared" si="55"/>
        <v>---</v>
      </c>
      <c r="M179" s="309">
        <f t="shared" si="56"/>
        <v>1.5249193548387101</v>
      </c>
      <c r="N179" s="309" t="str">
        <f>IF(A179="---","---",IF(Type_Reinf="g",K179*INPUT!L112/MAX(RF_D,1.1),"---"))</f>
        <v>---</v>
      </c>
      <c r="O179" s="309" t="str">
        <f t="shared" si="57"/>
        <v>---</v>
      </c>
      <c r="P179" s="309">
        <f>IF(A179="---","---",IF(Type_Reinf="g","---",INPUT!O112))</f>
        <v>5</v>
      </c>
      <c r="Q179" s="309" t="str">
        <f>IF(Type_Reinf="g",IF(A179="---","---",phi_Tensile_Static*I179*INPUT!M112/$D$173),"---")</f>
        <v>---</v>
      </c>
      <c r="R179" s="337" t="str">
        <f>IF(Type_Reinf="g",IF(A179="---","---",phi_Tensile_Combined*I179*INPUT!N112/(MAX(RF_ID,1.1)*MAX(RF_D,1.1))),"---")</f>
        <v>---</v>
      </c>
    </row>
    <row r="180" spans="1:19">
      <c r="A180" s="435">
        <f>IF(INPUT!B113="---","---",INPUT!A113)</f>
        <v>3</v>
      </c>
      <c r="B180" s="309">
        <f>IF(A180="---","---",IF(A180=1,Z_1,INPUT!B113))</f>
        <v>6.5</v>
      </c>
      <c r="C180" s="309">
        <f>IF(A180="---","---",INPUT!G113)</f>
        <v>0.16300000000000001</v>
      </c>
      <c r="D180" s="309">
        <f t="shared" si="53"/>
        <v>8.4040000000000017E-2</v>
      </c>
      <c r="E180" s="337">
        <f>IF(A180="---","---",INPUT!H113-2*$F$170)</f>
        <v>-7.8959999999999989E-2</v>
      </c>
      <c r="F180" s="309">
        <f>IF(A180="---","---",IF(INPUT!K113&gt;0,INPUT!K113,IF(INPUT!H113&gt;0,INPUT!F113*E180^2*PI()/4,D180*INPUT!E113)))</f>
        <v>0.16808000000000003</v>
      </c>
      <c r="G180" s="309">
        <f>IF(A180="---","---",IF(INPUT!K113&gt;0,INPUT!K113,INPUT!E113*INPUT!G113))</f>
        <v>0.32600000000000001</v>
      </c>
      <c r="H180" s="309">
        <f t="shared" si="54"/>
        <v>0.16808000000000003</v>
      </c>
      <c r="I180" s="436">
        <f>IF(A180="---","---",IF(Reinf_cont="y",1,IF(INPUT!D113=0,0,INPUT!E113/(INPUT!D113*12))))</f>
        <v>6.7204301075268827E-2</v>
      </c>
      <c r="J180" s="309">
        <f>IF(A180="---","---",IF(Type_Reinf="g","---",IF(INPUT!D113=0,0,H180*(Fy/2)/(INPUT!E113/12))))</f>
        <v>30.254400000000004</v>
      </c>
      <c r="K180" s="309" t="str">
        <f>IF(A180="---","---",IF(Type_Reinf="g",(INPUT!M113+INPUT!N113),"---"))</f>
        <v>---</v>
      </c>
      <c r="L180" s="309" t="str">
        <f t="shared" si="55"/>
        <v>---</v>
      </c>
      <c r="M180" s="309">
        <f t="shared" si="56"/>
        <v>1.5249193548387101</v>
      </c>
      <c r="N180" s="309" t="str">
        <f>IF(A180="---","---",IF(Type_Reinf="g",K180*INPUT!L113/MAX(RF_D,1.1),"---"))</f>
        <v>---</v>
      </c>
      <c r="O180" s="309" t="str">
        <f t="shared" si="57"/>
        <v>---</v>
      </c>
      <c r="P180" s="309">
        <f>IF(A180="---","---",IF(Type_Reinf="g","---",INPUT!O113))</f>
        <v>5</v>
      </c>
      <c r="Q180" s="309" t="str">
        <f>IF(Type_Reinf="g",IF(A180="---","---",phi_Tensile_Static*I180*INPUT!M113/$D$173),"---")</f>
        <v>---</v>
      </c>
      <c r="R180" s="337" t="str">
        <f>IF(Type_Reinf="g",IF(A180="---","---",phi_Tensile_Combined*I180*INPUT!N113/(MAX(RF_ID,1.1)*MAX(RF_D,1.1))),"---")</f>
        <v>---</v>
      </c>
    </row>
    <row r="181" spans="1:19">
      <c r="A181" s="435">
        <f>IF(INPUT!B114="---","---",INPUT!A114)</f>
        <v>4</v>
      </c>
      <c r="B181" s="309">
        <f>IF(A181="---","---",IF(A181=1,Z_1,INPUT!B114))</f>
        <v>9</v>
      </c>
      <c r="C181" s="309">
        <f>IF(A181="---","---",INPUT!G114)</f>
        <v>0.16300000000000001</v>
      </c>
      <c r="D181" s="309">
        <f t="shared" si="53"/>
        <v>8.4040000000000017E-2</v>
      </c>
      <c r="E181" s="337">
        <f>IF(A181="---","---",INPUT!H114-2*$F$170)</f>
        <v>-7.8959999999999989E-2</v>
      </c>
      <c r="F181" s="309">
        <f>IF(A181="---","---",IF(INPUT!K114&gt;0,INPUT!K114,IF(INPUT!H114&gt;0,INPUT!F114*E181^2*PI()/4,D181*INPUT!E114)))</f>
        <v>0.16808000000000003</v>
      </c>
      <c r="G181" s="309">
        <f>IF(A181="---","---",IF(INPUT!K114&gt;0,INPUT!K114,INPUT!E114*INPUT!G114))</f>
        <v>0.32600000000000001</v>
      </c>
      <c r="H181" s="309">
        <f t="shared" si="54"/>
        <v>0.16808000000000003</v>
      </c>
      <c r="I181" s="436">
        <f>IF(A181="---","---",IF(Reinf_cont="y",1,IF(INPUT!D114=0,0,INPUT!E114/(INPUT!D114*12))))</f>
        <v>6.7204301075268827E-2</v>
      </c>
      <c r="J181" s="309">
        <f>IF(A181="---","---",IF(Type_Reinf="g","---",IF(INPUT!D114=0,0,H181*(Fy/2)/(INPUT!E114/12))))</f>
        <v>30.254400000000004</v>
      </c>
      <c r="K181" s="309" t="str">
        <f>IF(A181="---","---",IF(Type_Reinf="g",(INPUT!M114+INPUT!N114),"---"))</f>
        <v>---</v>
      </c>
      <c r="L181" s="309" t="str">
        <f t="shared" si="55"/>
        <v>---</v>
      </c>
      <c r="M181" s="309">
        <f t="shared" si="56"/>
        <v>1.5249193548387101</v>
      </c>
      <c r="N181" s="309" t="str">
        <f>IF(A181="---","---",IF(Type_Reinf="g",K181*INPUT!L114/MAX(RF_D,1.1),"---"))</f>
        <v>---</v>
      </c>
      <c r="O181" s="309" t="str">
        <f t="shared" si="57"/>
        <v>---</v>
      </c>
      <c r="P181" s="309">
        <f>IF(A181="---","---",IF(Type_Reinf="g","---",INPUT!O114))</f>
        <v>5</v>
      </c>
      <c r="Q181" s="309" t="str">
        <f>IF(Type_Reinf="g",IF(A181="---","---",phi_Tensile_Static*I181*INPUT!M114/$D$173),"---")</f>
        <v>---</v>
      </c>
      <c r="R181" s="337" t="str">
        <f>IF(Type_Reinf="g",IF(A181="---","---",phi_Tensile_Combined*I181*INPUT!N114/(MAX(RF_ID,1.1)*MAX(RF_D,1.1))),"---")</f>
        <v>---</v>
      </c>
    </row>
    <row r="182" spans="1:19">
      <c r="A182" s="435">
        <f>IF(INPUT!B115="---","---",INPUT!A115)</f>
        <v>5</v>
      </c>
      <c r="B182" s="309">
        <f>IF(A182="---","---",IF(A182=1,Z_1,INPUT!B115))</f>
        <v>11.5</v>
      </c>
      <c r="C182" s="309">
        <f>IF(A182="---","---",INPUT!G115)</f>
        <v>0.16300000000000001</v>
      </c>
      <c r="D182" s="309">
        <f t="shared" si="53"/>
        <v>8.4040000000000017E-2</v>
      </c>
      <c r="E182" s="337">
        <f>IF(A182="---","---",INPUT!H115-2*$F$170)</f>
        <v>-7.8959999999999989E-2</v>
      </c>
      <c r="F182" s="309">
        <f>IF(A182="---","---",IF(INPUT!K115&gt;0,INPUT!K115,IF(INPUT!H115&gt;0,INPUT!F115*E182^2*PI()/4,D182*INPUT!E115)))</f>
        <v>0.16808000000000003</v>
      </c>
      <c r="G182" s="309">
        <f>IF(A182="---","---",IF(INPUT!K115&gt;0,INPUT!K115,INPUT!E115*INPUT!G115))</f>
        <v>0.32600000000000001</v>
      </c>
      <c r="H182" s="309">
        <f t="shared" si="54"/>
        <v>0.16808000000000003</v>
      </c>
      <c r="I182" s="436">
        <f>IF(A182="---","---",IF(Reinf_cont="y",1,IF(INPUT!D115=0,0,INPUT!E115/(INPUT!D115*12))))</f>
        <v>6.7204301075268827E-2</v>
      </c>
      <c r="J182" s="309">
        <f>IF(A182="---","---",IF(Type_Reinf="g","---",IF(INPUT!D115=0,0,H182*(Fy/2)/(INPUT!E115/12))))</f>
        <v>30.254400000000004</v>
      </c>
      <c r="K182" s="309" t="str">
        <f>IF(A182="---","---",IF(Type_Reinf="g",(INPUT!M115+INPUT!N115),"---"))</f>
        <v>---</v>
      </c>
      <c r="L182" s="309" t="str">
        <f t="shared" si="55"/>
        <v>---</v>
      </c>
      <c r="M182" s="309">
        <f t="shared" si="56"/>
        <v>1.5249193548387101</v>
      </c>
      <c r="N182" s="309" t="str">
        <f>IF(A182="---","---",IF(Type_Reinf="g",K182*INPUT!L115/MAX(RF_D,1.1),"---"))</f>
        <v>---</v>
      </c>
      <c r="O182" s="309" t="str">
        <f t="shared" si="57"/>
        <v>---</v>
      </c>
      <c r="P182" s="309">
        <f>IF(A182="---","---",IF(Type_Reinf="g","---",INPUT!O115))</f>
        <v>5</v>
      </c>
      <c r="Q182" s="309" t="str">
        <f>IF(Type_Reinf="g",IF(A182="---","---",phi_Tensile_Static*I182*INPUT!M115/$D$173),"---")</f>
        <v>---</v>
      </c>
      <c r="R182" s="337" t="str">
        <f>IF(Type_Reinf="g",IF(A182="---","---",phi_Tensile_Combined*I182*INPUT!N115/(MAX(RF_ID,1.1)*MAX(RF_D,1.1))),"---")</f>
        <v>---</v>
      </c>
      <c r="S182" s="234"/>
    </row>
    <row r="183" spans="1:19">
      <c r="A183" s="435">
        <f>IF(INPUT!B116="---","---",INPUT!A116)</f>
        <v>6</v>
      </c>
      <c r="B183" s="309">
        <f>IF(A183="---","---",IF(A183=1,Z_1,INPUT!B116))</f>
        <v>14</v>
      </c>
      <c r="C183" s="309">
        <f>IF(A183="---","---",INPUT!G116)</f>
        <v>0.16300000000000001</v>
      </c>
      <c r="D183" s="309">
        <f t="shared" si="53"/>
        <v>8.4040000000000017E-2</v>
      </c>
      <c r="E183" s="337">
        <f>IF(A183="---","---",INPUT!H116-2*$F$170)</f>
        <v>-7.8959999999999989E-2</v>
      </c>
      <c r="F183" s="309">
        <f>IF(A183="---","---",IF(INPUT!K116&gt;0,INPUT!K116,IF(INPUT!H116&gt;0,INPUT!F116*E183^2*PI()/4,D183*INPUT!E116)))</f>
        <v>0.16808000000000003</v>
      </c>
      <c r="G183" s="309">
        <f>IF(A183="---","---",IF(INPUT!K116&gt;0,INPUT!K116,INPUT!E116*INPUT!G116))</f>
        <v>0.32600000000000001</v>
      </c>
      <c r="H183" s="309">
        <f t="shared" si="54"/>
        <v>0.16808000000000003</v>
      </c>
      <c r="I183" s="436">
        <f>IF(A183="---","---",IF(Reinf_cont="y",1,IF(INPUT!D116=0,0,INPUT!E116/(INPUT!D116*12))))</f>
        <v>6.7204301075268827E-2</v>
      </c>
      <c r="J183" s="309">
        <f>IF(A183="---","---",IF(Type_Reinf="g","---",IF(INPUT!D116=0,0,H183*(Fy/2)/(INPUT!E116/12))))</f>
        <v>30.254400000000004</v>
      </c>
      <c r="K183" s="309" t="str">
        <f>IF(A183="---","---",IF(Type_Reinf="g",(INPUT!M116+INPUT!N116),"---"))</f>
        <v>---</v>
      </c>
      <c r="L183" s="309" t="str">
        <f t="shared" si="55"/>
        <v>---</v>
      </c>
      <c r="M183" s="309">
        <f t="shared" si="56"/>
        <v>1.5249193548387101</v>
      </c>
      <c r="N183" s="309" t="str">
        <f>IF(A183="---","---",IF(Type_Reinf="g",K183*INPUT!L116/MAX(RF_D,1.1),"---"))</f>
        <v>---</v>
      </c>
      <c r="O183" s="309" t="str">
        <f t="shared" si="57"/>
        <v>---</v>
      </c>
      <c r="P183" s="309">
        <f>IF(A183="---","---",IF(Type_Reinf="g","---",INPUT!O116))</f>
        <v>5</v>
      </c>
      <c r="Q183" s="309" t="str">
        <f>IF(Type_Reinf="g",IF(A183="---","---",phi_Tensile_Static*I183*INPUT!M116/$D$173),"---")</f>
        <v>---</v>
      </c>
      <c r="R183" s="337" t="str">
        <f>IF(Type_Reinf="g",IF(A183="---","---",phi_Tensile_Combined*I183*INPUT!N116/(MAX(RF_ID,1.1)*MAX(RF_D,1.1))),"---")</f>
        <v>---</v>
      </c>
      <c r="S183" s="234"/>
    </row>
    <row r="184" spans="1:19">
      <c r="A184" s="435" t="str">
        <f>IF(INPUT!B117="---","---",INPUT!A117)</f>
        <v>---</v>
      </c>
      <c r="B184" s="309" t="str">
        <f>IF(A184="---","---",IF(A184=1,Z_1,INPUT!B117))</f>
        <v>---</v>
      </c>
      <c r="C184" s="309" t="str">
        <f>IF(A184="---","---",INPUT!G117)</f>
        <v>---</v>
      </c>
      <c r="D184" s="309" t="str">
        <f t="shared" si="53"/>
        <v>---</v>
      </c>
      <c r="E184" s="337" t="str">
        <f>IF(A184="---","---",INPUT!H117-2*$F$170)</f>
        <v>---</v>
      </c>
      <c r="F184" s="309" t="str">
        <f>IF(A184="---","---",IF(INPUT!K117&gt;0,INPUT!K117,IF(INPUT!H117&gt;0,INPUT!F117*E184^2*PI()/4,D184*INPUT!E117)))</f>
        <v>---</v>
      </c>
      <c r="G184" s="309" t="str">
        <f>IF(A184="---","---",IF(INPUT!K117&gt;0,INPUT!K117,INPUT!E117*INPUT!G117))</f>
        <v>---</v>
      </c>
      <c r="H184" s="309" t="str">
        <f t="shared" si="54"/>
        <v>---</v>
      </c>
      <c r="I184" s="436" t="str">
        <f>IF(A184="---","---",IF(Reinf_cont="y",1,IF(INPUT!D117=0,0,INPUT!E117/(INPUT!D117*12))))</f>
        <v>---</v>
      </c>
      <c r="J184" s="309" t="str">
        <f>IF(A184="---","---",IF(Type_Reinf="g","---",IF(INPUT!D117=0,0,H184*(Fy/2)/(INPUT!E117/12))))</f>
        <v>---</v>
      </c>
      <c r="K184" s="309" t="str">
        <f>IF(A184="---","---",IF(Type_Reinf="g",(INPUT!M117+INPUT!N117),"---"))</f>
        <v>---</v>
      </c>
      <c r="L184" s="309" t="str">
        <f t="shared" si="55"/>
        <v>---</v>
      </c>
      <c r="M184" s="309" t="str">
        <f t="shared" si="56"/>
        <v>---</v>
      </c>
      <c r="N184" s="309" t="str">
        <f>IF(A184="---","---",IF(Type_Reinf="g",K184*INPUT!L117/MAX(RF_D,1.1),"---"))</f>
        <v>---</v>
      </c>
      <c r="O184" s="309" t="str">
        <f t="shared" si="57"/>
        <v>---</v>
      </c>
      <c r="P184" s="309" t="str">
        <f>IF(A184="---","---",IF(Type_Reinf="g","---",INPUT!O117))</f>
        <v>---</v>
      </c>
      <c r="Q184" s="309" t="str">
        <f>IF(Type_Reinf="g",IF(A184="---","---",phi_Tensile_Static*I184*INPUT!M117/$D$173),"---")</f>
        <v>---</v>
      </c>
      <c r="R184" s="337" t="str">
        <f>IF(Type_Reinf="g",IF(A184="---","---",phi_Tensile_Combined*I184*INPUT!N117/(MAX(RF_ID,1.1)*MAX(RF_D,1.1))),"---")</f>
        <v>---</v>
      </c>
      <c r="S184" s="22"/>
    </row>
    <row r="185" spans="1:19">
      <c r="A185" s="435" t="str">
        <f>IF(INPUT!B118="---","---",INPUT!A118)</f>
        <v>---</v>
      </c>
      <c r="B185" s="309" t="str">
        <f>IF(A185="---","---",IF(A185=1,Z_1,INPUT!B118))</f>
        <v>---</v>
      </c>
      <c r="C185" s="309" t="str">
        <f>IF(A185="---","---",INPUT!G118)</f>
        <v>---</v>
      </c>
      <c r="D185" s="309" t="str">
        <f t="shared" si="53"/>
        <v>---</v>
      </c>
      <c r="E185" s="337" t="str">
        <f>IF(A185="---","---",INPUT!H118-2*$F$170)</f>
        <v>---</v>
      </c>
      <c r="F185" s="309" t="str">
        <f>IF(A185="---","---",IF(INPUT!K118&gt;0,INPUT!K118,IF(INPUT!H118&gt;0,INPUT!F118*E185^2*PI()/4,D185*INPUT!E118)))</f>
        <v>---</v>
      </c>
      <c r="G185" s="309" t="str">
        <f>IF(A185="---","---",IF(INPUT!K118&gt;0,INPUT!K118,INPUT!E118*INPUT!G118))</f>
        <v>---</v>
      </c>
      <c r="H185" s="309" t="str">
        <f t="shared" si="54"/>
        <v>---</v>
      </c>
      <c r="I185" s="436" t="str">
        <f>IF(A185="---","---",IF(Reinf_cont="y",1,IF(INPUT!D118=0,0,INPUT!E118/(INPUT!D118*12))))</f>
        <v>---</v>
      </c>
      <c r="J185" s="309" t="str">
        <f>IF(A185="---","---",IF(Type_Reinf="g","---",IF(INPUT!D118=0,0,H185*(Fy/2)/(INPUT!E118/12))))</f>
        <v>---</v>
      </c>
      <c r="K185" s="309" t="str">
        <f>IF(A185="---","---",IF(Type_Reinf="g",(INPUT!M118+INPUT!N118),"---"))</f>
        <v>---</v>
      </c>
      <c r="L185" s="309" t="str">
        <f t="shared" si="55"/>
        <v>---</v>
      </c>
      <c r="M185" s="309" t="str">
        <f t="shared" si="56"/>
        <v>---</v>
      </c>
      <c r="N185" s="309" t="str">
        <f>IF(A185="---","---",IF(Type_Reinf="g",K185*INPUT!L118/MAX(RF_D,1.1),"---"))</f>
        <v>---</v>
      </c>
      <c r="O185" s="309" t="str">
        <f t="shared" si="57"/>
        <v>---</v>
      </c>
      <c r="P185" s="309" t="str">
        <f>IF(A185="---","---",IF(Type_Reinf="g","---",INPUT!O118))</f>
        <v>---</v>
      </c>
      <c r="Q185" s="309" t="str">
        <f>IF(Type_Reinf="g",IF(A185="---","---",phi_Tensile_Static*I185*INPUT!M118/$D$173),"---")</f>
        <v>---</v>
      </c>
      <c r="R185" s="337" t="str">
        <f>IF(Type_Reinf="g",IF(A185="---","---",phi_Tensile_Combined*I185*INPUT!N118/(MAX(RF_ID,1.1)*MAX(RF_D,1.1))),"---")</f>
        <v>---</v>
      </c>
      <c r="S185" s="22"/>
    </row>
    <row r="186" spans="1:19">
      <c r="A186" s="435" t="str">
        <f>IF(INPUT!B119="---","---",INPUT!A119)</f>
        <v>---</v>
      </c>
      <c r="B186" s="309" t="str">
        <f>IF(A186="---","---",IF(A186=1,Z_1,INPUT!B119))</f>
        <v>---</v>
      </c>
      <c r="C186" s="309" t="str">
        <f>IF(A186="---","---",INPUT!G119)</f>
        <v>---</v>
      </c>
      <c r="D186" s="309" t="str">
        <f t="shared" si="53"/>
        <v>---</v>
      </c>
      <c r="E186" s="337" t="str">
        <f>IF(A186="---","---",INPUT!H119-2*$F$170)</f>
        <v>---</v>
      </c>
      <c r="F186" s="309" t="str">
        <f>IF(A186="---","---",IF(INPUT!K119&gt;0,INPUT!K119,IF(INPUT!H119&gt;0,INPUT!F119*E186^2*PI()/4,D186*INPUT!E119)))</f>
        <v>---</v>
      </c>
      <c r="G186" s="309" t="str">
        <f>IF(A186="---","---",IF(INPUT!K119&gt;0,INPUT!K119,INPUT!E119*INPUT!G119))</f>
        <v>---</v>
      </c>
      <c r="H186" s="309" t="str">
        <f t="shared" si="54"/>
        <v>---</v>
      </c>
      <c r="I186" s="436" t="str">
        <f>IF(A186="---","---",IF(Reinf_cont="y",1,IF(INPUT!D119=0,0,INPUT!E119/(INPUT!D119*12))))</f>
        <v>---</v>
      </c>
      <c r="J186" s="309" t="str">
        <f>IF(A186="---","---",IF(Type_Reinf="g","---",IF(INPUT!D119=0,0,H186*(Fy/2)/(INPUT!E119/12))))</f>
        <v>---</v>
      </c>
      <c r="K186" s="309" t="str">
        <f>IF(A186="---","---",IF(Type_Reinf="g",(INPUT!M119+INPUT!N119),"---"))</f>
        <v>---</v>
      </c>
      <c r="L186" s="309" t="str">
        <f t="shared" si="55"/>
        <v>---</v>
      </c>
      <c r="M186" s="309" t="str">
        <f t="shared" si="56"/>
        <v>---</v>
      </c>
      <c r="N186" s="309" t="str">
        <f>IF(A186="---","---",IF(Type_Reinf="g",K186*INPUT!L119/MAX(RF_D,1.1),"---"))</f>
        <v>---</v>
      </c>
      <c r="O186" s="309" t="str">
        <f t="shared" si="57"/>
        <v>---</v>
      </c>
      <c r="P186" s="309" t="str">
        <f>IF(A186="---","---",IF(Type_Reinf="g","---",INPUT!O119))</f>
        <v>---</v>
      </c>
      <c r="Q186" s="309" t="str">
        <f>IF(Type_Reinf="g",IF(A186="---","---",phi_Tensile_Static*I186*INPUT!M119/$D$173),"---")</f>
        <v>---</v>
      </c>
      <c r="R186" s="337" t="str">
        <f>IF(Type_Reinf="g",IF(A186="---","---",phi_Tensile_Combined*I186*INPUT!N119/(MAX(RF_ID,1.1)*MAX(RF_D,1.1))),"---")</f>
        <v>---</v>
      </c>
      <c r="S186" s="22"/>
    </row>
    <row r="187" spans="1:19">
      <c r="A187" s="435" t="str">
        <f>IF(INPUT!B120="---","---",INPUT!A120)</f>
        <v>---</v>
      </c>
      <c r="B187" s="309" t="str">
        <f>IF(A187="---","---",IF(A187=1,Z_1,INPUT!B120))</f>
        <v>---</v>
      </c>
      <c r="C187" s="309" t="str">
        <f>IF(A187="---","---",INPUT!G120)</f>
        <v>---</v>
      </c>
      <c r="D187" s="309" t="str">
        <f t="shared" si="53"/>
        <v>---</v>
      </c>
      <c r="E187" s="337" t="str">
        <f>IF(A187="---","---",INPUT!H120-2*$F$170)</f>
        <v>---</v>
      </c>
      <c r="F187" s="309" t="str">
        <f>IF(A187="---","---",IF(INPUT!K120&gt;0,INPUT!K120,IF(INPUT!H120&gt;0,INPUT!F120*E187^2*PI()/4,D187*INPUT!E120)))</f>
        <v>---</v>
      </c>
      <c r="G187" s="309" t="str">
        <f>IF(A187="---","---",IF(INPUT!K120&gt;0,INPUT!K120,INPUT!E120*INPUT!G120))</f>
        <v>---</v>
      </c>
      <c r="H187" s="309" t="str">
        <f t="shared" si="54"/>
        <v>---</v>
      </c>
      <c r="I187" s="436" t="str">
        <f>IF(A187="---","---",IF(Reinf_cont="y",1,IF(INPUT!D120=0,0,INPUT!E120/(INPUT!D120*12))))</f>
        <v>---</v>
      </c>
      <c r="J187" s="309" t="str">
        <f>IF(A187="---","---",IF(Type_Reinf="g","---",IF(INPUT!D120=0,0,H187*(Fy/2)/(INPUT!E120/12))))</f>
        <v>---</v>
      </c>
      <c r="K187" s="309" t="str">
        <f>IF(A187="---","---",IF(Type_Reinf="g",(INPUT!M120+INPUT!N120),"---"))</f>
        <v>---</v>
      </c>
      <c r="L187" s="309" t="str">
        <f t="shared" si="55"/>
        <v>---</v>
      </c>
      <c r="M187" s="309" t="str">
        <f t="shared" si="56"/>
        <v>---</v>
      </c>
      <c r="N187" s="309" t="str">
        <f>IF(A187="---","---",IF(Type_Reinf="g",K187*INPUT!L120/MAX(RF_D,1.1),"---"))</f>
        <v>---</v>
      </c>
      <c r="O187" s="309" t="str">
        <f t="shared" si="57"/>
        <v>---</v>
      </c>
      <c r="P187" s="309" t="str">
        <f>IF(A187="---","---",IF(Type_Reinf="g","---",INPUT!O120))</f>
        <v>---</v>
      </c>
      <c r="Q187" s="309" t="str">
        <f>IF(Type_Reinf="g",IF(A187="---","---",phi_Tensile_Static*I187*INPUT!M120/$D$173),"---")</f>
        <v>---</v>
      </c>
      <c r="R187" s="337" t="str">
        <f>IF(Type_Reinf="g",IF(A187="---","---",phi_Tensile_Combined*I187*INPUT!N120/(MAX(RF_ID,1.1)*MAX(RF_D,1.1))),"---")</f>
        <v>---</v>
      </c>
      <c r="S187" s="22"/>
    </row>
    <row r="188" spans="1:19">
      <c r="A188" s="435" t="str">
        <f>IF(INPUT!B121="---","---",INPUT!A121)</f>
        <v>---</v>
      </c>
      <c r="B188" s="309" t="str">
        <f>IF(A188="---","---",IF(A188=1,Z_1,INPUT!B121))</f>
        <v>---</v>
      </c>
      <c r="C188" s="309" t="str">
        <f>IF(A188="---","---",INPUT!G121)</f>
        <v>---</v>
      </c>
      <c r="D188" s="309" t="str">
        <f t="shared" si="53"/>
        <v>---</v>
      </c>
      <c r="E188" s="337" t="str">
        <f>IF(A188="---","---",INPUT!H121-2*$F$170)</f>
        <v>---</v>
      </c>
      <c r="F188" s="309" t="str">
        <f>IF(A188="---","---",IF(INPUT!K121&gt;0,INPUT!K121,IF(INPUT!H121&gt;0,INPUT!F121*E188^2*PI()/4,D188*INPUT!E121)))</f>
        <v>---</v>
      </c>
      <c r="G188" s="309" t="str">
        <f>IF(A188="---","---",IF(INPUT!K121&gt;0,INPUT!K121,INPUT!E121*INPUT!G121))</f>
        <v>---</v>
      </c>
      <c r="H188" s="309" t="str">
        <f t="shared" si="54"/>
        <v>---</v>
      </c>
      <c r="I188" s="436" t="str">
        <f>IF(A188="---","---",IF(Reinf_cont="y",1,IF(INPUT!D121=0,0,INPUT!E121/(INPUT!D121*12))))</f>
        <v>---</v>
      </c>
      <c r="J188" s="309" t="str">
        <f>IF(A188="---","---",IF(Type_Reinf="g","---",IF(INPUT!D121=0,0,H188*(Fy/2)/(INPUT!E121/12))))</f>
        <v>---</v>
      </c>
      <c r="K188" s="309" t="str">
        <f>IF(A188="---","---",IF(Type_Reinf="g",(INPUT!M121+INPUT!N121),"---"))</f>
        <v>---</v>
      </c>
      <c r="L188" s="309" t="str">
        <f t="shared" si="55"/>
        <v>---</v>
      </c>
      <c r="M188" s="309" t="str">
        <f t="shared" si="56"/>
        <v>---</v>
      </c>
      <c r="N188" s="309" t="str">
        <f>IF(A188="---","---",IF(Type_Reinf="g",K188*INPUT!L121/MAX(RF_D,1.1),"---"))</f>
        <v>---</v>
      </c>
      <c r="O188" s="309" t="str">
        <f t="shared" si="57"/>
        <v>---</v>
      </c>
      <c r="P188" s="309" t="str">
        <f>IF(A188="---","---",IF(Type_Reinf="g","---",INPUT!O121))</f>
        <v>---</v>
      </c>
      <c r="Q188" s="309" t="str">
        <f>IF(Type_Reinf="g",IF(A188="---","---",phi_Tensile_Static*I188*INPUT!M121/$D$173),"---")</f>
        <v>---</v>
      </c>
      <c r="R188" s="337" t="str">
        <f>IF(Type_Reinf="g",IF(A188="---","---",phi_Tensile_Combined*I188*INPUT!N121/(MAX(RF_ID,1.1)*MAX(RF_D,1.1))),"---")</f>
        <v>---</v>
      </c>
      <c r="S188" s="22"/>
    </row>
    <row r="189" spans="1:19">
      <c r="A189" s="435" t="str">
        <f>IF(INPUT!B122="---","---",INPUT!A122)</f>
        <v>---</v>
      </c>
      <c r="B189" s="309" t="str">
        <f>IF(A189="---","---",IF(A189=1,Z_1,INPUT!B122))</f>
        <v>---</v>
      </c>
      <c r="C189" s="309" t="str">
        <f>IF(A189="---","---",INPUT!G122)</f>
        <v>---</v>
      </c>
      <c r="D189" s="309" t="str">
        <f t="shared" si="53"/>
        <v>---</v>
      </c>
      <c r="E189" s="337" t="str">
        <f>IF(A189="---","---",INPUT!H122-2*$F$170)</f>
        <v>---</v>
      </c>
      <c r="F189" s="309" t="str">
        <f>IF(A189="---","---",IF(INPUT!K122&gt;0,INPUT!K122,IF(INPUT!H122&gt;0,INPUT!F122*E189^2*PI()/4,D189*INPUT!E122)))</f>
        <v>---</v>
      </c>
      <c r="G189" s="309" t="str">
        <f>IF(A189="---","---",IF(INPUT!K122&gt;0,INPUT!K122,INPUT!E122*INPUT!G122))</f>
        <v>---</v>
      </c>
      <c r="H189" s="309" t="str">
        <f t="shared" si="54"/>
        <v>---</v>
      </c>
      <c r="I189" s="436" t="str">
        <f>IF(A189="---","---",IF(Reinf_cont="y",1,IF(INPUT!D122=0,0,INPUT!E122/(INPUT!D122*12))))</f>
        <v>---</v>
      </c>
      <c r="J189" s="309" t="str">
        <f>IF(A189="---","---",IF(Type_Reinf="g","---",IF(INPUT!D122=0,0,H189*(Fy/2)/(INPUT!E122/12))))</f>
        <v>---</v>
      </c>
      <c r="K189" s="309" t="str">
        <f>IF(A189="---","---",IF(Type_Reinf="g",(INPUT!M122+INPUT!N122),"---"))</f>
        <v>---</v>
      </c>
      <c r="L189" s="309" t="str">
        <f t="shared" si="55"/>
        <v>---</v>
      </c>
      <c r="M189" s="309" t="str">
        <f t="shared" si="56"/>
        <v>---</v>
      </c>
      <c r="N189" s="309" t="str">
        <f>IF(A189="---","---",IF(Type_Reinf="g",K189*INPUT!L122/MAX(RF_D,1.1),"---"))</f>
        <v>---</v>
      </c>
      <c r="O189" s="309" t="str">
        <f t="shared" si="57"/>
        <v>---</v>
      </c>
      <c r="P189" s="309" t="str">
        <f>IF(A189="---","---",IF(Type_Reinf="g","---",INPUT!O122))</f>
        <v>---</v>
      </c>
      <c r="Q189" s="309" t="str">
        <f>IF(Type_Reinf="g",IF(A189="---","---",phi_Tensile_Static*I189*INPUT!M122/$D$173),"---")</f>
        <v>---</v>
      </c>
      <c r="R189" s="337" t="str">
        <f>IF(Type_Reinf="g",IF(A189="---","---",phi_Tensile_Combined*I189*INPUT!N122/(MAX(RF_ID,1.1)*MAX(RF_D,1.1))),"---")</f>
        <v>---</v>
      </c>
      <c r="S189" s="22"/>
    </row>
    <row r="190" spans="1:19">
      <c r="A190" s="435" t="str">
        <f>IF(INPUT!B123="---","---",INPUT!A123)</f>
        <v>---</v>
      </c>
      <c r="B190" s="309" t="str">
        <f>IF(A190="---","---",IF(A190=1,Z_1,INPUT!B123))</f>
        <v>---</v>
      </c>
      <c r="C190" s="309" t="str">
        <f>IF(A190="---","---",INPUT!G123)</f>
        <v>---</v>
      </c>
      <c r="D190" s="309" t="str">
        <f t="shared" si="53"/>
        <v>---</v>
      </c>
      <c r="E190" s="337" t="str">
        <f>IF(A190="---","---",INPUT!H123-2*$F$170)</f>
        <v>---</v>
      </c>
      <c r="F190" s="309" t="str">
        <f>IF(A190="---","---",IF(INPUT!K123&gt;0,INPUT!K123,IF(INPUT!H123&gt;0,INPUT!F123*E190^2*PI()/4,D190*INPUT!E123)))</f>
        <v>---</v>
      </c>
      <c r="G190" s="309" t="str">
        <f>IF(A190="---","---",IF(INPUT!K123&gt;0,INPUT!K123,INPUT!E123*INPUT!G123))</f>
        <v>---</v>
      </c>
      <c r="H190" s="309" t="str">
        <f t="shared" si="54"/>
        <v>---</v>
      </c>
      <c r="I190" s="436" t="str">
        <f>IF(A190="---","---",IF(Reinf_cont="y",1,IF(INPUT!D123=0,0,INPUT!E123/(INPUT!D123*12))))</f>
        <v>---</v>
      </c>
      <c r="J190" s="309" t="str">
        <f>IF(A190="---","---",IF(Type_Reinf="g","---",IF(INPUT!D123=0,0,H190*(Fy/2)/(INPUT!E123/12))))</f>
        <v>---</v>
      </c>
      <c r="K190" s="309" t="str">
        <f>IF(A190="---","---",IF(Type_Reinf="g",(INPUT!M123+INPUT!N123),"---"))</f>
        <v>---</v>
      </c>
      <c r="L190" s="309" t="str">
        <f t="shared" si="55"/>
        <v>---</v>
      </c>
      <c r="M190" s="309" t="str">
        <f t="shared" si="56"/>
        <v>---</v>
      </c>
      <c r="N190" s="309" t="str">
        <f>IF(A190="---","---",IF(Type_Reinf="g",K190*INPUT!L123/MAX(RF_D,1.1),"---"))</f>
        <v>---</v>
      </c>
      <c r="O190" s="309" t="str">
        <f t="shared" si="57"/>
        <v>---</v>
      </c>
      <c r="P190" s="309" t="str">
        <f>IF(A190="---","---",IF(Type_Reinf="g","---",INPUT!O123))</f>
        <v>---</v>
      </c>
      <c r="Q190" s="309" t="str">
        <f>IF(Type_Reinf="g",IF(A190="---","---",phi_Tensile_Static*I190*INPUT!M123/$D$173),"---")</f>
        <v>---</v>
      </c>
      <c r="R190" s="337" t="str">
        <f>IF(Type_Reinf="g",IF(A190="---","---",phi_Tensile_Combined*I190*INPUT!N123/(MAX(RF_ID,1.1)*MAX(RF_D,1.1))),"---")</f>
        <v>---</v>
      </c>
      <c r="S190" s="22"/>
    </row>
    <row r="191" spans="1:19">
      <c r="A191" s="435" t="str">
        <f>IF(INPUT!B124="---","---",INPUT!A124)</f>
        <v>---</v>
      </c>
      <c r="B191" s="309" t="str">
        <f>IF(A191="---","---",IF(A191=1,Z_1,INPUT!B124))</f>
        <v>---</v>
      </c>
      <c r="C191" s="309" t="str">
        <f>IF(A191="---","---",INPUT!G124)</f>
        <v>---</v>
      </c>
      <c r="D191" s="309" t="str">
        <f t="shared" si="53"/>
        <v>---</v>
      </c>
      <c r="E191" s="337" t="str">
        <f>IF(A191="---","---",INPUT!H124-2*$F$170)</f>
        <v>---</v>
      </c>
      <c r="F191" s="309" t="str">
        <f>IF(A191="---","---",IF(INPUT!K124&gt;0,INPUT!K124,IF(INPUT!H124&gt;0,INPUT!F124*E191^2*PI()/4,D191*INPUT!E124)))</f>
        <v>---</v>
      </c>
      <c r="G191" s="309" t="str">
        <f>IF(A191="---","---",IF(INPUT!K124&gt;0,INPUT!K124,INPUT!E124*INPUT!G124))</f>
        <v>---</v>
      </c>
      <c r="H191" s="309" t="str">
        <f t="shared" si="54"/>
        <v>---</v>
      </c>
      <c r="I191" s="436" t="str">
        <f>IF(A191="---","---",IF(Reinf_cont="y",1,IF(INPUT!D124=0,0,INPUT!E124/(INPUT!D124*12))))</f>
        <v>---</v>
      </c>
      <c r="J191" s="309" t="str">
        <f>IF(A191="---","---",IF(Type_Reinf="g","---",IF(INPUT!D124=0,0,H191*(Fy/2)/(INPUT!E124/12))))</f>
        <v>---</v>
      </c>
      <c r="K191" s="309" t="str">
        <f>IF(A191="---","---",IF(Type_Reinf="g",(INPUT!M124+INPUT!N124),"---"))</f>
        <v>---</v>
      </c>
      <c r="L191" s="309" t="str">
        <f t="shared" si="55"/>
        <v>---</v>
      </c>
      <c r="M191" s="309" t="str">
        <f t="shared" si="56"/>
        <v>---</v>
      </c>
      <c r="N191" s="309" t="str">
        <f>IF(A191="---","---",IF(Type_Reinf="g",K191*INPUT!L124/MAX(RF_D,1.1),"---"))</f>
        <v>---</v>
      </c>
      <c r="O191" s="309" t="str">
        <f t="shared" si="57"/>
        <v>---</v>
      </c>
      <c r="P191" s="309" t="str">
        <f>IF(A191="---","---",IF(Type_Reinf="g","---",INPUT!O124))</f>
        <v>---</v>
      </c>
      <c r="Q191" s="309" t="str">
        <f>IF(Type_Reinf="g",IF(A191="---","---",phi_Tensile_Static*I191*INPUT!M124/$D$173),"---")</f>
        <v>---</v>
      </c>
      <c r="R191" s="337" t="str">
        <f>IF(Type_Reinf="g",IF(A191="---","---",phi_Tensile_Combined*I191*INPUT!N124/(MAX(RF_ID,1.1)*MAX(RF_D,1.1))),"---")</f>
        <v>---</v>
      </c>
      <c r="S191" s="22"/>
    </row>
    <row r="192" spans="1:19">
      <c r="A192" s="435" t="str">
        <f>IF(INPUT!B125="---","---",INPUT!A125)</f>
        <v>---</v>
      </c>
      <c r="B192" s="309" t="str">
        <f>IF(A192="---","---",IF(A192=1,Z_1,INPUT!B125))</f>
        <v>---</v>
      </c>
      <c r="C192" s="309" t="str">
        <f>IF(A192="---","---",INPUT!G125)</f>
        <v>---</v>
      </c>
      <c r="D192" s="309" t="str">
        <f t="shared" si="53"/>
        <v>---</v>
      </c>
      <c r="E192" s="337" t="str">
        <f>IF(A192="---","---",INPUT!H125-2*$F$170)</f>
        <v>---</v>
      </c>
      <c r="F192" s="309" t="str">
        <f>IF(A192="---","---",IF(INPUT!K125&gt;0,INPUT!K125,IF(INPUT!H125&gt;0,INPUT!F125*E192^2*PI()/4,D192*INPUT!E125)))</f>
        <v>---</v>
      </c>
      <c r="G192" s="309" t="str">
        <f>IF(A192="---","---",IF(INPUT!K125&gt;0,INPUT!K125,INPUT!E125*INPUT!G125))</f>
        <v>---</v>
      </c>
      <c r="H192" s="309" t="str">
        <f t="shared" si="54"/>
        <v>---</v>
      </c>
      <c r="I192" s="436" t="str">
        <f>IF(A192="---","---",IF(Reinf_cont="y",1,IF(INPUT!D125=0,0,INPUT!E125/(INPUT!D125*12))))</f>
        <v>---</v>
      </c>
      <c r="J192" s="309" t="str">
        <f>IF(A192="---","---",IF(Type_Reinf="g","---",IF(INPUT!D125=0,0,H192*(Fy/2)/(INPUT!E125/12))))</f>
        <v>---</v>
      </c>
      <c r="K192" s="309" t="str">
        <f>IF(A192="---","---",IF(Type_Reinf="g",(INPUT!M125+INPUT!N125),"---"))</f>
        <v>---</v>
      </c>
      <c r="L192" s="309" t="str">
        <f t="shared" si="55"/>
        <v>---</v>
      </c>
      <c r="M192" s="309" t="str">
        <f t="shared" si="56"/>
        <v>---</v>
      </c>
      <c r="N192" s="309" t="str">
        <f>IF(A192="---","---",IF(Type_Reinf="g",K192*INPUT!L125/MAX(RF_D,1.1),"---"))</f>
        <v>---</v>
      </c>
      <c r="O192" s="309" t="str">
        <f t="shared" si="57"/>
        <v>---</v>
      </c>
      <c r="P192" s="309" t="str">
        <f>IF(A192="---","---",IF(Type_Reinf="g","---",INPUT!O125))</f>
        <v>---</v>
      </c>
      <c r="Q192" s="309" t="str">
        <f>IF(Type_Reinf="g",IF(A192="---","---",phi_Tensile_Static*I192*INPUT!M125/$D$173),"---")</f>
        <v>---</v>
      </c>
      <c r="R192" s="337" t="str">
        <f>IF(Type_Reinf="g",IF(A192="---","---",phi_Tensile_Combined*I192*INPUT!N125/(MAX(RF_ID,1.1)*MAX(RF_D,1.1))),"---")</f>
        <v>---</v>
      </c>
      <c r="S192" s="22"/>
    </row>
    <row r="193" spans="1:19">
      <c r="A193" s="435" t="str">
        <f>IF(INPUT!B126="---","---",INPUT!A126)</f>
        <v>---</v>
      </c>
      <c r="B193" s="309" t="str">
        <f>IF(A193="---","---",IF(A193=1,Z_1,INPUT!B126))</f>
        <v>---</v>
      </c>
      <c r="C193" s="309" t="str">
        <f>IF(A193="---","---",INPUT!G126)</f>
        <v>---</v>
      </c>
      <c r="D193" s="309" t="str">
        <f t="shared" si="53"/>
        <v>---</v>
      </c>
      <c r="E193" s="337" t="str">
        <f>IF(A193="---","---",INPUT!H126-2*$F$170)</f>
        <v>---</v>
      </c>
      <c r="F193" s="309" t="str">
        <f>IF(A193="---","---",IF(INPUT!K126&gt;0,INPUT!K126,IF(INPUT!H126&gt;0,INPUT!F126*E193^2*PI()/4,D193*INPUT!E126)))</f>
        <v>---</v>
      </c>
      <c r="G193" s="309" t="str">
        <f>IF(A193="---","---",IF(INPUT!K126&gt;0,INPUT!K126,INPUT!E126*INPUT!G126))</f>
        <v>---</v>
      </c>
      <c r="H193" s="309" t="str">
        <f t="shared" si="54"/>
        <v>---</v>
      </c>
      <c r="I193" s="436" t="str">
        <f>IF(A193="---","---",IF(Reinf_cont="y",1,IF(INPUT!D126=0,0,INPUT!E126/(INPUT!D126*12))))</f>
        <v>---</v>
      </c>
      <c r="J193" s="309" t="str">
        <f>IF(A193="---","---",IF(Type_Reinf="g","---",IF(INPUT!D126=0,0,H193*(Fy/2)/(INPUT!E126/12))))</f>
        <v>---</v>
      </c>
      <c r="K193" s="309" t="str">
        <f>IF(A193="---","---",IF(Type_Reinf="g",(INPUT!M126+INPUT!N126),"---"))</f>
        <v>---</v>
      </c>
      <c r="L193" s="309" t="str">
        <f t="shared" si="55"/>
        <v>---</v>
      </c>
      <c r="M193" s="309" t="str">
        <f t="shared" si="56"/>
        <v>---</v>
      </c>
      <c r="N193" s="309" t="str">
        <f>IF(A193="---","---",IF(Type_Reinf="g",K193*INPUT!L126/MAX(RF_D,1.1),"---"))</f>
        <v>---</v>
      </c>
      <c r="O193" s="309" t="str">
        <f t="shared" si="57"/>
        <v>---</v>
      </c>
      <c r="P193" s="309" t="str">
        <f>IF(A193="---","---",IF(Type_Reinf="g","---",INPUT!O126))</f>
        <v>---</v>
      </c>
      <c r="Q193" s="309" t="str">
        <f>IF(Type_Reinf="g",IF(A193="---","---",phi_Tensile_Static*I193*INPUT!M126/$D$173),"---")</f>
        <v>---</v>
      </c>
      <c r="R193" s="337" t="str">
        <f>IF(Type_Reinf="g",IF(A193="---","---",phi_Tensile_Combined*I193*INPUT!N126/(MAX(RF_ID,1.1)*MAX(RF_D,1.1))),"---")</f>
        <v>---</v>
      </c>
      <c r="S193" s="22"/>
    </row>
    <row r="194" spans="1:19">
      <c r="A194" s="435" t="str">
        <f>IF(INPUT!B127="---","---",INPUT!A127)</f>
        <v>---</v>
      </c>
      <c r="B194" s="309" t="str">
        <f>IF(A194="---","---",IF(A194=1,Z_1,INPUT!B127))</f>
        <v>---</v>
      </c>
      <c r="C194" s="309" t="str">
        <f>IF(A194="---","---",INPUT!G127)</f>
        <v>---</v>
      </c>
      <c r="D194" s="309" t="str">
        <f t="shared" si="53"/>
        <v>---</v>
      </c>
      <c r="E194" s="337" t="str">
        <f>IF(A194="---","---",INPUT!H127-2*$F$170)</f>
        <v>---</v>
      </c>
      <c r="F194" s="309" t="str">
        <f>IF(A194="---","---",IF(INPUT!K127&gt;0,INPUT!K127,IF(INPUT!H127&gt;0,INPUT!F127*E194^2*PI()/4,D194*INPUT!E127)))</f>
        <v>---</v>
      </c>
      <c r="G194" s="309" t="str">
        <f>IF(A194="---","---",IF(INPUT!K127&gt;0,INPUT!K127,INPUT!E127*INPUT!G127))</f>
        <v>---</v>
      </c>
      <c r="H194" s="309" t="str">
        <f t="shared" si="54"/>
        <v>---</v>
      </c>
      <c r="I194" s="436" t="str">
        <f>IF(A194="---","---",IF(Reinf_cont="y",1,IF(INPUT!D127=0,0,INPUT!E127/(INPUT!D127*12))))</f>
        <v>---</v>
      </c>
      <c r="J194" s="309" t="str">
        <f>IF(A194="---","---",IF(Type_Reinf="g","---",IF(INPUT!D127=0,0,H194*(Fy/2)/(INPUT!E127/12))))</f>
        <v>---</v>
      </c>
      <c r="K194" s="309" t="str">
        <f>IF(A194="---","---",IF(Type_Reinf="g",(INPUT!M127+INPUT!N127),"---"))</f>
        <v>---</v>
      </c>
      <c r="L194" s="309" t="str">
        <f t="shared" si="55"/>
        <v>---</v>
      </c>
      <c r="M194" s="309" t="str">
        <f t="shared" si="56"/>
        <v>---</v>
      </c>
      <c r="N194" s="309" t="str">
        <f>IF(A194="---","---",IF(Type_Reinf="g",K194*INPUT!L127/MAX(RF_D,1.1),"---"))</f>
        <v>---</v>
      </c>
      <c r="O194" s="309" t="str">
        <f t="shared" si="57"/>
        <v>---</v>
      </c>
      <c r="P194" s="309" t="str">
        <f>IF(A194="---","---",IF(Type_Reinf="g","---",INPUT!O127))</f>
        <v>---</v>
      </c>
      <c r="Q194" s="309" t="str">
        <f>IF(Type_Reinf="g",IF(A194="---","---",phi_Tensile_Static*I194*INPUT!M127/$D$173),"---")</f>
        <v>---</v>
      </c>
      <c r="R194" s="337" t="str">
        <f>IF(Type_Reinf="g",IF(A194="---","---",phi_Tensile_Combined*I194*INPUT!N127/(MAX(RF_ID,1.1)*MAX(RF_D,1.1))),"---")</f>
        <v>---</v>
      </c>
      <c r="S194" s="22"/>
    </row>
    <row r="195" spans="1:19">
      <c r="A195" s="435" t="str">
        <f>IF(INPUT!B128="---","---",INPUT!A128)</f>
        <v>---</v>
      </c>
      <c r="B195" s="309" t="str">
        <f>IF(A195="---","---",IF(A195=1,Z_1,INPUT!B128))</f>
        <v>---</v>
      </c>
      <c r="C195" s="309" t="str">
        <f>IF(A195="---","---",INPUT!G128)</f>
        <v>---</v>
      </c>
      <c r="D195" s="309" t="str">
        <f t="shared" si="53"/>
        <v>---</v>
      </c>
      <c r="E195" s="337" t="str">
        <f>IF(A195="---","---",INPUT!H128-2*$F$170)</f>
        <v>---</v>
      </c>
      <c r="F195" s="309" t="str">
        <f>IF(A195="---","---",IF(INPUT!K128&gt;0,INPUT!K128,IF(INPUT!H128&gt;0,INPUT!F128*E195^2*PI()/4,D195*INPUT!E128)))</f>
        <v>---</v>
      </c>
      <c r="G195" s="309" t="str">
        <f>IF(A195="---","---",IF(INPUT!K128&gt;0,INPUT!K128,INPUT!E128*INPUT!G128))</f>
        <v>---</v>
      </c>
      <c r="H195" s="309" t="str">
        <f t="shared" si="54"/>
        <v>---</v>
      </c>
      <c r="I195" s="436" t="str">
        <f>IF(A195="---","---",IF(Reinf_cont="y",1,IF(INPUT!D128=0,0,INPUT!E128/(INPUT!D128*12))))</f>
        <v>---</v>
      </c>
      <c r="J195" s="309" t="str">
        <f>IF(A195="---","---",IF(Type_Reinf="g","---",IF(INPUT!D128=0,0,H195*(Fy/2)/(INPUT!E128/12))))</f>
        <v>---</v>
      </c>
      <c r="K195" s="309" t="str">
        <f>IF(A195="---","---",IF(Type_Reinf="g",(INPUT!M128+INPUT!N128),"---"))</f>
        <v>---</v>
      </c>
      <c r="L195" s="309" t="str">
        <f t="shared" si="55"/>
        <v>---</v>
      </c>
      <c r="M195" s="309" t="str">
        <f t="shared" si="56"/>
        <v>---</v>
      </c>
      <c r="N195" s="309" t="str">
        <f>IF(A195="---","---",IF(Type_Reinf="g",K195*INPUT!L128/MAX(RF_D,1.1),"---"))</f>
        <v>---</v>
      </c>
      <c r="O195" s="309" t="str">
        <f t="shared" si="57"/>
        <v>---</v>
      </c>
      <c r="P195" s="309" t="str">
        <f>IF(A195="---","---",IF(Type_Reinf="g","---",INPUT!O128))</f>
        <v>---</v>
      </c>
      <c r="Q195" s="309" t="str">
        <f>IF(Type_Reinf="g",IF(A195="---","---",phi_Tensile_Static*I195*INPUT!M128/$D$173),"---")</f>
        <v>---</v>
      </c>
      <c r="R195" s="337" t="str">
        <f>IF(Type_Reinf="g",IF(A195="---","---",phi_Tensile_Combined*I195*INPUT!N128/(MAX(RF_ID,1.1)*MAX(RF_D,1.1))),"---")</f>
        <v>---</v>
      </c>
      <c r="S195" s="22"/>
    </row>
    <row r="196" spans="1:19">
      <c r="A196" s="435" t="str">
        <f>IF(INPUT!B129="---","---",INPUT!A129)</f>
        <v>---</v>
      </c>
      <c r="B196" s="309" t="str">
        <f>IF(A196="---","---",IF(A196=1,Z_1,INPUT!B129))</f>
        <v>---</v>
      </c>
      <c r="C196" s="309" t="str">
        <f>IF(A196="---","---",INPUT!G129)</f>
        <v>---</v>
      </c>
      <c r="D196" s="309" t="str">
        <f t="shared" si="53"/>
        <v>---</v>
      </c>
      <c r="E196" s="337" t="str">
        <f>IF(A196="---","---",INPUT!H129-2*$F$170)</f>
        <v>---</v>
      </c>
      <c r="F196" s="309" t="str">
        <f>IF(A196="---","---",IF(INPUT!K129&gt;0,INPUT!K129,IF(INPUT!H129&gt;0,INPUT!F129*E196^2*PI()/4,D196*INPUT!E129)))</f>
        <v>---</v>
      </c>
      <c r="G196" s="309" t="str">
        <f>IF(A196="---","---",IF(INPUT!K129&gt;0,INPUT!K129,INPUT!E129*INPUT!G129))</f>
        <v>---</v>
      </c>
      <c r="H196" s="309" t="str">
        <f t="shared" si="54"/>
        <v>---</v>
      </c>
      <c r="I196" s="436" t="str">
        <f>IF(A196="---","---",IF(Reinf_cont="y",1,IF(INPUT!D129=0,0,INPUT!E129/(INPUT!D129*12))))</f>
        <v>---</v>
      </c>
      <c r="J196" s="309" t="str">
        <f>IF(A196="---","---",IF(Type_Reinf="g","---",IF(INPUT!D129=0,0,H196*(Fy/2)/(INPUT!E129/12))))</f>
        <v>---</v>
      </c>
      <c r="K196" s="309" t="str">
        <f>IF(A196="---","---",IF(Type_Reinf="g",(INPUT!M129+INPUT!N129),"---"))</f>
        <v>---</v>
      </c>
      <c r="L196" s="309" t="str">
        <f t="shared" si="55"/>
        <v>---</v>
      </c>
      <c r="M196" s="309" t="str">
        <f t="shared" si="56"/>
        <v>---</v>
      </c>
      <c r="N196" s="309" t="str">
        <f>IF(A196="---","---",IF(Type_Reinf="g",K196*INPUT!L129/MAX(RF_D,1.1),"---"))</f>
        <v>---</v>
      </c>
      <c r="O196" s="309" t="str">
        <f t="shared" si="57"/>
        <v>---</v>
      </c>
      <c r="P196" s="309" t="str">
        <f>IF(A196="---","---",IF(Type_Reinf="g","---",INPUT!O129))</f>
        <v>---</v>
      </c>
      <c r="Q196" s="309" t="str">
        <f>IF(Type_Reinf="g",IF(A196="---","---",phi_Tensile_Static*I196*INPUT!M129/$D$173),"---")</f>
        <v>---</v>
      </c>
      <c r="R196" s="337" t="str">
        <f>IF(Type_Reinf="g",IF(A196="---","---",phi_Tensile_Combined*I196*INPUT!N129/(MAX(RF_ID,1.1)*MAX(RF_D,1.1))),"---")</f>
        <v>---</v>
      </c>
      <c r="S196" s="22"/>
    </row>
    <row r="197" spans="1:19">
      <c r="A197" s="435" t="str">
        <f>IF(INPUT!B130="---","---",INPUT!A130)</f>
        <v>---</v>
      </c>
      <c r="B197" s="309" t="str">
        <f>IF(A197="---","---",IF(A197=1,Z_1,INPUT!B130))</f>
        <v>---</v>
      </c>
      <c r="C197" s="309" t="str">
        <f>IF(A197="---","---",INPUT!G130)</f>
        <v>---</v>
      </c>
      <c r="D197" s="309" t="str">
        <f t="shared" si="53"/>
        <v>---</v>
      </c>
      <c r="E197" s="337" t="str">
        <f>IF(A197="---","---",INPUT!H130-2*$F$170)</f>
        <v>---</v>
      </c>
      <c r="F197" s="309" t="str">
        <f>IF(A197="---","---",IF(INPUT!K130&gt;0,INPUT!K130,IF(INPUT!H130&gt;0,INPUT!F130*E197^2*PI()/4,D197*INPUT!E130)))</f>
        <v>---</v>
      </c>
      <c r="G197" s="309" t="str">
        <f>IF(A197="---","---",IF(INPUT!K130&gt;0,INPUT!K130,INPUT!E130*INPUT!G130))</f>
        <v>---</v>
      </c>
      <c r="H197" s="309" t="str">
        <f t="shared" si="54"/>
        <v>---</v>
      </c>
      <c r="I197" s="436" t="str">
        <f>IF(A197="---","---",IF(Reinf_cont="y",1,IF(INPUT!D130=0,0,INPUT!E130/(INPUT!D130*12))))</f>
        <v>---</v>
      </c>
      <c r="J197" s="309" t="str">
        <f>IF(A197="---","---",IF(Type_Reinf="g","---",IF(INPUT!D130=0,0,H197*(Fy/2)/(INPUT!E130/12))))</f>
        <v>---</v>
      </c>
      <c r="K197" s="309" t="str">
        <f>IF(A197="---","---",IF(Type_Reinf="g",(INPUT!M130+INPUT!N130),"---"))</f>
        <v>---</v>
      </c>
      <c r="L197" s="309" t="str">
        <f t="shared" si="55"/>
        <v>---</v>
      </c>
      <c r="M197" s="309" t="str">
        <f t="shared" si="56"/>
        <v>---</v>
      </c>
      <c r="N197" s="309" t="str">
        <f>IF(A197="---","---",IF(Type_Reinf="g",K197*INPUT!L130/MAX(RF_D,1.1),"---"))</f>
        <v>---</v>
      </c>
      <c r="O197" s="309" t="str">
        <f t="shared" si="57"/>
        <v>---</v>
      </c>
      <c r="P197" s="309" t="str">
        <f>IF(A197="---","---",IF(Type_Reinf="g","---",INPUT!O130))</f>
        <v>---</v>
      </c>
      <c r="Q197" s="309" t="str">
        <f>IF(Type_Reinf="g",IF(A197="---","---",phi_Tensile_Static*I197*INPUT!M130/$D$173),"---")</f>
        <v>---</v>
      </c>
      <c r="R197" s="337" t="str">
        <f>IF(Type_Reinf="g",IF(A197="---","---",phi_Tensile_Combined*I197*INPUT!N130/(MAX(RF_ID,1.1)*MAX(RF_D,1.1))),"---")</f>
        <v>---</v>
      </c>
      <c r="S197" s="22"/>
    </row>
    <row r="198" spans="1:19">
      <c r="A198" s="435" t="str">
        <f>IF(INPUT!B131="---","---",INPUT!A131)</f>
        <v>---</v>
      </c>
      <c r="B198" s="309" t="str">
        <f>IF(A198="---","---",IF(A198=1,Z_1,INPUT!B131))</f>
        <v>---</v>
      </c>
      <c r="C198" s="309" t="str">
        <f>IF(A198="---","---",INPUT!G131)</f>
        <v>---</v>
      </c>
      <c r="D198" s="309" t="str">
        <f t="shared" si="53"/>
        <v>---</v>
      </c>
      <c r="E198" s="337" t="str">
        <f>IF(A198="---","---",INPUT!H131-2*$F$170)</f>
        <v>---</v>
      </c>
      <c r="F198" s="309" t="str">
        <f>IF(A198="---","---",IF(INPUT!K131&gt;0,INPUT!K131,IF(INPUT!H131&gt;0,INPUT!F131*E198^2*PI()/4,D198*INPUT!E131)))</f>
        <v>---</v>
      </c>
      <c r="G198" s="309" t="str">
        <f>IF(A198="---","---",IF(INPUT!K131&gt;0,INPUT!K131,INPUT!E131*INPUT!G131))</f>
        <v>---</v>
      </c>
      <c r="H198" s="309" t="str">
        <f t="shared" si="54"/>
        <v>---</v>
      </c>
      <c r="I198" s="436" t="str">
        <f>IF(A198="---","---",IF(Reinf_cont="y",1,IF(INPUT!D131=0,0,INPUT!E131/(INPUT!D131*12))))</f>
        <v>---</v>
      </c>
      <c r="J198" s="309" t="str">
        <f>IF(A198="---","---",IF(Type_Reinf="g","---",IF(INPUT!D131=0,0,H198*(Fy/2)/(INPUT!E131/12))))</f>
        <v>---</v>
      </c>
      <c r="K198" s="309" t="str">
        <f>IF(A198="---","---",IF(Type_Reinf="g",(INPUT!M131+INPUT!N131),"---"))</f>
        <v>---</v>
      </c>
      <c r="L198" s="309" t="str">
        <f t="shared" si="55"/>
        <v>---</v>
      </c>
      <c r="M198" s="309" t="str">
        <f t="shared" si="56"/>
        <v>---</v>
      </c>
      <c r="N198" s="309" t="str">
        <f>IF(A198="---","---",IF(Type_Reinf="g",K198*INPUT!L131/MAX(RF_D,1.1),"---"))</f>
        <v>---</v>
      </c>
      <c r="O198" s="309" t="str">
        <f t="shared" si="57"/>
        <v>---</v>
      </c>
      <c r="P198" s="309" t="str">
        <f>IF(A198="---","---",IF(Type_Reinf="g","---",INPUT!O131))</f>
        <v>---</v>
      </c>
      <c r="Q198" s="309" t="str">
        <f>IF(Type_Reinf="g",IF(A198="---","---",phi_Tensile_Static*I198*INPUT!M131/$D$173),"---")</f>
        <v>---</v>
      </c>
      <c r="R198" s="337" t="str">
        <f>IF(Type_Reinf="g",IF(A198="---","---",phi_Tensile_Combined*I198*INPUT!N131/(MAX(RF_ID,1.1)*MAX(RF_D,1.1))),"---")</f>
        <v>---</v>
      </c>
      <c r="S198" s="22"/>
    </row>
    <row r="199" spans="1:19">
      <c r="A199" s="435" t="str">
        <f>IF(INPUT!B132="---","---",INPUT!A132)</f>
        <v>---</v>
      </c>
      <c r="B199" s="309" t="str">
        <f>IF(A199="---","---",IF(A199=1,Z_1,INPUT!B132))</f>
        <v>---</v>
      </c>
      <c r="C199" s="309" t="str">
        <f>IF(A199="---","---",INPUT!G132)</f>
        <v>---</v>
      </c>
      <c r="D199" s="309" t="str">
        <f t="shared" si="53"/>
        <v>---</v>
      </c>
      <c r="E199" s="337" t="str">
        <f>IF(A199="---","---",INPUT!H132-2*$F$170)</f>
        <v>---</v>
      </c>
      <c r="F199" s="309" t="str">
        <f>IF(A199="---","---",IF(INPUT!K132&gt;0,INPUT!K132,IF(INPUT!H132&gt;0,INPUT!F132*E199^2*PI()/4,D199*INPUT!E132)))</f>
        <v>---</v>
      </c>
      <c r="G199" s="309" t="str">
        <f>IF(A199="---","---",IF(INPUT!K132&gt;0,INPUT!K132,INPUT!E132*INPUT!G132))</f>
        <v>---</v>
      </c>
      <c r="H199" s="309" t="str">
        <f t="shared" si="54"/>
        <v>---</v>
      </c>
      <c r="I199" s="436" t="str">
        <f>IF(A199="---","---",IF(Reinf_cont="y",1,IF(INPUT!D132=0,0,INPUT!E132/(INPUT!D132*12))))</f>
        <v>---</v>
      </c>
      <c r="J199" s="309" t="str">
        <f>IF(A199="---","---",IF(Type_Reinf="g","---",IF(INPUT!D132=0,0,H199*(Fy/2)/(INPUT!E132/12))))</f>
        <v>---</v>
      </c>
      <c r="K199" s="309" t="str">
        <f>IF(A199="---","---",IF(Type_Reinf="g",(INPUT!M132+INPUT!N132),"---"))</f>
        <v>---</v>
      </c>
      <c r="L199" s="309" t="str">
        <f t="shared" si="55"/>
        <v>---</v>
      </c>
      <c r="M199" s="309" t="str">
        <f t="shared" si="56"/>
        <v>---</v>
      </c>
      <c r="N199" s="309" t="str">
        <f>IF(A199="---","---",IF(Type_Reinf="g",K199*INPUT!L132/MAX(RF_D,1.1),"---"))</f>
        <v>---</v>
      </c>
      <c r="O199" s="309" t="str">
        <f t="shared" si="57"/>
        <v>---</v>
      </c>
      <c r="P199" s="309" t="str">
        <f>IF(A199="---","---",IF(Type_Reinf="g","---",INPUT!O132))</f>
        <v>---</v>
      </c>
      <c r="Q199" s="309" t="str">
        <f>IF(Type_Reinf="g",IF(A199="---","---",phi_Tensile_Static*I199*INPUT!M132/$D$173),"---")</f>
        <v>---</v>
      </c>
      <c r="R199" s="337" t="str">
        <f>IF(Type_Reinf="g",IF(A199="---","---",phi_Tensile_Combined*I199*INPUT!N132/(MAX(RF_ID,1.1)*MAX(RF_D,1.1))),"---")</f>
        <v>---</v>
      </c>
      <c r="S199" s="22"/>
    </row>
    <row r="200" spans="1:19">
      <c r="A200" s="435" t="str">
        <f>IF(INPUT!B133="---","---",INPUT!A133)</f>
        <v>---</v>
      </c>
      <c r="B200" s="309" t="str">
        <f>IF(A200="---","---",IF(A200=1,Z_1,INPUT!B133))</f>
        <v>---</v>
      </c>
      <c r="C200" s="309" t="str">
        <f>IF(A200="---","---",INPUT!G133)</f>
        <v>---</v>
      </c>
      <c r="D200" s="309" t="str">
        <f t="shared" si="53"/>
        <v>---</v>
      </c>
      <c r="E200" s="337" t="str">
        <f>IF(A200="---","---",INPUT!H133-2*$F$170)</f>
        <v>---</v>
      </c>
      <c r="F200" s="309" t="str">
        <f>IF(A200="---","---",IF(INPUT!K133&gt;0,INPUT!K133,IF(INPUT!H133&gt;0,INPUT!F133*E200^2*PI()/4,D200*INPUT!E133)))</f>
        <v>---</v>
      </c>
      <c r="G200" s="309" t="str">
        <f>IF(A200="---","---",IF(INPUT!K133&gt;0,INPUT!K133,INPUT!E133*INPUT!G133))</f>
        <v>---</v>
      </c>
      <c r="H200" s="309" t="str">
        <f t="shared" si="54"/>
        <v>---</v>
      </c>
      <c r="I200" s="436" t="str">
        <f>IF(A200="---","---",IF(Reinf_cont="y",1,IF(INPUT!D133=0,0,INPUT!E133/(INPUT!D133*12))))</f>
        <v>---</v>
      </c>
      <c r="J200" s="309" t="str">
        <f>IF(A200="---","---",IF(Type_Reinf="g","---",IF(INPUT!D133=0,0,H200*(Fy/2)/(INPUT!E133/12))))</f>
        <v>---</v>
      </c>
      <c r="K200" s="309" t="str">
        <f>IF(A200="---","---",IF(Type_Reinf="g",(INPUT!M133+INPUT!N133),"---"))</f>
        <v>---</v>
      </c>
      <c r="L200" s="309" t="str">
        <f t="shared" si="55"/>
        <v>---</v>
      </c>
      <c r="M200" s="309" t="str">
        <f t="shared" si="56"/>
        <v>---</v>
      </c>
      <c r="N200" s="309" t="str">
        <f>IF(A200="---","---",IF(Type_Reinf="g",K200*INPUT!L133/MAX(RF_D,1.1),"---"))</f>
        <v>---</v>
      </c>
      <c r="O200" s="309" t="str">
        <f t="shared" si="57"/>
        <v>---</v>
      </c>
      <c r="P200" s="309" t="str">
        <f>IF(A200="---","---",IF(Type_Reinf="g","---",INPUT!O133))</f>
        <v>---</v>
      </c>
      <c r="Q200" s="309" t="str">
        <f>IF(Type_Reinf="g",IF(A200="---","---",phi_Tensile_Static*I200*INPUT!M133/$D$173),"---")</f>
        <v>---</v>
      </c>
      <c r="R200" s="337" t="str">
        <f>IF(Type_Reinf="g",IF(A200="---","---",phi_Tensile_Combined*I200*INPUT!N133/(MAX(RF_ID,1.1)*MAX(RF_D,1.1))),"---")</f>
        <v>---</v>
      </c>
      <c r="S200" s="22"/>
    </row>
    <row r="201" spans="1:19">
      <c r="A201" s="435" t="str">
        <f>IF(INPUT!B134="---","---",INPUT!A134)</f>
        <v>---</v>
      </c>
      <c r="B201" s="309" t="str">
        <f>IF(A201="---","---",IF(A201=1,Z_1,INPUT!B134))</f>
        <v>---</v>
      </c>
      <c r="C201" s="309" t="str">
        <f>IF(A201="---","---",INPUT!G134)</f>
        <v>---</v>
      </c>
      <c r="D201" s="309" t="str">
        <f t="shared" si="53"/>
        <v>---</v>
      </c>
      <c r="E201" s="337" t="str">
        <f>IF(A201="---","---",INPUT!H134-2*$F$170)</f>
        <v>---</v>
      </c>
      <c r="F201" s="309" t="str">
        <f>IF(A201="---","---",IF(INPUT!K134&gt;0,INPUT!K134,IF(INPUT!H134&gt;0,INPUT!F134*E201^2*PI()/4,D201*INPUT!E134)))</f>
        <v>---</v>
      </c>
      <c r="G201" s="309" t="str">
        <f>IF(A201="---","---",IF(INPUT!K134&gt;0,INPUT!K134,INPUT!E134*INPUT!G134))</f>
        <v>---</v>
      </c>
      <c r="H201" s="309" t="str">
        <f t="shared" si="54"/>
        <v>---</v>
      </c>
      <c r="I201" s="436" t="str">
        <f>IF(A201="---","---",IF(Reinf_cont="y",1,IF(INPUT!D134=0,0,INPUT!E134/(INPUT!D134*12))))</f>
        <v>---</v>
      </c>
      <c r="J201" s="309" t="str">
        <f>IF(A201="---","---",IF(Type_Reinf="g","---",IF(INPUT!D134=0,0,H201*(Fy/2)/(INPUT!E134/12))))</f>
        <v>---</v>
      </c>
      <c r="K201" s="309" t="str">
        <f>IF(A201="---","---",IF(Type_Reinf="g",(INPUT!M134+INPUT!N134),"---"))</f>
        <v>---</v>
      </c>
      <c r="L201" s="309" t="str">
        <f t="shared" si="55"/>
        <v>---</v>
      </c>
      <c r="M201" s="309" t="str">
        <f t="shared" si="56"/>
        <v>---</v>
      </c>
      <c r="N201" s="309" t="str">
        <f>IF(A201="---","---",IF(Type_Reinf="g",K201*INPUT!L134/MAX(RF_D,1.1),"---"))</f>
        <v>---</v>
      </c>
      <c r="O201" s="309" t="str">
        <f t="shared" si="57"/>
        <v>---</v>
      </c>
      <c r="P201" s="309" t="str">
        <f>IF(A201="---","---",IF(Type_Reinf="g","---",INPUT!O134))</f>
        <v>---</v>
      </c>
      <c r="Q201" s="309" t="str">
        <f>IF(Type_Reinf="g",IF(A201="---","---",phi_Tensile_Static*I201*INPUT!M134/$D$173),"---")</f>
        <v>---</v>
      </c>
      <c r="R201" s="337" t="str">
        <f>IF(Type_Reinf="g",IF(A201="---","---",phi_Tensile_Combined*I201*INPUT!N134/(MAX(RF_ID,1.1)*MAX(RF_D,1.1))),"---")</f>
        <v>---</v>
      </c>
      <c r="S201" s="22"/>
    </row>
    <row r="202" spans="1:19">
      <c r="A202" s="435" t="str">
        <f>IF(INPUT!B135="---","---",INPUT!A135)</f>
        <v>---</v>
      </c>
      <c r="B202" s="309" t="str">
        <f>IF(A202="---","---",IF(A202=1,Z_1,INPUT!B135))</f>
        <v>---</v>
      </c>
      <c r="C202" s="309" t="str">
        <f>IF(A202="---","---",INPUT!G135)</f>
        <v>---</v>
      </c>
      <c r="D202" s="309" t="str">
        <f t="shared" si="53"/>
        <v>---</v>
      </c>
      <c r="E202" s="337" t="str">
        <f>IF(A202="---","---",INPUT!H135-2*$F$170)</f>
        <v>---</v>
      </c>
      <c r="F202" s="309" t="str">
        <f>IF(A202="---","---",IF(INPUT!K135&gt;0,INPUT!K135,IF(INPUT!H135&gt;0,INPUT!F135*E202^2*PI()/4,D202*INPUT!E135)))</f>
        <v>---</v>
      </c>
      <c r="G202" s="309" t="str">
        <f>IF(A202="---","---",IF(INPUT!K135&gt;0,INPUT!K135,INPUT!E135*INPUT!G135))</f>
        <v>---</v>
      </c>
      <c r="H202" s="309" t="str">
        <f t="shared" si="54"/>
        <v>---</v>
      </c>
      <c r="I202" s="436" t="str">
        <f>IF(A202="---","---",IF(Reinf_cont="y",1,IF(INPUT!D135=0,0,INPUT!E135/(INPUT!D135*12))))</f>
        <v>---</v>
      </c>
      <c r="J202" s="309" t="str">
        <f>IF(A202="---","---",IF(Type_Reinf="g","---",IF(INPUT!D135=0,0,H202*(Fy/2)/(INPUT!E135/12))))</f>
        <v>---</v>
      </c>
      <c r="K202" s="309" t="str">
        <f>IF(A202="---","---",IF(Type_Reinf="g",(INPUT!M135+INPUT!N135),"---"))</f>
        <v>---</v>
      </c>
      <c r="L202" s="309" t="str">
        <f t="shared" si="55"/>
        <v>---</v>
      </c>
      <c r="M202" s="309" t="str">
        <f t="shared" si="56"/>
        <v>---</v>
      </c>
      <c r="N202" s="309" t="str">
        <f>IF(A202="---","---",IF(Type_Reinf="g",K202*INPUT!L135/MAX(RF_D,1.1),"---"))</f>
        <v>---</v>
      </c>
      <c r="O202" s="309" t="str">
        <f t="shared" si="57"/>
        <v>---</v>
      </c>
      <c r="P202" s="309" t="str">
        <f>IF(A202="---","---",IF(Type_Reinf="g","---",INPUT!O135))</f>
        <v>---</v>
      </c>
      <c r="Q202" s="309" t="str">
        <f>IF(Type_Reinf="g",IF(A202="---","---",phi_Tensile_Static*I202*INPUT!M135/$D$173),"---")</f>
        <v>---</v>
      </c>
      <c r="R202" s="337" t="str">
        <f>IF(Type_Reinf="g",IF(A202="---","---",phi_Tensile_Combined*I202*INPUT!N135/(MAX(RF_ID,1.1)*MAX(RF_D,1.1))),"---")</f>
        <v>---</v>
      </c>
      <c r="S202" s="22"/>
    </row>
    <row r="203" spans="1:19">
      <c r="A203" s="435" t="str">
        <f>IF(INPUT!B136="---","---",INPUT!A136)</f>
        <v>---</v>
      </c>
      <c r="B203" s="309" t="str">
        <f>IF(A203="---","---",IF(A203=1,Z_1,INPUT!B136))</f>
        <v>---</v>
      </c>
      <c r="C203" s="309" t="str">
        <f>IF(A203="---","---",INPUT!G136)</f>
        <v>---</v>
      </c>
      <c r="D203" s="309" t="str">
        <f t="shared" si="53"/>
        <v>---</v>
      </c>
      <c r="E203" s="337" t="str">
        <f>IF(A203="---","---",INPUT!H136-2*$F$170)</f>
        <v>---</v>
      </c>
      <c r="F203" s="309" t="str">
        <f>IF(A203="---","---",IF(INPUT!K136&gt;0,INPUT!K136,IF(INPUT!H136&gt;0,INPUT!F136*E203^2*PI()/4,D203*INPUT!E136)))</f>
        <v>---</v>
      </c>
      <c r="G203" s="309" t="str">
        <f>IF(A203="---","---",IF(INPUT!K136&gt;0,INPUT!K136,INPUT!E136*INPUT!G136))</f>
        <v>---</v>
      </c>
      <c r="H203" s="309" t="str">
        <f t="shared" si="54"/>
        <v>---</v>
      </c>
      <c r="I203" s="436" t="str">
        <f>IF(A203="---","---",IF(Reinf_cont="y",1,IF(INPUT!D136=0,0,INPUT!E136/(INPUT!D136*12))))</f>
        <v>---</v>
      </c>
      <c r="J203" s="309" t="str">
        <f>IF(A203="---","---",IF(Type_Reinf="g","---",IF(INPUT!D136=0,0,H203*(Fy/2)/(INPUT!E136/12))))</f>
        <v>---</v>
      </c>
      <c r="K203" s="309" t="str">
        <f>IF(A203="---","---",IF(Type_Reinf="g",(INPUT!M136+INPUT!N136),"---"))</f>
        <v>---</v>
      </c>
      <c r="L203" s="309" t="str">
        <f t="shared" si="55"/>
        <v>---</v>
      </c>
      <c r="M203" s="309" t="str">
        <f t="shared" si="56"/>
        <v>---</v>
      </c>
      <c r="N203" s="309" t="str">
        <f>IF(A203="---","---",IF(Type_Reinf="g",K203*INPUT!L136/MAX(RF_D,1.1),"---"))</f>
        <v>---</v>
      </c>
      <c r="O203" s="309" t="str">
        <f t="shared" si="57"/>
        <v>---</v>
      </c>
      <c r="P203" s="309" t="str">
        <f>IF(A203="---","---",IF(Type_Reinf="g","---",INPUT!O136))</f>
        <v>---</v>
      </c>
      <c r="Q203" s="309" t="str">
        <f>IF(Type_Reinf="g",IF(A203="---","---",phi_Tensile_Static*I203*INPUT!M136/$D$173),"---")</f>
        <v>---</v>
      </c>
      <c r="R203" s="337" t="str">
        <f>IF(Type_Reinf="g",IF(A203="---","---",phi_Tensile_Combined*I203*INPUT!N136/(MAX(RF_ID,1.1)*MAX(RF_D,1.1))),"---")</f>
        <v>---</v>
      </c>
      <c r="S203" s="22"/>
    </row>
    <row r="204" spans="1:19">
      <c r="A204" s="435" t="str">
        <f>IF(INPUT!B137="---","---",INPUT!A137)</f>
        <v>---</v>
      </c>
      <c r="B204" s="309" t="str">
        <f>IF(A204="---","---",IF(A204=1,Z_1,INPUT!B137))</f>
        <v>---</v>
      </c>
      <c r="C204" s="309" t="str">
        <f>IF(A204="---","---",INPUT!G137)</f>
        <v>---</v>
      </c>
      <c r="D204" s="309" t="str">
        <f t="shared" si="53"/>
        <v>---</v>
      </c>
      <c r="E204" s="337" t="str">
        <f>IF(A204="---","---",INPUT!H137-2*$F$170)</f>
        <v>---</v>
      </c>
      <c r="F204" s="309" t="str">
        <f>IF(A204="---","---",IF(INPUT!K137&gt;0,INPUT!K137,IF(INPUT!H137&gt;0,INPUT!F137*E204^2*PI()/4,D204*INPUT!E137)))</f>
        <v>---</v>
      </c>
      <c r="G204" s="309" t="str">
        <f>IF(A204="---","---",IF(INPUT!K137&gt;0,INPUT!K137,INPUT!E137*INPUT!G137))</f>
        <v>---</v>
      </c>
      <c r="H204" s="309" t="str">
        <f t="shared" si="54"/>
        <v>---</v>
      </c>
      <c r="I204" s="436" t="str">
        <f>IF(A204="---","---",IF(Reinf_cont="y",1,IF(INPUT!D137=0,0,INPUT!E137/(INPUT!D137*12))))</f>
        <v>---</v>
      </c>
      <c r="J204" s="309" t="str">
        <f>IF(A204="---","---",IF(Type_Reinf="g","---",IF(INPUT!D137=0,0,H204*(Fy/2)/(INPUT!E137/12))))</f>
        <v>---</v>
      </c>
      <c r="K204" s="309" t="str">
        <f>IF(A204="---","---",IF(Type_Reinf="g",(INPUT!M137+INPUT!N137),"---"))</f>
        <v>---</v>
      </c>
      <c r="L204" s="309" t="str">
        <f t="shared" si="55"/>
        <v>---</v>
      </c>
      <c r="M204" s="309" t="str">
        <f t="shared" si="56"/>
        <v>---</v>
      </c>
      <c r="N204" s="309" t="str">
        <f>IF(A204="---","---",IF(Type_Reinf="g",K204*INPUT!L137/MAX(RF_D,1.1),"---"))</f>
        <v>---</v>
      </c>
      <c r="O204" s="309" t="str">
        <f t="shared" si="57"/>
        <v>---</v>
      </c>
      <c r="P204" s="309" t="str">
        <f>IF(A204="---","---",IF(Type_Reinf="g","---",INPUT!O137))</f>
        <v>---</v>
      </c>
      <c r="Q204" s="309" t="str">
        <f>IF(Type_Reinf="g",IF(A204="---","---",phi_Tensile_Static*I204*INPUT!M137/$D$173),"---")</f>
        <v>---</v>
      </c>
      <c r="R204" s="337" t="str">
        <f>IF(Type_Reinf="g",IF(A204="---","---",phi_Tensile_Combined*I204*INPUT!N137/(MAX(RF_ID,1.1)*MAX(RF_D,1.1))),"---")</f>
        <v>---</v>
      </c>
      <c r="S204" s="22"/>
    </row>
    <row r="205" spans="1:19">
      <c r="A205" s="435" t="str">
        <f>IF(INPUT!B138="---","---",INPUT!A138)</f>
        <v>---</v>
      </c>
      <c r="B205" s="309" t="str">
        <f>IF(A205="---","---",IF(A205=1,Z_1,INPUT!B138))</f>
        <v>---</v>
      </c>
      <c r="C205" s="309" t="str">
        <f>IF(A205="---","---",INPUT!G138)</f>
        <v>---</v>
      </c>
      <c r="D205" s="309" t="str">
        <f t="shared" si="53"/>
        <v>---</v>
      </c>
      <c r="E205" s="337" t="str">
        <f>IF(A205="---","---",INPUT!H138-2*$F$170)</f>
        <v>---</v>
      </c>
      <c r="F205" s="309" t="str">
        <f>IF(A205="---","---",IF(INPUT!K138&gt;0,INPUT!K138,IF(INPUT!H138&gt;0,INPUT!F138*E205^2*PI()/4,D205*INPUT!E138)))</f>
        <v>---</v>
      </c>
      <c r="G205" s="309" t="str">
        <f>IF(A205="---","---",IF(INPUT!K138&gt;0,INPUT!K138,INPUT!E138*INPUT!G138))</f>
        <v>---</v>
      </c>
      <c r="H205" s="309" t="str">
        <f t="shared" si="54"/>
        <v>---</v>
      </c>
      <c r="I205" s="436" t="str">
        <f>IF(A205="---","---",IF(Reinf_cont="y",1,IF(INPUT!D138=0,0,INPUT!E138/(INPUT!D138*12))))</f>
        <v>---</v>
      </c>
      <c r="J205" s="309" t="str">
        <f>IF(A205="---","---",IF(Type_Reinf="g","---",IF(INPUT!D138=0,0,H205*(Fy/2)/(INPUT!E138/12))))</f>
        <v>---</v>
      </c>
      <c r="K205" s="309" t="str">
        <f>IF(A205="---","---",IF(Type_Reinf="g",(INPUT!M138+INPUT!N138),"---"))</f>
        <v>---</v>
      </c>
      <c r="L205" s="309" t="str">
        <f t="shared" si="55"/>
        <v>---</v>
      </c>
      <c r="M205" s="309" t="str">
        <f t="shared" si="56"/>
        <v>---</v>
      </c>
      <c r="N205" s="309" t="str">
        <f>IF(A205="---","---",IF(Type_Reinf="g",K205*INPUT!L138/MAX(RF_D,1.1),"---"))</f>
        <v>---</v>
      </c>
      <c r="O205" s="309" t="str">
        <f t="shared" si="57"/>
        <v>---</v>
      </c>
      <c r="P205" s="309" t="str">
        <f>IF(A205="---","---",IF(Type_Reinf="g","---",INPUT!O138))</f>
        <v>---</v>
      </c>
      <c r="Q205" s="309" t="str">
        <f>IF(Type_Reinf="g",IF(A205="---","---",phi_Tensile_Static*I205*INPUT!M138/$D$173),"---")</f>
        <v>---</v>
      </c>
      <c r="R205" s="337" t="str">
        <f>IF(Type_Reinf="g",IF(A205="---","---",phi_Tensile_Combined*I205*INPUT!N138/(MAX(RF_ID,1.1)*MAX(RF_D,1.1))),"---")</f>
        <v>---</v>
      </c>
      <c r="S205" s="22"/>
    </row>
    <row r="206" spans="1:19">
      <c r="A206" s="435" t="str">
        <f>IF(INPUT!B139="---","---",INPUT!A139)</f>
        <v>---</v>
      </c>
      <c r="B206" s="309" t="str">
        <f>IF(A206="---","---",IF(A206=1,Z_1,INPUT!B139))</f>
        <v>---</v>
      </c>
      <c r="C206" s="309" t="str">
        <f>IF(A206="---","---",INPUT!G139)</f>
        <v>---</v>
      </c>
      <c r="D206" s="309" t="str">
        <f t="shared" si="53"/>
        <v>---</v>
      </c>
      <c r="E206" s="337" t="str">
        <f>IF(A206="---","---",INPUT!H139-2*$F$170)</f>
        <v>---</v>
      </c>
      <c r="F206" s="309" t="str">
        <f>IF(A206="---","---",IF(INPUT!K139&gt;0,INPUT!K139,IF(INPUT!H139&gt;0,INPUT!F139*E206^2*PI()/4,D206*INPUT!E139)))</f>
        <v>---</v>
      </c>
      <c r="G206" s="309" t="str">
        <f>IF(A206="---","---",IF(INPUT!K139&gt;0,INPUT!K139,INPUT!E139*INPUT!G139))</f>
        <v>---</v>
      </c>
      <c r="H206" s="309" t="str">
        <f t="shared" si="54"/>
        <v>---</v>
      </c>
      <c r="I206" s="436" t="str">
        <f>IF(A206="---","---",IF(Reinf_cont="y",1,IF(INPUT!D139=0,0,INPUT!E139/(INPUT!D139*12))))</f>
        <v>---</v>
      </c>
      <c r="J206" s="309" t="str">
        <f>IF(A206="---","---",IF(Type_Reinf="g","---",IF(INPUT!D139=0,0,H206*(Fy/2)/(INPUT!E139/12))))</f>
        <v>---</v>
      </c>
      <c r="K206" s="309" t="str">
        <f>IF(A206="---","---",IF(Type_Reinf="g",(INPUT!M139+INPUT!N139),"---"))</f>
        <v>---</v>
      </c>
      <c r="L206" s="309" t="str">
        <f t="shared" si="55"/>
        <v>---</v>
      </c>
      <c r="M206" s="309" t="str">
        <f t="shared" si="56"/>
        <v>---</v>
      </c>
      <c r="N206" s="309" t="str">
        <f>IF(A206="---","---",IF(Type_Reinf="g",K206*INPUT!L139/MAX(RF_D,1.1),"---"))</f>
        <v>---</v>
      </c>
      <c r="O206" s="309" t="str">
        <f t="shared" si="57"/>
        <v>---</v>
      </c>
      <c r="P206" s="309" t="str">
        <f>IF(A206="---","---",IF(Type_Reinf="g","---",INPUT!O139))</f>
        <v>---</v>
      </c>
      <c r="Q206" s="309" t="str">
        <f>IF(Type_Reinf="g",IF(A206="---","---",phi_Tensile_Static*I206*INPUT!M139/$D$173),"---")</f>
        <v>---</v>
      </c>
      <c r="R206" s="337" t="str">
        <f>IF(Type_Reinf="g",IF(A206="---","---",phi_Tensile_Combined*I206*INPUT!N139/(MAX(RF_ID,1.1)*MAX(RF_D,1.1))),"---")</f>
        <v>---</v>
      </c>
      <c r="S206" s="22"/>
    </row>
    <row r="207" spans="1:19">
      <c r="A207" s="435" t="str">
        <f>IF(INPUT!B140="---","---",INPUT!A140)</f>
        <v>---</v>
      </c>
      <c r="B207" s="309" t="str">
        <f>IF(A207="---","---",IF(A207=1,Z_1,INPUT!B140))</f>
        <v>---</v>
      </c>
      <c r="C207" s="309" t="str">
        <f>IF(A207="---","---",INPUT!G140)</f>
        <v>---</v>
      </c>
      <c r="D207" s="309" t="str">
        <f t="shared" si="53"/>
        <v>---</v>
      </c>
      <c r="E207" s="337" t="str">
        <f>IF(A207="---","---",INPUT!H140-2*$F$170)</f>
        <v>---</v>
      </c>
      <c r="F207" s="309" t="str">
        <f>IF(A207="---","---",IF(INPUT!K140&gt;0,INPUT!K140,IF(INPUT!H140&gt;0,INPUT!F140*E207^2*PI()/4,D207*INPUT!E140)))</f>
        <v>---</v>
      </c>
      <c r="G207" s="309" t="str">
        <f>IF(A207="---","---",IF(INPUT!K140&gt;0,INPUT!K140,INPUT!E140*INPUT!G140))</f>
        <v>---</v>
      </c>
      <c r="H207" s="309" t="str">
        <f t="shared" si="54"/>
        <v>---</v>
      </c>
      <c r="I207" s="436" t="str">
        <f>IF(A207="---","---",IF(Reinf_cont="y",1,IF(INPUT!D140=0,0,INPUT!E140/(INPUT!D140*12))))</f>
        <v>---</v>
      </c>
      <c r="J207" s="309" t="str">
        <f>IF(A207="---","---",IF(Type_Reinf="g","---",IF(INPUT!D140=0,0,H207*(Fy/2)/(INPUT!E140/12))))</f>
        <v>---</v>
      </c>
      <c r="K207" s="309" t="str">
        <f>IF(A207="---","---",IF(Type_Reinf="g",(INPUT!M140+INPUT!N140),"---"))</f>
        <v>---</v>
      </c>
      <c r="L207" s="309" t="str">
        <f t="shared" si="55"/>
        <v>---</v>
      </c>
      <c r="M207" s="309" t="str">
        <f t="shared" si="56"/>
        <v>---</v>
      </c>
      <c r="N207" s="309" t="str">
        <f>IF(A207="---","---",IF(Type_Reinf="g",K207*INPUT!L140/MAX(RF_D,1.1),"---"))</f>
        <v>---</v>
      </c>
      <c r="O207" s="309" t="str">
        <f t="shared" si="57"/>
        <v>---</v>
      </c>
      <c r="P207" s="309" t="str">
        <f>IF(A207="---","---",IF(Type_Reinf="g","---",INPUT!O140))</f>
        <v>---</v>
      </c>
      <c r="Q207" s="309" t="str">
        <f>IF(Type_Reinf="g",IF(A207="---","---",phi_Tensile_Static*I207*INPUT!M140/$D$173),"---")</f>
        <v>---</v>
      </c>
      <c r="R207" s="337" t="str">
        <f>IF(Type_Reinf="g",IF(A207="---","---",phi_Tensile_Combined*I207*INPUT!N140/(MAX(RF_ID,1.1)*MAX(RF_D,1.1))),"---")</f>
        <v>---</v>
      </c>
      <c r="S207" s="22"/>
    </row>
    <row r="208" spans="1:19">
      <c r="A208" s="435" t="str">
        <f>IF(INPUT!B141="---","---",INPUT!A141)</f>
        <v>---</v>
      </c>
      <c r="B208" s="309" t="str">
        <f>IF(A208="---","---",IF(A208=1,Z_1,INPUT!B141))</f>
        <v>---</v>
      </c>
      <c r="C208" s="309" t="str">
        <f>IF(A208="---","---",INPUT!G141)</f>
        <v>---</v>
      </c>
      <c r="D208" s="309" t="str">
        <f t="shared" si="53"/>
        <v>---</v>
      </c>
      <c r="E208" s="337" t="str">
        <f>IF(A208="---","---",INPUT!H141-2*$F$170)</f>
        <v>---</v>
      </c>
      <c r="F208" s="309" t="str">
        <f>IF(A208="---","---",IF(INPUT!K141&gt;0,INPUT!K141,IF(INPUT!H141&gt;0,INPUT!F141*E208^2*PI()/4,D208*INPUT!E141)))</f>
        <v>---</v>
      </c>
      <c r="G208" s="309" t="str">
        <f>IF(A208="---","---",IF(INPUT!K141&gt;0,INPUT!K141,INPUT!E141*INPUT!G141))</f>
        <v>---</v>
      </c>
      <c r="H208" s="309" t="str">
        <f t="shared" si="54"/>
        <v>---</v>
      </c>
      <c r="I208" s="436" t="str">
        <f>IF(A208="---","---",IF(Reinf_cont="y",1,IF(INPUT!D141=0,0,INPUT!E141/(INPUT!D141*12))))</f>
        <v>---</v>
      </c>
      <c r="J208" s="309" t="str">
        <f>IF(A208="---","---",IF(Type_Reinf="g","---",IF(INPUT!D141=0,0,H208*(Fy/2)/(INPUT!E141/12))))</f>
        <v>---</v>
      </c>
      <c r="K208" s="309" t="str">
        <f>IF(A208="---","---",IF(Type_Reinf="g",(INPUT!M141+INPUT!N141),"---"))</f>
        <v>---</v>
      </c>
      <c r="L208" s="309" t="str">
        <f t="shared" si="55"/>
        <v>---</v>
      </c>
      <c r="M208" s="309" t="str">
        <f t="shared" si="56"/>
        <v>---</v>
      </c>
      <c r="N208" s="309" t="str">
        <f>IF(A208="---","---",IF(Type_Reinf="g",K208*INPUT!L141/MAX(RF_D,1.1),"---"))</f>
        <v>---</v>
      </c>
      <c r="O208" s="309" t="str">
        <f t="shared" si="57"/>
        <v>---</v>
      </c>
      <c r="P208" s="309" t="str">
        <f>IF(A208="---","---",IF(Type_Reinf="g","---",INPUT!O141))</f>
        <v>---</v>
      </c>
      <c r="Q208" s="309" t="str">
        <f>IF(Type_Reinf="g",IF(A208="---","---",phi_Tensile_Static*I208*INPUT!M141/$D$173),"---")</f>
        <v>---</v>
      </c>
      <c r="R208" s="337" t="str">
        <f>IF(Type_Reinf="g",IF(A208="---","---",phi_Tensile_Combined*I208*INPUT!N141/(MAX(RF_ID,1.1)*MAX(RF_D,1.1))),"---")</f>
        <v>---</v>
      </c>
      <c r="S208" s="22"/>
    </row>
    <row r="209" spans="1:19">
      <c r="A209" s="435" t="str">
        <f>IF(INPUT!B142="---","---",INPUT!A142)</f>
        <v>---</v>
      </c>
      <c r="B209" s="309" t="str">
        <f>IF(A209="---","---",IF(A209=1,Z_1,INPUT!B142))</f>
        <v>---</v>
      </c>
      <c r="C209" s="309" t="str">
        <f>IF(A209="---","---",INPUT!G142)</f>
        <v>---</v>
      </c>
      <c r="D209" s="309" t="str">
        <f t="shared" si="53"/>
        <v>---</v>
      </c>
      <c r="E209" s="337" t="str">
        <f>IF(A209="---","---",INPUT!H142-2*$F$170)</f>
        <v>---</v>
      </c>
      <c r="F209" s="309" t="str">
        <f>IF(A209="---","---",IF(INPUT!K142&gt;0,INPUT!K142,IF(INPUT!H142&gt;0,INPUT!F142*E209^2*PI()/4,D209*INPUT!E142)))</f>
        <v>---</v>
      </c>
      <c r="G209" s="309" t="str">
        <f>IF(A209="---","---",IF(INPUT!K142&gt;0,INPUT!K142,INPUT!E142*INPUT!G142))</f>
        <v>---</v>
      </c>
      <c r="H209" s="309" t="str">
        <f t="shared" si="54"/>
        <v>---</v>
      </c>
      <c r="I209" s="436" t="str">
        <f>IF(A209="---","---",IF(Reinf_cont="y",1,IF(INPUT!D142=0,0,INPUT!E142/(INPUT!D142*12))))</f>
        <v>---</v>
      </c>
      <c r="J209" s="309" t="str">
        <f>IF(A209="---","---",IF(Type_Reinf="g","---",IF(INPUT!D142=0,0,H209*(Fy/2)/(INPUT!E142/12))))</f>
        <v>---</v>
      </c>
      <c r="K209" s="309" t="str">
        <f>IF(A209="---","---",IF(Type_Reinf="g",(INPUT!M142+INPUT!N142),"---"))</f>
        <v>---</v>
      </c>
      <c r="L209" s="309" t="str">
        <f t="shared" si="55"/>
        <v>---</v>
      </c>
      <c r="M209" s="309" t="str">
        <f t="shared" si="56"/>
        <v>---</v>
      </c>
      <c r="N209" s="309" t="str">
        <f>IF(A209="---","---",IF(Type_Reinf="g",K209*INPUT!L142/MAX(RF_D,1.1),"---"))</f>
        <v>---</v>
      </c>
      <c r="O209" s="309" t="str">
        <f t="shared" si="57"/>
        <v>---</v>
      </c>
      <c r="P209" s="309" t="str">
        <f>IF(A209="---","---",IF(Type_Reinf="g","---",INPUT!O142))</f>
        <v>---</v>
      </c>
      <c r="Q209" s="309" t="str">
        <f>IF(Type_Reinf="g",IF(A209="---","---",phi_Tensile_Static*I209*INPUT!M142/$D$173),"---")</f>
        <v>---</v>
      </c>
      <c r="R209" s="337" t="str">
        <f>IF(Type_Reinf="g",IF(A209="---","---",phi_Tensile_Combined*I209*INPUT!N142/(MAX(RF_ID,1.1)*MAX(RF_D,1.1))),"---")</f>
        <v>---</v>
      </c>
      <c r="S209" s="22"/>
    </row>
    <row r="210" spans="1:19">
      <c r="A210" s="435" t="str">
        <f>IF(INPUT!B143="---","---",INPUT!A143)</f>
        <v>---</v>
      </c>
      <c r="B210" s="309" t="str">
        <f>IF(A210="---","---",IF(A210=1,Z_1,INPUT!B143))</f>
        <v>---</v>
      </c>
      <c r="C210" s="309" t="str">
        <f>IF(A210="---","---",INPUT!G143)</f>
        <v>---</v>
      </c>
      <c r="D210" s="309" t="str">
        <f t="shared" ref="D210:D227" si="58">IF(A210="---","---",IF(C210=0,0,C210-2*$F$170))</f>
        <v>---</v>
      </c>
      <c r="E210" s="337" t="str">
        <f>IF(A210="---","---",INPUT!H143-2*$F$170)</f>
        <v>---</v>
      </c>
      <c r="F210" s="309" t="str">
        <f>IF(A210="---","---",IF(INPUT!K143&gt;0,INPUT!K143,IF(INPUT!H143&gt;0,INPUT!F143*E210^2*PI()/4,D210*INPUT!E143)))</f>
        <v>---</v>
      </c>
      <c r="G210" s="309" t="str">
        <f>IF(A210="---","---",IF(INPUT!K143&gt;0,INPUT!K143,INPUT!E143*INPUT!G143))</f>
        <v>---</v>
      </c>
      <c r="H210" s="309" t="str">
        <f t="shared" si="54"/>
        <v>---</v>
      </c>
      <c r="I210" s="436" t="str">
        <f>IF(A210="---","---",IF(Reinf_cont="y",1,IF(INPUT!D143=0,0,INPUT!E143/(INPUT!D143*12))))</f>
        <v>---</v>
      </c>
      <c r="J210" s="309" t="str">
        <f>IF(A210="---","---",IF(Type_Reinf="g","---",IF(INPUT!D143=0,0,H210*(Fy/2)/(INPUT!E143/12))))</f>
        <v>---</v>
      </c>
      <c r="K210" s="309" t="str">
        <f>IF(A210="---","---",IF(Type_Reinf="g",(INPUT!M143+INPUT!N143),"---"))</f>
        <v>---</v>
      </c>
      <c r="L210" s="309" t="str">
        <f t="shared" ref="L210:L227" si="59">IF(A210="---","---",IF(Type_Reinf="g",K210/$D$173,"---"))</f>
        <v>---</v>
      </c>
      <c r="M210" s="309" t="str">
        <f t="shared" si="56"/>
        <v>---</v>
      </c>
      <c r="N210" s="309" t="str">
        <f>IF(A210="---","---",IF(Type_Reinf="g",K210*INPUT!L143/MAX(RF_D,1.1),"---"))</f>
        <v>---</v>
      </c>
      <c r="O210" s="309" t="str">
        <f t="shared" ref="O210:O227" si="60">IF(A210="---","---",IF(Type_Reinf="g",phi_Tensile_Static*N210*I210,"---"))</f>
        <v>---</v>
      </c>
      <c r="P210" s="309" t="str">
        <f>IF(A210="---","---",IF(Type_Reinf="g","---",INPUT!O143))</f>
        <v>---</v>
      </c>
      <c r="Q210" s="309" t="str">
        <f>IF(Type_Reinf="g",IF(A210="---","---",phi_Tensile_Static*I210*INPUT!M143/$D$173),"---")</f>
        <v>---</v>
      </c>
      <c r="R210" s="337" t="str">
        <f>IF(Type_Reinf="g",IF(A210="---","---",phi_Tensile_Combined*I210*INPUT!N143/(MAX(RF_ID,1.1)*MAX(RF_D,1.1))),"---")</f>
        <v>---</v>
      </c>
      <c r="S210" s="22"/>
    </row>
    <row r="211" spans="1:19">
      <c r="A211" s="435" t="str">
        <f>IF(INPUT!B144="---","---",INPUT!A144)</f>
        <v>---</v>
      </c>
      <c r="B211" s="309" t="str">
        <f>IF(A211="---","---",IF(A211=1,Z_1,INPUT!B144))</f>
        <v>---</v>
      </c>
      <c r="C211" s="309" t="str">
        <f>IF(A211="---","---",INPUT!G144)</f>
        <v>---</v>
      </c>
      <c r="D211" s="309" t="str">
        <f t="shared" si="58"/>
        <v>---</v>
      </c>
      <c r="E211" s="337" t="str">
        <f>IF(A211="---","---",INPUT!H144-2*$F$170)</f>
        <v>---</v>
      </c>
      <c r="F211" s="309" t="str">
        <f>IF(A211="---","---",IF(INPUT!K144&gt;0,INPUT!K144,IF(INPUT!H144&gt;0,INPUT!F144*E211^2*PI()/4,D211*INPUT!E144)))</f>
        <v>---</v>
      </c>
      <c r="G211" s="309" t="str">
        <f>IF(A211="---","---",IF(INPUT!K144&gt;0,INPUT!K144,INPUT!E144*INPUT!G144))</f>
        <v>---</v>
      </c>
      <c r="H211" s="309" t="str">
        <f t="shared" si="54"/>
        <v>---</v>
      </c>
      <c r="I211" s="436" t="str">
        <f>IF(A211="---","---",IF(Reinf_cont="y",1,IF(INPUT!D144=0,0,INPUT!E144/(INPUT!D144*12))))</f>
        <v>---</v>
      </c>
      <c r="J211" s="309" t="str">
        <f>IF(A211="---","---",IF(Type_Reinf="g","---",IF(INPUT!D144=0,0,H211*(Fy/2)/(INPUT!E144/12))))</f>
        <v>---</v>
      </c>
      <c r="K211" s="309" t="str">
        <f>IF(A211="---","---",IF(Type_Reinf="g",(INPUT!M144+INPUT!N144),"---"))</f>
        <v>---</v>
      </c>
      <c r="L211" s="309" t="str">
        <f t="shared" si="59"/>
        <v>---</v>
      </c>
      <c r="M211" s="309" t="str">
        <f t="shared" si="56"/>
        <v>---</v>
      </c>
      <c r="N211" s="309" t="str">
        <f>IF(A211="---","---",IF(Type_Reinf="g",K211*INPUT!L144/MAX(RF_D,1.1),"---"))</f>
        <v>---</v>
      </c>
      <c r="O211" s="309" t="str">
        <f t="shared" si="60"/>
        <v>---</v>
      </c>
      <c r="P211" s="309" t="str">
        <f>IF(A211="---","---",IF(Type_Reinf="g","---",INPUT!O144))</f>
        <v>---</v>
      </c>
      <c r="Q211" s="309" t="str">
        <f>IF(Type_Reinf="g",IF(A211="---","---",phi_Tensile_Static*I211*INPUT!M144/$D$173),"---")</f>
        <v>---</v>
      </c>
      <c r="R211" s="337" t="str">
        <f>IF(Type_Reinf="g",IF(A211="---","---",phi_Tensile_Combined*I211*INPUT!N144/(MAX(RF_ID,1.1)*MAX(RF_D,1.1))),"---")</f>
        <v>---</v>
      </c>
      <c r="S211" s="22"/>
    </row>
    <row r="212" spans="1:19">
      <c r="A212" s="435" t="str">
        <f>IF(INPUT!B145="---","---",INPUT!A145)</f>
        <v>---</v>
      </c>
      <c r="B212" s="309" t="str">
        <f>IF(A212="---","---",IF(A212=1,Z_1,INPUT!B145))</f>
        <v>---</v>
      </c>
      <c r="C212" s="309" t="str">
        <f>IF(A212="---","---",INPUT!G145)</f>
        <v>---</v>
      </c>
      <c r="D212" s="309" t="str">
        <f t="shared" si="58"/>
        <v>---</v>
      </c>
      <c r="E212" s="337" t="str">
        <f>IF(A212="---","---",INPUT!H145-2*$F$170)</f>
        <v>---</v>
      </c>
      <c r="F212" s="309" t="str">
        <f>IF(A212="---","---",IF(INPUT!K145&gt;0,INPUT!K145,IF(INPUT!H145&gt;0,INPUT!F145*E212^2*PI()/4,D212*INPUT!E145)))</f>
        <v>---</v>
      </c>
      <c r="G212" s="309" t="str">
        <f>IF(A212="---","---",IF(INPUT!K145&gt;0,INPUT!K145,INPUT!E145*INPUT!G145))</f>
        <v>---</v>
      </c>
      <c r="H212" s="309" t="str">
        <f t="shared" si="54"/>
        <v>---</v>
      </c>
      <c r="I212" s="436" t="str">
        <f>IF(A212="---","---",IF(Reinf_cont="y",1,IF(INPUT!D145=0,0,INPUT!E145/(INPUT!D145*12))))</f>
        <v>---</v>
      </c>
      <c r="J212" s="309" t="str">
        <f>IF(A212="---","---",IF(Type_Reinf="g","---",IF(INPUT!D145=0,0,H212*(Fy/2)/(INPUT!E145/12))))</f>
        <v>---</v>
      </c>
      <c r="K212" s="309" t="str">
        <f>IF(A212="---","---",IF(Type_Reinf="g",(INPUT!M145+INPUT!N145),"---"))</f>
        <v>---</v>
      </c>
      <c r="L212" s="309" t="str">
        <f t="shared" si="59"/>
        <v>---</v>
      </c>
      <c r="M212" s="309" t="str">
        <f t="shared" si="56"/>
        <v>---</v>
      </c>
      <c r="N212" s="309" t="str">
        <f>IF(A212="---","---",IF(Type_Reinf="g",K212*INPUT!L145/MAX(RF_D,1.1),"---"))</f>
        <v>---</v>
      </c>
      <c r="O212" s="309" t="str">
        <f t="shared" si="60"/>
        <v>---</v>
      </c>
      <c r="P212" s="309" t="str">
        <f>IF(A212="---","---",IF(Type_Reinf="g","---",INPUT!O145))</f>
        <v>---</v>
      </c>
      <c r="Q212" s="309" t="str">
        <f>IF(Type_Reinf="g",IF(A212="---","---",phi_Tensile_Static*I212*INPUT!M145/$D$173),"---")</f>
        <v>---</v>
      </c>
      <c r="R212" s="337" t="str">
        <f>IF(Type_Reinf="g",IF(A212="---","---",phi_Tensile_Combined*I212*INPUT!N145/(MAX(RF_ID,1.1)*MAX(RF_D,1.1))),"---")</f>
        <v>---</v>
      </c>
      <c r="S212" s="22"/>
    </row>
    <row r="213" spans="1:19">
      <c r="A213" s="435" t="str">
        <f>IF(INPUT!B146="---","---",INPUT!A146)</f>
        <v>---</v>
      </c>
      <c r="B213" s="309" t="str">
        <f>IF(A213="---","---",IF(A213=1,Z_1,INPUT!B146))</f>
        <v>---</v>
      </c>
      <c r="C213" s="309" t="str">
        <f>IF(A213="---","---",INPUT!G146)</f>
        <v>---</v>
      </c>
      <c r="D213" s="309" t="str">
        <f t="shared" si="58"/>
        <v>---</v>
      </c>
      <c r="E213" s="337" t="str">
        <f>IF(A213="---","---",INPUT!H146-2*$F$170)</f>
        <v>---</v>
      </c>
      <c r="F213" s="309" t="str">
        <f>IF(A213="---","---",IF(INPUT!K146&gt;0,INPUT!K146,IF(INPUT!H146&gt;0,INPUT!F146*E213^2*PI()/4,D213*INPUT!E146)))</f>
        <v>---</v>
      </c>
      <c r="G213" s="309" t="str">
        <f>IF(A213="---","---",IF(INPUT!K146&gt;0,INPUT!K146,INPUT!E146*INPUT!G146))</f>
        <v>---</v>
      </c>
      <c r="H213" s="309" t="str">
        <f t="shared" si="54"/>
        <v>---</v>
      </c>
      <c r="I213" s="436" t="str">
        <f>IF(A213="---","---",IF(Reinf_cont="y",1,IF(INPUT!D146=0,0,INPUT!E146/(INPUT!D146*12))))</f>
        <v>---</v>
      </c>
      <c r="J213" s="309" t="str">
        <f>IF(A213="---","---",IF(Type_Reinf="g","---",IF(INPUT!D146=0,0,H213*(Fy/2)/(INPUT!E146/12))))</f>
        <v>---</v>
      </c>
      <c r="K213" s="309" t="str">
        <f>IF(A213="---","---",IF(Type_Reinf="g",(INPUT!M146+INPUT!N146),"---"))</f>
        <v>---</v>
      </c>
      <c r="L213" s="309" t="str">
        <f t="shared" si="59"/>
        <v>---</v>
      </c>
      <c r="M213" s="309" t="str">
        <f t="shared" si="56"/>
        <v>---</v>
      </c>
      <c r="N213" s="309" t="str">
        <f>IF(A213="---","---",IF(Type_Reinf="g",K213*INPUT!L146/MAX(RF_D,1.1),"---"))</f>
        <v>---</v>
      </c>
      <c r="O213" s="309" t="str">
        <f t="shared" si="60"/>
        <v>---</v>
      </c>
      <c r="P213" s="309" t="str">
        <f>IF(A213="---","---",IF(Type_Reinf="g","---",INPUT!O146))</f>
        <v>---</v>
      </c>
      <c r="Q213" s="309" t="str">
        <f>IF(Type_Reinf="g",IF(A213="---","---",phi_Tensile_Static*I213*INPUT!M146/$D$173),"---")</f>
        <v>---</v>
      </c>
      <c r="R213" s="337" t="str">
        <f>IF(Type_Reinf="g",IF(A213="---","---",phi_Tensile_Combined*I213*INPUT!N146/(MAX(RF_ID,1.1)*MAX(RF_D,1.1))),"---")</f>
        <v>---</v>
      </c>
      <c r="S213" s="22"/>
    </row>
    <row r="214" spans="1:19">
      <c r="A214" s="435" t="str">
        <f>IF(INPUT!B147="---","---",INPUT!A147)</f>
        <v>---</v>
      </c>
      <c r="B214" s="309" t="str">
        <f>IF(A214="---","---",IF(A214=1,Z_1,INPUT!B147))</f>
        <v>---</v>
      </c>
      <c r="C214" s="309" t="str">
        <f>IF(A214="---","---",INPUT!G147)</f>
        <v>---</v>
      </c>
      <c r="D214" s="309" t="str">
        <f t="shared" si="58"/>
        <v>---</v>
      </c>
      <c r="E214" s="337" t="str">
        <f>IF(A214="---","---",INPUT!H147-2*$F$170)</f>
        <v>---</v>
      </c>
      <c r="F214" s="309" t="str">
        <f>IF(A214="---","---",IF(INPUT!K147&gt;0,INPUT!K147,IF(INPUT!H147&gt;0,INPUT!F147*E214^2*PI()/4,D214*INPUT!E147)))</f>
        <v>---</v>
      </c>
      <c r="G214" s="309" t="str">
        <f>IF(A214="---","---",IF(INPUT!K147&gt;0,INPUT!K147,INPUT!E147*INPUT!G147))</f>
        <v>---</v>
      </c>
      <c r="H214" s="309" t="str">
        <f t="shared" si="54"/>
        <v>---</v>
      </c>
      <c r="I214" s="436" t="str">
        <f>IF(A214="---","---",IF(Reinf_cont="y",1,IF(INPUT!D147=0,0,INPUT!E147/(INPUT!D147*12))))</f>
        <v>---</v>
      </c>
      <c r="J214" s="309" t="str">
        <f>IF(A214="---","---",IF(Type_Reinf="g","---",IF(INPUT!D147=0,0,H214*(Fy/2)/(INPUT!E147/12))))</f>
        <v>---</v>
      </c>
      <c r="K214" s="309" t="str">
        <f>IF(A214="---","---",IF(Type_Reinf="g",(INPUT!M147+INPUT!N147),"---"))</f>
        <v>---</v>
      </c>
      <c r="L214" s="309" t="str">
        <f t="shared" si="59"/>
        <v>---</v>
      </c>
      <c r="M214" s="309" t="str">
        <f t="shared" si="56"/>
        <v>---</v>
      </c>
      <c r="N214" s="309" t="str">
        <f>IF(A214="---","---",IF(Type_Reinf="g",K214*INPUT!L147/MAX(RF_D,1.1),"---"))</f>
        <v>---</v>
      </c>
      <c r="O214" s="309" t="str">
        <f t="shared" si="60"/>
        <v>---</v>
      </c>
      <c r="P214" s="309" t="str">
        <f>IF(A214="---","---",IF(Type_Reinf="g","---",INPUT!O147))</f>
        <v>---</v>
      </c>
      <c r="Q214" s="309" t="str">
        <f>IF(Type_Reinf="g",IF(A214="---","---",phi_Tensile_Static*I214*INPUT!M147/$D$173),"---")</f>
        <v>---</v>
      </c>
      <c r="R214" s="337" t="str">
        <f>IF(Type_Reinf="g",IF(A214="---","---",phi_Tensile_Combined*I214*INPUT!N147/(MAX(RF_ID,1.1)*MAX(RF_D,1.1))),"---")</f>
        <v>---</v>
      </c>
      <c r="S214" s="22"/>
    </row>
    <row r="215" spans="1:19">
      <c r="A215" s="435" t="str">
        <f>IF(INPUT!B148="---","---",INPUT!A148)</f>
        <v>---</v>
      </c>
      <c r="B215" s="309" t="str">
        <f>IF(A215="---","---",IF(A215=1,Z_1,INPUT!B148))</f>
        <v>---</v>
      </c>
      <c r="C215" s="309" t="str">
        <f>IF(A215="---","---",INPUT!G148)</f>
        <v>---</v>
      </c>
      <c r="D215" s="309" t="str">
        <f t="shared" si="58"/>
        <v>---</v>
      </c>
      <c r="E215" s="337" t="str">
        <f>IF(A215="---","---",INPUT!H148-2*$F$170)</f>
        <v>---</v>
      </c>
      <c r="F215" s="309" t="str">
        <f>IF(A215="---","---",IF(INPUT!K148&gt;0,INPUT!K148,IF(INPUT!H148&gt;0,INPUT!F148*E215^2*PI()/4,D215*INPUT!E148)))</f>
        <v>---</v>
      </c>
      <c r="G215" s="309" t="str">
        <f>IF(A215="---","---",IF(INPUT!K148&gt;0,INPUT!K148,INPUT!E148*INPUT!G148))</f>
        <v>---</v>
      </c>
      <c r="H215" s="309" t="str">
        <f t="shared" si="54"/>
        <v>---</v>
      </c>
      <c r="I215" s="436" t="str">
        <f>IF(A215="---","---",IF(Reinf_cont="y",1,IF(INPUT!D148=0,0,INPUT!E148/(INPUT!D148*12))))</f>
        <v>---</v>
      </c>
      <c r="J215" s="309" t="str">
        <f>IF(A215="---","---",IF(Type_Reinf="g","---",IF(INPUT!D148=0,0,H215*(Fy/2)/(INPUT!E148/12))))</f>
        <v>---</v>
      </c>
      <c r="K215" s="309" t="str">
        <f>IF(A215="---","---",IF(Type_Reinf="g",(INPUT!M148+INPUT!N148),"---"))</f>
        <v>---</v>
      </c>
      <c r="L215" s="309" t="str">
        <f t="shared" si="59"/>
        <v>---</v>
      </c>
      <c r="M215" s="309" t="str">
        <f t="shared" si="56"/>
        <v>---</v>
      </c>
      <c r="N215" s="309" t="str">
        <f>IF(A215="---","---",IF(Type_Reinf="g",K215*INPUT!L148/MAX(RF_D,1.1),"---"))</f>
        <v>---</v>
      </c>
      <c r="O215" s="309" t="str">
        <f t="shared" si="60"/>
        <v>---</v>
      </c>
      <c r="P215" s="309" t="str">
        <f>IF(A215="---","---",IF(Type_Reinf="g","---",INPUT!O148))</f>
        <v>---</v>
      </c>
      <c r="Q215" s="309" t="str">
        <f>IF(Type_Reinf="g",IF(A215="---","---",phi_Tensile_Static*I215*INPUT!M148/$D$173),"---")</f>
        <v>---</v>
      </c>
      <c r="R215" s="337" t="str">
        <f>IF(Type_Reinf="g",IF(A215="---","---",phi_Tensile_Combined*I215*INPUT!N148/(MAX(RF_ID,1.1)*MAX(RF_D,1.1))),"---")</f>
        <v>---</v>
      </c>
      <c r="S215" s="22"/>
    </row>
    <row r="216" spans="1:19">
      <c r="A216" s="435" t="str">
        <f>IF(INPUT!B149="---","---",INPUT!A149)</f>
        <v>---</v>
      </c>
      <c r="B216" s="309" t="str">
        <f>IF(A216="---","---",IF(A216=1,Z_1,INPUT!B149))</f>
        <v>---</v>
      </c>
      <c r="C216" s="309" t="str">
        <f>IF(A216="---","---",INPUT!G149)</f>
        <v>---</v>
      </c>
      <c r="D216" s="309" t="str">
        <f t="shared" si="58"/>
        <v>---</v>
      </c>
      <c r="E216" s="337" t="str">
        <f>IF(A216="---","---",INPUT!H149-2*$F$170)</f>
        <v>---</v>
      </c>
      <c r="F216" s="309" t="str">
        <f>IF(A216="---","---",IF(INPUT!K149&gt;0,INPUT!K149,IF(INPUT!H149&gt;0,INPUT!F149*E216^2*PI()/4,D216*INPUT!E149)))</f>
        <v>---</v>
      </c>
      <c r="G216" s="309" t="str">
        <f>IF(A216="---","---",IF(INPUT!K149&gt;0,INPUT!K149,INPUT!E149*INPUT!G149))</f>
        <v>---</v>
      </c>
      <c r="H216" s="309" t="str">
        <f t="shared" si="54"/>
        <v>---</v>
      </c>
      <c r="I216" s="436" t="str">
        <f>IF(A216="---","---",IF(Reinf_cont="y",1,IF(INPUT!D149=0,0,INPUT!E149/(INPUT!D149*12))))</f>
        <v>---</v>
      </c>
      <c r="J216" s="309" t="str">
        <f>IF(A216="---","---",IF(Type_Reinf="g","---",IF(INPUT!D149=0,0,H216*(Fy/2)/(INPUT!E149/12))))</f>
        <v>---</v>
      </c>
      <c r="K216" s="309" t="str">
        <f>IF(A216="---","---",IF(Type_Reinf="g",(INPUT!M149+INPUT!N149),"---"))</f>
        <v>---</v>
      </c>
      <c r="L216" s="309" t="str">
        <f t="shared" si="59"/>
        <v>---</v>
      </c>
      <c r="M216" s="309" t="str">
        <f t="shared" si="56"/>
        <v>---</v>
      </c>
      <c r="N216" s="309" t="str">
        <f>IF(A216="---","---",IF(Type_Reinf="g",K216*INPUT!L149/MAX(RF_D,1.1),"---"))</f>
        <v>---</v>
      </c>
      <c r="O216" s="309" t="str">
        <f t="shared" si="60"/>
        <v>---</v>
      </c>
      <c r="P216" s="309" t="str">
        <f>IF(A216="---","---",IF(Type_Reinf="g","---",INPUT!O149))</f>
        <v>---</v>
      </c>
      <c r="Q216" s="309" t="str">
        <f>IF(Type_Reinf="g",IF(A216="---","---",phi_Tensile_Static*I216*INPUT!M149/$D$173),"---")</f>
        <v>---</v>
      </c>
      <c r="R216" s="337" t="str">
        <f>IF(Type_Reinf="g",IF(A216="---","---",phi_Tensile_Combined*I216*INPUT!N149/(MAX(RF_ID,1.1)*MAX(RF_D,1.1))),"---")</f>
        <v>---</v>
      </c>
      <c r="S216" s="22"/>
    </row>
    <row r="217" spans="1:19">
      <c r="A217" s="435" t="str">
        <f>IF(INPUT!B150="---","---",INPUT!A150)</f>
        <v>---</v>
      </c>
      <c r="B217" s="309" t="str">
        <f>IF(A217="---","---",IF(A217=1,Z_1,INPUT!B150))</f>
        <v>---</v>
      </c>
      <c r="C217" s="309" t="str">
        <f>IF(A217="---","---",INPUT!G150)</f>
        <v>---</v>
      </c>
      <c r="D217" s="309" t="str">
        <f t="shared" si="58"/>
        <v>---</v>
      </c>
      <c r="E217" s="337" t="str">
        <f>IF(A217="---","---",INPUT!H150-2*$F$170)</f>
        <v>---</v>
      </c>
      <c r="F217" s="309" t="str">
        <f>IF(A217="---","---",IF(INPUT!K150&gt;0,INPUT!K150,IF(INPUT!H150&gt;0,INPUT!F150*E217^2*PI()/4,D217*INPUT!E150)))</f>
        <v>---</v>
      </c>
      <c r="G217" s="309" t="str">
        <f>IF(A217="---","---",IF(INPUT!K150&gt;0,INPUT!K150,INPUT!E150*INPUT!G150))</f>
        <v>---</v>
      </c>
      <c r="H217" s="309" t="str">
        <f t="shared" si="54"/>
        <v>---</v>
      </c>
      <c r="I217" s="436" t="str">
        <f>IF(A217="---","---",IF(Reinf_cont="y",1,IF(INPUT!D150=0,0,INPUT!E150/(INPUT!D150*12))))</f>
        <v>---</v>
      </c>
      <c r="J217" s="309" t="str">
        <f>IF(A217="---","---",IF(Type_Reinf="g","---",IF(INPUT!D150=0,0,H217*(Fy/2)/(INPUT!E150/12))))</f>
        <v>---</v>
      </c>
      <c r="K217" s="309" t="str">
        <f>IF(A217="---","---",IF(Type_Reinf="g",(INPUT!M150+INPUT!N150),"---"))</f>
        <v>---</v>
      </c>
      <c r="L217" s="309" t="str">
        <f t="shared" si="59"/>
        <v>---</v>
      </c>
      <c r="M217" s="309" t="str">
        <f t="shared" si="56"/>
        <v>---</v>
      </c>
      <c r="N217" s="309" t="str">
        <f>IF(A217="---","---",IF(Type_Reinf="g",K217*INPUT!L150/MAX(RF_D,1.1),"---"))</f>
        <v>---</v>
      </c>
      <c r="O217" s="309" t="str">
        <f t="shared" si="60"/>
        <v>---</v>
      </c>
      <c r="P217" s="309" t="str">
        <f>IF(A217="---","---",IF(Type_Reinf="g","---",INPUT!O150))</f>
        <v>---</v>
      </c>
      <c r="Q217" s="309" t="str">
        <f>IF(Type_Reinf="g",IF(A217="---","---",phi_Tensile_Static*I217*INPUT!M150/$D$173),"---")</f>
        <v>---</v>
      </c>
      <c r="R217" s="337" t="str">
        <f>IF(Type_Reinf="g",IF(A217="---","---",phi_Tensile_Combined*I217*INPUT!N150/(MAX(RF_ID,1.1)*MAX(RF_D,1.1))),"---")</f>
        <v>---</v>
      </c>
      <c r="S217" s="22"/>
    </row>
    <row r="218" spans="1:19">
      <c r="A218" s="435" t="str">
        <f>IF(INPUT!B151="---","---",INPUT!A151)</f>
        <v>---</v>
      </c>
      <c r="B218" s="309" t="str">
        <f>IF(A218="---","---",IF(A218=1,Z_1,INPUT!B151))</f>
        <v>---</v>
      </c>
      <c r="C218" s="309" t="str">
        <f>IF(A218="---","---",INPUT!G151)</f>
        <v>---</v>
      </c>
      <c r="D218" s="309" t="str">
        <f t="shared" si="58"/>
        <v>---</v>
      </c>
      <c r="E218" s="337" t="str">
        <f>IF(A218="---","---",INPUT!H151-2*$F$170)</f>
        <v>---</v>
      </c>
      <c r="F218" s="309" t="str">
        <f>IF(A218="---","---",IF(INPUT!K151&gt;0,INPUT!K151,IF(INPUT!H151&gt;0,INPUT!F151*E218^2*PI()/4,D218*INPUT!E151)))</f>
        <v>---</v>
      </c>
      <c r="G218" s="309" t="str">
        <f>IF(A218="---","---",IF(INPUT!K151&gt;0,INPUT!K151,INPUT!E151*INPUT!G151))</f>
        <v>---</v>
      </c>
      <c r="H218" s="309" t="str">
        <f t="shared" si="54"/>
        <v>---</v>
      </c>
      <c r="I218" s="436" t="str">
        <f>IF(A218="---","---",IF(Reinf_cont="y",1,IF(INPUT!D151=0,0,INPUT!E151/(INPUT!D151*12))))</f>
        <v>---</v>
      </c>
      <c r="J218" s="309" t="str">
        <f>IF(A218="---","---",IF(Type_Reinf="g","---",IF(INPUT!D151=0,0,H218*(Fy/2)/(INPUT!E151/12))))</f>
        <v>---</v>
      </c>
      <c r="K218" s="309" t="str">
        <f>IF(A218="---","---",IF(Type_Reinf="g",(INPUT!M151+INPUT!N151),"---"))</f>
        <v>---</v>
      </c>
      <c r="L218" s="309" t="str">
        <f t="shared" si="59"/>
        <v>---</v>
      </c>
      <c r="M218" s="309" t="str">
        <f t="shared" si="56"/>
        <v>---</v>
      </c>
      <c r="N218" s="309" t="str">
        <f>IF(A218="---","---",IF(Type_Reinf="g",K218*INPUT!L151/MAX(RF_D,1.1),"---"))</f>
        <v>---</v>
      </c>
      <c r="O218" s="309" t="str">
        <f t="shared" si="60"/>
        <v>---</v>
      </c>
      <c r="P218" s="309" t="str">
        <f>IF(A218="---","---",IF(Type_Reinf="g","---",INPUT!O151))</f>
        <v>---</v>
      </c>
      <c r="Q218" s="309" t="str">
        <f>IF(Type_Reinf="g",IF(A218="---","---",phi_Tensile_Static*I218*INPUT!M151/$D$173),"---")</f>
        <v>---</v>
      </c>
      <c r="R218" s="337" t="str">
        <f>IF(Type_Reinf="g",IF(A218="---","---",phi_Tensile_Combined*I218*INPUT!N151/(MAX(RF_ID,1.1)*MAX(RF_D,1.1))),"---")</f>
        <v>---</v>
      </c>
      <c r="S218" s="22"/>
    </row>
    <row r="219" spans="1:19">
      <c r="A219" s="435" t="str">
        <f>IF(INPUT!B152="---","---",INPUT!A152)</f>
        <v>---</v>
      </c>
      <c r="B219" s="309" t="str">
        <f>IF(A219="---","---",IF(A219=1,Z_1,INPUT!B152))</f>
        <v>---</v>
      </c>
      <c r="C219" s="309" t="str">
        <f>IF(A219="---","---",INPUT!G152)</f>
        <v>---</v>
      </c>
      <c r="D219" s="309" t="str">
        <f t="shared" si="58"/>
        <v>---</v>
      </c>
      <c r="E219" s="337" t="str">
        <f>IF(A219="---","---",INPUT!H152-2*$F$170)</f>
        <v>---</v>
      </c>
      <c r="F219" s="309" t="str">
        <f>IF(A219="---","---",IF(INPUT!K152&gt;0,INPUT!K152,IF(INPUT!H152&gt;0,INPUT!F152*E219^2*PI()/4,D219*INPUT!E152)))</f>
        <v>---</v>
      </c>
      <c r="G219" s="309" t="str">
        <f>IF(A219="---","---",IF(INPUT!K152&gt;0,INPUT!K152,INPUT!E152*INPUT!G152))</f>
        <v>---</v>
      </c>
      <c r="H219" s="309" t="str">
        <f t="shared" si="54"/>
        <v>---</v>
      </c>
      <c r="I219" s="436" t="str">
        <f>IF(A219="---","---",IF(Reinf_cont="y",1,IF(INPUT!D152=0,0,INPUT!E152/(INPUT!D152*12))))</f>
        <v>---</v>
      </c>
      <c r="J219" s="309" t="str">
        <f>IF(A219="---","---",IF(Type_Reinf="g","---",IF(INPUT!D152=0,0,H219*(Fy/2)/(INPUT!E152/12))))</f>
        <v>---</v>
      </c>
      <c r="K219" s="309" t="str">
        <f>IF(A219="---","---",IF(Type_Reinf="g",(INPUT!M152+INPUT!N152),"---"))</f>
        <v>---</v>
      </c>
      <c r="L219" s="309" t="str">
        <f t="shared" si="59"/>
        <v>---</v>
      </c>
      <c r="M219" s="309" t="str">
        <f t="shared" si="56"/>
        <v>---</v>
      </c>
      <c r="N219" s="309" t="str">
        <f>IF(A219="---","---",IF(Type_Reinf="g",K219*INPUT!L152/MAX(RF_D,1.1),"---"))</f>
        <v>---</v>
      </c>
      <c r="O219" s="309" t="str">
        <f t="shared" si="60"/>
        <v>---</v>
      </c>
      <c r="P219" s="309" t="str">
        <f>IF(A219="---","---",IF(Type_Reinf="g","---",INPUT!O152))</f>
        <v>---</v>
      </c>
      <c r="Q219" s="309" t="str">
        <f>IF(Type_Reinf="g",IF(A219="---","---",phi_Tensile_Static*I219*INPUT!M152/$D$173),"---")</f>
        <v>---</v>
      </c>
      <c r="R219" s="337" t="str">
        <f>IF(Type_Reinf="g",IF(A219="---","---",phi_Tensile_Combined*I219*INPUT!N152/(MAX(RF_ID,1.1)*MAX(RF_D,1.1))),"---")</f>
        <v>---</v>
      </c>
      <c r="S219" s="22"/>
    </row>
    <row r="220" spans="1:19">
      <c r="A220" s="435" t="str">
        <f>IF(INPUT!B153="---","---",INPUT!A153)</f>
        <v>---</v>
      </c>
      <c r="B220" s="309" t="str">
        <f>IF(A220="---","---",IF(A220=1,Z_1,INPUT!B153))</f>
        <v>---</v>
      </c>
      <c r="C220" s="309" t="str">
        <f>IF(A220="---","---",INPUT!G153)</f>
        <v>---</v>
      </c>
      <c r="D220" s="309" t="str">
        <f t="shared" si="58"/>
        <v>---</v>
      </c>
      <c r="E220" s="337" t="str">
        <f>IF(A220="---","---",INPUT!H153-2*$F$170)</f>
        <v>---</v>
      </c>
      <c r="F220" s="309" t="str">
        <f>IF(A220="---","---",IF(INPUT!K153&gt;0,INPUT!K153,IF(INPUT!H153&gt;0,INPUT!F153*E220^2*PI()/4,D220*INPUT!E153)))</f>
        <v>---</v>
      </c>
      <c r="G220" s="309" t="str">
        <f>IF(A220="---","---",IF(INPUT!K153&gt;0,INPUT!K153,INPUT!E153*INPUT!G153))</f>
        <v>---</v>
      </c>
      <c r="H220" s="309" t="str">
        <f t="shared" si="54"/>
        <v>---</v>
      </c>
      <c r="I220" s="436" t="str">
        <f>IF(A220="---","---",IF(Reinf_cont="y",1,IF(INPUT!D153=0,0,INPUT!E153/(INPUT!D153*12))))</f>
        <v>---</v>
      </c>
      <c r="J220" s="309" t="str">
        <f>IF(A220="---","---",IF(Type_Reinf="g","---",IF(INPUT!D153=0,0,H220*(Fy/2)/(INPUT!E153/12))))</f>
        <v>---</v>
      </c>
      <c r="K220" s="309" t="str">
        <f>IF(A220="---","---",IF(Type_Reinf="g",(INPUT!M153+INPUT!N153),"---"))</f>
        <v>---</v>
      </c>
      <c r="L220" s="309" t="str">
        <f t="shared" si="59"/>
        <v>---</v>
      </c>
      <c r="M220" s="309" t="str">
        <f t="shared" si="56"/>
        <v>---</v>
      </c>
      <c r="N220" s="309" t="str">
        <f>IF(A220="---","---",IF(Type_Reinf="g",K220*INPUT!L153/MAX(RF_D,1.1),"---"))</f>
        <v>---</v>
      </c>
      <c r="O220" s="309" t="str">
        <f t="shared" si="60"/>
        <v>---</v>
      </c>
      <c r="P220" s="309" t="str">
        <f>IF(A220="---","---",IF(Type_Reinf="g","---",INPUT!O153))</f>
        <v>---</v>
      </c>
      <c r="Q220" s="309" t="str">
        <f>IF(Type_Reinf="g",IF(A220="---","---",phi_Tensile_Static*I220*INPUT!M153/$D$173),"---")</f>
        <v>---</v>
      </c>
      <c r="R220" s="337" t="str">
        <f>IF(Type_Reinf="g",IF(A220="---","---",phi_Tensile_Combined*I220*INPUT!N153/(MAX(RF_ID,1.1)*MAX(RF_D,1.1))),"---")</f>
        <v>---</v>
      </c>
      <c r="S220" s="22"/>
    </row>
    <row r="221" spans="1:19">
      <c r="A221" s="435" t="str">
        <f>IF(INPUT!B154="---","---",INPUT!A154)</f>
        <v>---</v>
      </c>
      <c r="B221" s="309" t="str">
        <f>IF(A221="---","---",IF(A221=1,Z_1,INPUT!B154))</f>
        <v>---</v>
      </c>
      <c r="C221" s="309" t="str">
        <f>IF(A221="---","---",INPUT!G154)</f>
        <v>---</v>
      </c>
      <c r="D221" s="309" t="str">
        <f t="shared" si="58"/>
        <v>---</v>
      </c>
      <c r="E221" s="337" t="str">
        <f>IF(A221="---","---",INPUT!H154-2*$F$170)</f>
        <v>---</v>
      </c>
      <c r="F221" s="309" t="str">
        <f>IF(A221="---","---",IF(INPUT!K154&gt;0,INPUT!K154,IF(INPUT!H154&gt;0,INPUT!F154*E221^2*PI()/4,D221*INPUT!E154)))</f>
        <v>---</v>
      </c>
      <c r="G221" s="309" t="str">
        <f>IF(A221="---","---",IF(INPUT!K154&gt;0,INPUT!K154,INPUT!E154*INPUT!G154))</f>
        <v>---</v>
      </c>
      <c r="H221" s="309" t="str">
        <f t="shared" si="54"/>
        <v>---</v>
      </c>
      <c r="I221" s="436" t="str">
        <f>IF(A221="---","---",IF(Reinf_cont="y",1,IF(INPUT!D154=0,0,INPUT!E154/(INPUT!D154*12))))</f>
        <v>---</v>
      </c>
      <c r="J221" s="309" t="str">
        <f>IF(A221="---","---",IF(Type_Reinf="g","---",IF(INPUT!D154=0,0,H221*(Fy/2)/(INPUT!E154/12))))</f>
        <v>---</v>
      </c>
      <c r="K221" s="309" t="str">
        <f>IF(A221="---","---",IF(Type_Reinf="g",(INPUT!M154+INPUT!N154),"---"))</f>
        <v>---</v>
      </c>
      <c r="L221" s="309" t="str">
        <f t="shared" si="59"/>
        <v>---</v>
      </c>
      <c r="M221" s="309" t="str">
        <f t="shared" si="56"/>
        <v>---</v>
      </c>
      <c r="N221" s="309" t="str">
        <f>IF(A221="---","---",IF(Type_Reinf="g",K221*INPUT!L154/MAX(RF_D,1.1),"---"))</f>
        <v>---</v>
      </c>
      <c r="O221" s="309" t="str">
        <f t="shared" si="60"/>
        <v>---</v>
      </c>
      <c r="P221" s="309" t="str">
        <f>IF(A221="---","---",IF(Type_Reinf="g","---",INPUT!O154))</f>
        <v>---</v>
      </c>
      <c r="Q221" s="309" t="str">
        <f>IF(Type_Reinf="g",IF(A221="---","---",phi_Tensile_Static*I221*INPUT!M154/$D$173),"---")</f>
        <v>---</v>
      </c>
      <c r="R221" s="337" t="str">
        <f>IF(Type_Reinf="g",IF(A221="---","---",phi_Tensile_Combined*I221*INPUT!N154/(MAX(RF_ID,1.1)*MAX(RF_D,1.1))),"---")</f>
        <v>---</v>
      </c>
      <c r="S221" s="22"/>
    </row>
    <row r="222" spans="1:19">
      <c r="A222" s="435" t="str">
        <f>IF(INPUT!B155="---","---",INPUT!A155)</f>
        <v>---</v>
      </c>
      <c r="B222" s="309" t="str">
        <f>IF(A222="---","---",IF(A222=1,Z_1,INPUT!B155))</f>
        <v>---</v>
      </c>
      <c r="C222" s="309" t="str">
        <f>IF(A222="---","---",INPUT!G155)</f>
        <v>---</v>
      </c>
      <c r="D222" s="309" t="str">
        <f t="shared" si="58"/>
        <v>---</v>
      </c>
      <c r="E222" s="337" t="str">
        <f>IF(A222="---","---",INPUT!H155-2*$F$170)</f>
        <v>---</v>
      </c>
      <c r="F222" s="309" t="str">
        <f>IF(A222="---","---",IF(INPUT!K155&gt;0,INPUT!K155,IF(INPUT!H155&gt;0,INPUT!F155*E222^2*PI()/4,D222*INPUT!E155)))</f>
        <v>---</v>
      </c>
      <c r="G222" s="309" t="str">
        <f>IF(A222="---","---",IF(INPUT!K155&gt;0,INPUT!K155,INPUT!E155*INPUT!G155))</f>
        <v>---</v>
      </c>
      <c r="H222" s="309" t="str">
        <f t="shared" si="54"/>
        <v>---</v>
      </c>
      <c r="I222" s="436" t="str">
        <f>IF(A222="---","---",IF(Reinf_cont="y",1,IF(INPUT!D155=0,0,INPUT!E155/(INPUT!D155*12))))</f>
        <v>---</v>
      </c>
      <c r="J222" s="309" t="str">
        <f>IF(A222="---","---",IF(Type_Reinf="g","---",IF(INPUT!D155=0,0,H222*(Fy/2)/(INPUT!E155/12))))</f>
        <v>---</v>
      </c>
      <c r="K222" s="309" t="str">
        <f>IF(A222="---","---",IF(Type_Reinf="g",(INPUT!M155+INPUT!N155),"---"))</f>
        <v>---</v>
      </c>
      <c r="L222" s="309" t="str">
        <f t="shared" si="59"/>
        <v>---</v>
      </c>
      <c r="M222" s="309" t="str">
        <f t="shared" si="56"/>
        <v>---</v>
      </c>
      <c r="N222" s="309" t="str">
        <f>IF(A222="---","---",IF(Type_Reinf="g",K222*INPUT!L155/MAX(RF_D,1.1),"---"))</f>
        <v>---</v>
      </c>
      <c r="O222" s="309" t="str">
        <f t="shared" si="60"/>
        <v>---</v>
      </c>
      <c r="P222" s="309" t="str">
        <f>IF(A222="---","---",IF(Type_Reinf="g","---",INPUT!O155))</f>
        <v>---</v>
      </c>
      <c r="Q222" s="309" t="str">
        <f>IF(Type_Reinf="g",IF(A222="---","---",phi_Tensile_Static*I222*INPUT!M155/$D$173),"---")</f>
        <v>---</v>
      </c>
      <c r="R222" s="337" t="str">
        <f>IF(Type_Reinf="g",IF(A222="---","---",phi_Tensile_Combined*I222*INPUT!N155/(MAX(RF_ID,1.1)*MAX(RF_D,1.1))),"---")</f>
        <v>---</v>
      </c>
      <c r="S222" s="22"/>
    </row>
    <row r="223" spans="1:19">
      <c r="A223" s="435" t="str">
        <f>IF(INPUT!B156="---","---",INPUT!A156)</f>
        <v>---</v>
      </c>
      <c r="B223" s="309" t="str">
        <f>IF(A223="---","---",IF(A223=1,Z_1,INPUT!B156))</f>
        <v>---</v>
      </c>
      <c r="C223" s="309" t="str">
        <f>IF(A223="---","---",INPUT!G156)</f>
        <v>---</v>
      </c>
      <c r="D223" s="309" t="str">
        <f t="shared" si="58"/>
        <v>---</v>
      </c>
      <c r="E223" s="337" t="str">
        <f>IF(A223="---","---",INPUT!H156-2*$F$170)</f>
        <v>---</v>
      </c>
      <c r="F223" s="309" t="str">
        <f>IF(A223="---","---",IF(INPUT!K156&gt;0,INPUT!K156,IF(INPUT!H156&gt;0,INPUT!F156*E223^2*PI()/4,D223*INPUT!E156)))</f>
        <v>---</v>
      </c>
      <c r="G223" s="309" t="str">
        <f>IF(A223="---","---",IF(INPUT!K156&gt;0,INPUT!K156,INPUT!E156*INPUT!G156))</f>
        <v>---</v>
      </c>
      <c r="H223" s="309" t="str">
        <f t="shared" si="54"/>
        <v>---</v>
      </c>
      <c r="I223" s="436" t="str">
        <f>IF(A223="---","---",IF(Reinf_cont="y",1,IF(INPUT!D156=0,0,INPUT!E156/(INPUT!D156*12))))</f>
        <v>---</v>
      </c>
      <c r="J223" s="309" t="str">
        <f>IF(A223="---","---",IF(Type_Reinf="g","---",IF(INPUT!D156=0,0,H223*(Fy/2)/(INPUT!E156/12))))</f>
        <v>---</v>
      </c>
      <c r="K223" s="309" t="str">
        <f>IF(A223="---","---",IF(Type_Reinf="g",(INPUT!M156+INPUT!N156),"---"))</f>
        <v>---</v>
      </c>
      <c r="L223" s="309" t="str">
        <f t="shared" si="59"/>
        <v>---</v>
      </c>
      <c r="M223" s="309" t="str">
        <f t="shared" si="56"/>
        <v>---</v>
      </c>
      <c r="N223" s="309" t="str">
        <f>IF(A223="---","---",IF(Type_Reinf="g",K223*INPUT!L156/MAX(RF_D,1.1),"---"))</f>
        <v>---</v>
      </c>
      <c r="O223" s="309" t="str">
        <f t="shared" si="60"/>
        <v>---</v>
      </c>
      <c r="P223" s="309" t="str">
        <f>IF(A223="---","---",IF(Type_Reinf="g","---",INPUT!O156))</f>
        <v>---</v>
      </c>
      <c r="Q223" s="309" t="str">
        <f>IF(Type_Reinf="g",IF(A223="---","---",phi_Tensile_Static*I223*INPUT!M156/$D$173),"---")</f>
        <v>---</v>
      </c>
      <c r="R223" s="337" t="str">
        <f>IF(Type_Reinf="g",IF(A223="---","---",phi_Tensile_Combined*I223*INPUT!N156/(MAX(RF_ID,1.1)*MAX(RF_D,1.1))),"---")</f>
        <v>---</v>
      </c>
      <c r="S223" s="22"/>
    </row>
    <row r="224" spans="1:19">
      <c r="A224" s="435" t="str">
        <f>IF(INPUT!B157="---","---",INPUT!A157)</f>
        <v>---</v>
      </c>
      <c r="B224" s="309" t="str">
        <f>IF(A224="---","---",IF(A224=1,Z_1,INPUT!B157))</f>
        <v>---</v>
      </c>
      <c r="C224" s="309" t="str">
        <f>IF(A224="---","---",INPUT!G157)</f>
        <v>---</v>
      </c>
      <c r="D224" s="309" t="str">
        <f t="shared" si="58"/>
        <v>---</v>
      </c>
      <c r="E224" s="337" t="str">
        <f>IF(A224="---","---",INPUT!H157-2*$F$170)</f>
        <v>---</v>
      </c>
      <c r="F224" s="309" t="str">
        <f>IF(A224="---","---",IF(INPUT!K157&gt;0,INPUT!K157,IF(INPUT!H157&gt;0,INPUT!F157*E224^2*PI()/4,D224*INPUT!E157)))</f>
        <v>---</v>
      </c>
      <c r="G224" s="309" t="str">
        <f>IF(A224="---","---",IF(INPUT!K157&gt;0,INPUT!K157,INPUT!E157*INPUT!G157))</f>
        <v>---</v>
      </c>
      <c r="H224" s="309" t="str">
        <f t="shared" si="54"/>
        <v>---</v>
      </c>
      <c r="I224" s="436" t="str">
        <f>IF(A224="---","---",IF(Reinf_cont="y",1,IF(INPUT!D157=0,0,INPUT!E157/(INPUT!D157*12))))</f>
        <v>---</v>
      </c>
      <c r="J224" s="309" t="str">
        <f>IF(A224="---","---",IF(Type_Reinf="g","---",IF(INPUT!D157=0,0,H224*(Fy/2)/(INPUT!E157/12))))</f>
        <v>---</v>
      </c>
      <c r="K224" s="309" t="str">
        <f>IF(A224="---","---",IF(Type_Reinf="g",(INPUT!M157+INPUT!N157),"---"))</f>
        <v>---</v>
      </c>
      <c r="L224" s="309" t="str">
        <f t="shared" si="59"/>
        <v>---</v>
      </c>
      <c r="M224" s="309" t="str">
        <f t="shared" si="56"/>
        <v>---</v>
      </c>
      <c r="N224" s="309" t="str">
        <f>IF(A224="---","---",IF(Type_Reinf="g",K224*INPUT!L157/MAX(RF_D,1.1),"---"))</f>
        <v>---</v>
      </c>
      <c r="O224" s="309" t="str">
        <f t="shared" si="60"/>
        <v>---</v>
      </c>
      <c r="P224" s="309" t="str">
        <f>IF(A224="---","---",IF(Type_Reinf="g","---",INPUT!O157))</f>
        <v>---</v>
      </c>
      <c r="Q224" s="309" t="str">
        <f>IF(Type_Reinf="g",IF(A224="---","---",phi_Tensile_Static*I224*INPUT!M157/$D$173),"---")</f>
        <v>---</v>
      </c>
      <c r="R224" s="337" t="str">
        <f>IF(Type_Reinf="g",IF(A224="---","---",phi_Tensile_Combined*I224*INPUT!N157/(MAX(RF_ID,1.1)*MAX(RF_D,1.1))),"---")</f>
        <v>---</v>
      </c>
      <c r="S224" s="22"/>
    </row>
    <row r="225" spans="1:21">
      <c r="A225" s="435" t="str">
        <f>IF(INPUT!B158="---","---",INPUT!A158)</f>
        <v>---</v>
      </c>
      <c r="B225" s="309" t="str">
        <f>IF(A225="---","---",IF(A225=1,Z_1,INPUT!B158))</f>
        <v>---</v>
      </c>
      <c r="C225" s="309" t="str">
        <f>IF(A225="---","---",INPUT!G158)</f>
        <v>---</v>
      </c>
      <c r="D225" s="309" t="str">
        <f t="shared" si="58"/>
        <v>---</v>
      </c>
      <c r="E225" s="337" t="str">
        <f>IF(A225="---","---",INPUT!H158-2*$F$170)</f>
        <v>---</v>
      </c>
      <c r="F225" s="309" t="str">
        <f>IF(A225="---","---",IF(INPUT!K158&gt;0,INPUT!K158,IF(INPUT!H158&gt;0,INPUT!F158*E225^2*PI()/4,D225*INPUT!E158)))</f>
        <v>---</v>
      </c>
      <c r="G225" s="309" t="str">
        <f>IF(A225="---","---",IF(INPUT!K158&gt;0,INPUT!K158,INPUT!E158*INPUT!G158))</f>
        <v>---</v>
      </c>
      <c r="H225" s="309" t="str">
        <f t="shared" si="54"/>
        <v>---</v>
      </c>
      <c r="I225" s="436" t="str">
        <f>IF(A225="---","---",IF(Reinf_cont="y",1,IF(INPUT!D158=0,0,INPUT!E158/(INPUT!D158*12))))</f>
        <v>---</v>
      </c>
      <c r="J225" s="309" t="str">
        <f>IF(A225="---","---",IF(Type_Reinf="g","---",IF(INPUT!D158=0,0,H225*(Fy/2)/(INPUT!E158/12))))</f>
        <v>---</v>
      </c>
      <c r="K225" s="309" t="str">
        <f>IF(A225="---","---",IF(Type_Reinf="g",(INPUT!M158+INPUT!N158),"---"))</f>
        <v>---</v>
      </c>
      <c r="L225" s="309" t="str">
        <f t="shared" si="59"/>
        <v>---</v>
      </c>
      <c r="M225" s="309" t="str">
        <f t="shared" si="56"/>
        <v>---</v>
      </c>
      <c r="N225" s="309" t="str">
        <f>IF(A225="---","---",IF(Type_Reinf="g",K225*INPUT!L158/MAX(RF_D,1.1),"---"))</f>
        <v>---</v>
      </c>
      <c r="O225" s="309" t="str">
        <f t="shared" si="60"/>
        <v>---</v>
      </c>
      <c r="P225" s="309" t="str">
        <f>IF(A225="---","---",IF(Type_Reinf="g","---",INPUT!O158))</f>
        <v>---</v>
      </c>
      <c r="Q225" s="309" t="str">
        <f>IF(Type_Reinf="g",IF(A225="---","---",phi_Tensile_Static*I225*INPUT!M158/$D$173),"---")</f>
        <v>---</v>
      </c>
      <c r="R225" s="337" t="str">
        <f>IF(Type_Reinf="g",IF(A225="---","---",phi_Tensile_Combined*I225*INPUT!N158/(MAX(RF_ID,1.1)*MAX(RF_D,1.1))),"---")</f>
        <v>---</v>
      </c>
      <c r="S225" s="22"/>
    </row>
    <row r="226" spans="1:21">
      <c r="A226" s="435" t="str">
        <f>IF(INPUT!B159="---","---",INPUT!A159)</f>
        <v>---</v>
      </c>
      <c r="B226" s="309" t="str">
        <f>IF(A226="---","---",IF(A226=1,Z_1,INPUT!B159))</f>
        <v>---</v>
      </c>
      <c r="C226" s="309" t="str">
        <f>IF(A226="---","---",INPUT!G159)</f>
        <v>---</v>
      </c>
      <c r="D226" s="309" t="str">
        <f t="shared" si="58"/>
        <v>---</v>
      </c>
      <c r="E226" s="337" t="str">
        <f>IF(A226="---","---",INPUT!H159-2*$F$170)</f>
        <v>---</v>
      </c>
      <c r="F226" s="309" t="str">
        <f>IF(A226="---","---",IF(INPUT!K159&gt;0,INPUT!K159,IF(INPUT!H159&gt;0,INPUT!F159*E226^2*PI()/4,D226*INPUT!E159)))</f>
        <v>---</v>
      </c>
      <c r="G226" s="309" t="str">
        <f>IF(A226="---","---",IF(INPUT!K159&gt;0,INPUT!K159,INPUT!E159*INPUT!G159))</f>
        <v>---</v>
      </c>
      <c r="H226" s="309" t="str">
        <f t="shared" si="54"/>
        <v>---</v>
      </c>
      <c r="I226" s="436" t="str">
        <f>IF(A226="---","---",IF(Reinf_cont="y",1,IF(INPUT!D159=0,0,INPUT!E159/(INPUT!D159*12))))</f>
        <v>---</v>
      </c>
      <c r="J226" s="309" t="str">
        <f>IF(A226="---","---",IF(Type_Reinf="g","---",IF(INPUT!D159=0,0,H226*(Fy/2)/(INPUT!E159/12))))</f>
        <v>---</v>
      </c>
      <c r="K226" s="309" t="str">
        <f>IF(A226="---","---",IF(Type_Reinf="g",(INPUT!M159+INPUT!N159),"---"))</f>
        <v>---</v>
      </c>
      <c r="L226" s="309" t="str">
        <f t="shared" si="59"/>
        <v>---</v>
      </c>
      <c r="M226" s="309" t="str">
        <f t="shared" si="56"/>
        <v>---</v>
      </c>
      <c r="N226" s="309" t="str">
        <f>IF(A226="---","---",IF(Type_Reinf="g",K226*INPUT!L159/MAX(RF_D,1.1),"---"))</f>
        <v>---</v>
      </c>
      <c r="O226" s="309" t="str">
        <f t="shared" si="60"/>
        <v>---</v>
      </c>
      <c r="P226" s="309" t="str">
        <f>IF(A226="---","---",IF(Type_Reinf="g","---",INPUT!O159))</f>
        <v>---</v>
      </c>
      <c r="Q226" s="309" t="str">
        <f>IF(Type_Reinf="g",IF(A226="---","---",phi_Tensile_Static*I226*INPUT!M159/$D$173),"---")</f>
        <v>---</v>
      </c>
      <c r="R226" s="337" t="str">
        <f>IF(Type_Reinf="g",IF(A226="---","---",phi_Tensile_Combined*I226*INPUT!N159/(MAX(RF_ID,1.1)*MAX(RF_D,1.1))),"---")</f>
        <v>---</v>
      </c>
      <c r="S226" s="22"/>
    </row>
    <row r="227" spans="1:21">
      <c r="A227" s="435" t="str">
        <f>IF(INPUT!B160="---","---",INPUT!A160)</f>
        <v>---</v>
      </c>
      <c r="B227" s="309" t="str">
        <f>IF(A227="---","---",IF(A227=1,Z_1,INPUT!B160))</f>
        <v>---</v>
      </c>
      <c r="C227" s="309" t="str">
        <f>IF(A227="---","---",INPUT!G160)</f>
        <v>---</v>
      </c>
      <c r="D227" s="309" t="str">
        <f t="shared" si="58"/>
        <v>---</v>
      </c>
      <c r="E227" s="337" t="str">
        <f>IF(A227="---","---",INPUT!H160-2*$F$170)</f>
        <v>---</v>
      </c>
      <c r="F227" s="309" t="str">
        <f>IF(A227="---","---",IF(INPUT!K160&gt;0,INPUT!K160,IF(INPUT!H160&gt;0,INPUT!F160*E227^2*PI()/4,D227*INPUT!E160)))</f>
        <v>---</v>
      </c>
      <c r="G227" s="309" t="str">
        <f>IF(A227="---","---",IF(INPUT!K160&gt;0,INPUT!K160,INPUT!E160*INPUT!G160))</f>
        <v>---</v>
      </c>
      <c r="H227" s="309" t="str">
        <f t="shared" si="54"/>
        <v>---</v>
      </c>
      <c r="I227" s="436" t="str">
        <f>IF(A227="---","---",IF(Reinf_cont="y",1,IF(INPUT!D160=0,0,INPUT!E160/(INPUT!D160*12))))</f>
        <v>---</v>
      </c>
      <c r="J227" s="309" t="str">
        <f>IF(A227="---","---",IF(Type_Reinf="g","---",IF(INPUT!D160=0,0,H227*(Fy/2)/(INPUT!E160/12))))</f>
        <v>---</v>
      </c>
      <c r="K227" s="309" t="str">
        <f>IF(A227="---","---",IF(Type_Reinf="g",(INPUT!M160+INPUT!N160),"---"))</f>
        <v>---</v>
      </c>
      <c r="L227" s="309" t="str">
        <f t="shared" si="59"/>
        <v>---</v>
      </c>
      <c r="M227" s="309" t="str">
        <f t="shared" si="56"/>
        <v>---</v>
      </c>
      <c r="N227" s="309" t="str">
        <f>IF(A227="---","---",IF(Type_Reinf="g",K227*INPUT!L160/MAX(RF_D,1.1),"---"))</f>
        <v>---</v>
      </c>
      <c r="O227" s="309" t="str">
        <f t="shared" si="60"/>
        <v>---</v>
      </c>
      <c r="P227" s="309" t="str">
        <f>IF(A227="---","---",IF(Type_Reinf="g","---",INPUT!O160))</f>
        <v>---</v>
      </c>
      <c r="Q227" s="309" t="str">
        <f>IF(Type_Reinf="g",IF(A227="---","---",phi_Tensile_Static*I227*INPUT!M160/$D$173),"---")</f>
        <v>---</v>
      </c>
      <c r="R227" s="337" t="str">
        <f>IF(Type_Reinf="g",IF(A227="---","---",phi_Tensile_Combined*I227*INPUT!N160/(MAX(RF_ID,1.1)*MAX(RF_D,1.1))),"---")</f>
        <v>---</v>
      </c>
      <c r="S227" s="22"/>
    </row>
    <row r="228" spans="1:21">
      <c r="E228" s="29"/>
      <c r="S228" s="22"/>
    </row>
    <row r="229" spans="1:21">
      <c r="S229" s="22"/>
    </row>
    <row r="230" spans="1:21">
      <c r="A230" s="33" t="s">
        <v>361</v>
      </c>
      <c r="E230" s="37" t="s">
        <v>607</v>
      </c>
    </row>
    <row r="231" spans="1:21" s="37" customFormat="1">
      <c r="A231" s="12"/>
      <c r="S231"/>
    </row>
    <row r="232" spans="1:21" ht="15.75">
      <c r="A232" s="151" t="s">
        <v>344</v>
      </c>
      <c r="B232" s="294">
        <f>E39</f>
        <v>1.35</v>
      </c>
      <c r="C232" s="37" t="s">
        <v>351</v>
      </c>
      <c r="H232" s="37" t="s">
        <v>350</v>
      </c>
    </row>
    <row r="233" spans="1:21">
      <c r="M233" s="87"/>
    </row>
    <row r="234" spans="1:21" ht="12.75" customHeight="1">
      <c r="A234" s="182" t="s">
        <v>564</v>
      </c>
      <c r="H234" s="87"/>
      <c r="I234" s="43"/>
      <c r="J234" s="216"/>
      <c r="K234" s="615" t="s">
        <v>498</v>
      </c>
      <c r="L234" s="630"/>
      <c r="M234" s="642" t="s">
        <v>608</v>
      </c>
      <c r="N234" s="642"/>
    </row>
    <row r="235" spans="1:21">
      <c r="A235" s="182"/>
      <c r="C235" s="9"/>
      <c r="D235" s="87"/>
      <c r="E235" s="234"/>
      <c r="G235" s="87"/>
      <c r="H235" s="613" t="s">
        <v>493</v>
      </c>
      <c r="I235" s="613"/>
      <c r="J235" s="613"/>
      <c r="K235" s="613" t="s">
        <v>486</v>
      </c>
      <c r="L235" s="613"/>
      <c r="M235" s="642"/>
      <c r="N235" s="642"/>
      <c r="O235" s="37"/>
      <c r="P235" s="234"/>
      <c r="Q235" s="234"/>
      <c r="R235" s="234"/>
      <c r="U235" s="234"/>
    </row>
    <row r="236" spans="1:21" ht="28.5">
      <c r="A236" s="234" t="s">
        <v>34</v>
      </c>
      <c r="B236" s="234" t="s">
        <v>35</v>
      </c>
      <c r="C236" s="87" t="s">
        <v>274</v>
      </c>
      <c r="D236" s="87" t="s">
        <v>622</v>
      </c>
      <c r="E236" s="87" t="s">
        <v>341</v>
      </c>
      <c r="F236" s="87" t="s">
        <v>342</v>
      </c>
      <c r="G236" s="50" t="s">
        <v>48</v>
      </c>
      <c r="H236" s="554" t="s">
        <v>53</v>
      </c>
      <c r="I236" s="554" t="s">
        <v>527</v>
      </c>
      <c r="J236" s="216" t="s">
        <v>54</v>
      </c>
      <c r="K236" s="500" t="s">
        <v>767</v>
      </c>
      <c r="L236" s="500" t="s">
        <v>768</v>
      </c>
      <c r="M236" s="468" t="s">
        <v>806</v>
      </c>
      <c r="N236" s="212"/>
      <c r="O236" s="212"/>
      <c r="P236" s="234"/>
      <c r="Q236" s="19"/>
      <c r="R236" s="234"/>
      <c r="S236" s="234"/>
      <c r="T236" s="234"/>
      <c r="U236" s="234"/>
    </row>
    <row r="237" spans="1:21">
      <c r="A237" s="229" t="s">
        <v>352</v>
      </c>
      <c r="B237" s="234" t="s">
        <v>42</v>
      </c>
      <c r="C237" s="234" t="s">
        <v>42</v>
      </c>
      <c r="D237" s="87" t="s">
        <v>42</v>
      </c>
      <c r="E237" s="87" t="s">
        <v>343</v>
      </c>
      <c r="F237" s="555" t="s">
        <v>531</v>
      </c>
      <c r="G237" s="87" t="s">
        <v>41</v>
      </c>
      <c r="H237" s="216" t="s">
        <v>41</v>
      </c>
      <c r="I237" s="495" t="s">
        <v>41</v>
      </c>
      <c r="J237" s="216" t="s">
        <v>154</v>
      </c>
      <c r="K237" s="495" t="s">
        <v>154</v>
      </c>
      <c r="L237" s="216" t="s">
        <v>154</v>
      </c>
      <c r="M237" s="87" t="s">
        <v>41</v>
      </c>
      <c r="N237" s="241"/>
      <c r="O237" s="241"/>
      <c r="P237" s="234"/>
      <c r="Q237" s="234"/>
      <c r="R237" s="234"/>
      <c r="S237" s="234"/>
      <c r="T237" s="234"/>
    </row>
    <row r="238" spans="1:21">
      <c r="A238" s="438">
        <f t="shared" ref="A238:B238" si="61">A178</f>
        <v>1</v>
      </c>
      <c r="B238" s="294">
        <f t="shared" si="61"/>
        <v>1.5</v>
      </c>
      <c r="C238" s="294">
        <f>IF(A238="---","---",INPUT!C111)</f>
        <v>2.75</v>
      </c>
      <c r="D238" s="294">
        <f t="shared" ref="D238:D287" si="62">IF(A238="---","---",IF(Abut_on_Piles="y",MIN(IF(B238&gt;Z_2_Pv,(bf+B238-Ad)/2+d,bf+B238-Ad),L_reinf),"---"))</f>
        <v>5.75</v>
      </c>
      <c r="E238" s="294">
        <f t="shared" ref="E238:E269" si="63">IF(A238="---","---",IF(Type_Reinf="g",1,IF(Type_Reinf="s",MAX((1.2+0.5*(20-B238)/20),1.2),MAX((1.2+1.3*(20-B238)/20),1.2))))</f>
        <v>1.6625000000000001</v>
      </c>
      <c r="F238" s="294">
        <f t="shared" ref="F238:F269" si="64">IF(A238="---","---",E238*ka_int)</f>
        <v>0.4700135540307972</v>
      </c>
      <c r="G238" s="294">
        <f t="shared" ref="G238:G269" si="65">IF(A238="---","---",IF(Abut_on_Piles="y",Pv*bfi/D238,0))</f>
        <v>0.20547826086956522</v>
      </c>
      <c r="H238" s="294">
        <f t="shared" ref="H238:H269" si="66">IF(A238="---","---",gamma_reinf*B238+1*$I$20+$I$23+G238)</f>
        <v>0.59547826086956523</v>
      </c>
      <c r="I238" s="294">
        <f t="shared" ref="I238:I269" si="67">IF($A238="---","---",gamma_P*(H238*$F238+0))</f>
        <v>0.37784185254816643</v>
      </c>
      <c r="J238" s="291">
        <f t="shared" ref="J238:J269" si="68">IF(A238="---","---",I238*C238)</f>
        <v>1.0390650945074578</v>
      </c>
      <c r="K238" s="291" t="str">
        <f t="shared" ref="K238:K269" si="69">IF(A238="---","---",IF(Type_Reinf="g",J238,"---"))</f>
        <v>---</v>
      </c>
      <c r="L238" s="291" t="str">
        <f t="shared" ref="L238:L269" si="70">IF(A238="---","---",IF(Type_Reinf="g",0,"---"))</f>
        <v>---</v>
      </c>
      <c r="M238" s="294">
        <f>IF(A238="---","---",gamma_reinf*B238+0*$I$20+$I$23+G238)</f>
        <v>0.41547826086956519</v>
      </c>
      <c r="P238" s="22"/>
      <c r="Q238" s="22"/>
      <c r="R238" s="22"/>
      <c r="S238" s="22"/>
      <c r="T238" s="22"/>
    </row>
    <row r="239" spans="1:21">
      <c r="A239" s="438">
        <f t="shared" ref="A239:B239" si="71">A179</f>
        <v>2</v>
      </c>
      <c r="B239" s="294">
        <f t="shared" si="71"/>
        <v>4</v>
      </c>
      <c r="C239" s="294">
        <f>IF(A239="---","---",INPUT!C112)</f>
        <v>2.5</v>
      </c>
      <c r="D239" s="294">
        <f t="shared" si="62"/>
        <v>7.2799999999999994</v>
      </c>
      <c r="E239" s="294">
        <f t="shared" si="63"/>
        <v>1.6</v>
      </c>
      <c r="F239" s="294">
        <f t="shared" si="64"/>
        <v>0.45234387154843642</v>
      </c>
      <c r="G239" s="294">
        <f t="shared" si="65"/>
        <v>0.16229395604395605</v>
      </c>
      <c r="H239" s="294">
        <f t="shared" si="66"/>
        <v>0.70229395604395606</v>
      </c>
      <c r="I239" s="294">
        <f t="shared" si="67"/>
        <v>0.42886579550668719</v>
      </c>
      <c r="J239" s="291">
        <f t="shared" si="68"/>
        <v>1.0721644887667179</v>
      </c>
      <c r="K239" s="291" t="str">
        <f t="shared" si="69"/>
        <v>---</v>
      </c>
      <c r="L239" s="291" t="str">
        <f t="shared" si="70"/>
        <v>---</v>
      </c>
      <c r="M239" s="294">
        <f t="shared" ref="M239:M269" si="72">IF(A239="---","---",gamma_reinf*B239+0*$I$20+$I$23+G239)</f>
        <v>0.52229395604395601</v>
      </c>
      <c r="P239" s="22"/>
      <c r="Q239" s="22"/>
      <c r="R239" s="22"/>
      <c r="S239" s="22"/>
      <c r="T239" s="22"/>
    </row>
    <row r="240" spans="1:21">
      <c r="A240" s="438">
        <f t="shared" ref="A240:B240" si="73">A180</f>
        <v>3</v>
      </c>
      <c r="B240" s="294">
        <f t="shared" si="73"/>
        <v>6.5</v>
      </c>
      <c r="C240" s="294">
        <f>IF(A240="---","---",INPUT!C113)</f>
        <v>2.5</v>
      </c>
      <c r="D240" s="294">
        <f t="shared" si="62"/>
        <v>8.5299999999999994</v>
      </c>
      <c r="E240" s="294">
        <f t="shared" si="63"/>
        <v>1.5375000000000001</v>
      </c>
      <c r="F240" s="294">
        <f t="shared" si="64"/>
        <v>0.43467418906607563</v>
      </c>
      <c r="G240" s="294">
        <f t="shared" si="65"/>
        <v>0.1385111371629543</v>
      </c>
      <c r="H240" s="294">
        <f t="shared" si="66"/>
        <v>0.82851113716295433</v>
      </c>
      <c r="I240" s="294">
        <f t="shared" si="67"/>
        <v>0.48617874901600111</v>
      </c>
      <c r="J240" s="291">
        <f t="shared" si="68"/>
        <v>1.2154468725400027</v>
      </c>
      <c r="K240" s="291" t="str">
        <f t="shared" si="69"/>
        <v>---</v>
      </c>
      <c r="L240" s="291" t="str">
        <f t="shared" si="70"/>
        <v>---</v>
      </c>
      <c r="M240" s="294">
        <f t="shared" si="72"/>
        <v>0.64851113716295428</v>
      </c>
      <c r="P240" s="22"/>
      <c r="Q240" s="22"/>
      <c r="R240" s="22"/>
      <c r="S240" s="22"/>
      <c r="T240" s="22"/>
    </row>
    <row r="241" spans="1:20">
      <c r="A241" s="438">
        <f t="shared" ref="A241:B241" si="74">A181</f>
        <v>4</v>
      </c>
      <c r="B241" s="294">
        <f t="shared" si="74"/>
        <v>9</v>
      </c>
      <c r="C241" s="294">
        <f>IF(A241="---","---",INPUT!C114)</f>
        <v>2.5</v>
      </c>
      <c r="D241" s="294">
        <f t="shared" si="62"/>
        <v>9.7799999999999994</v>
      </c>
      <c r="E241" s="294">
        <f t="shared" si="63"/>
        <v>1.4750000000000001</v>
      </c>
      <c r="F241" s="294">
        <f t="shared" si="64"/>
        <v>0.4170045065837148</v>
      </c>
      <c r="G241" s="294">
        <f t="shared" si="65"/>
        <v>0.1208077709611452</v>
      </c>
      <c r="H241" s="294">
        <f t="shared" si="66"/>
        <v>0.96080777096114511</v>
      </c>
      <c r="I241" s="294">
        <f t="shared" si="67"/>
        <v>0.54089258010945906</v>
      </c>
      <c r="J241" s="291">
        <f t="shared" si="68"/>
        <v>1.3522314502736477</v>
      </c>
      <c r="K241" s="291" t="str">
        <f t="shared" si="69"/>
        <v>---</v>
      </c>
      <c r="L241" s="291" t="str">
        <f t="shared" si="70"/>
        <v>---</v>
      </c>
      <c r="M241" s="294">
        <f t="shared" si="72"/>
        <v>0.78080777096114518</v>
      </c>
      <c r="P241" s="22"/>
      <c r="Q241" s="22"/>
      <c r="R241" s="22"/>
      <c r="S241" s="22"/>
      <c r="T241" s="22"/>
    </row>
    <row r="242" spans="1:20">
      <c r="A242" s="438">
        <f t="shared" ref="A242:B242" si="75">A182</f>
        <v>5</v>
      </c>
      <c r="B242" s="294">
        <f t="shared" si="75"/>
        <v>11.5</v>
      </c>
      <c r="C242" s="294">
        <f>IF(A242="---","---",INPUT!C115)</f>
        <v>2.5</v>
      </c>
      <c r="D242" s="294">
        <f t="shared" si="62"/>
        <v>11.03</v>
      </c>
      <c r="E242" s="294">
        <f t="shared" si="63"/>
        <v>1.4124999999999999</v>
      </c>
      <c r="F242" s="294">
        <f t="shared" si="64"/>
        <v>0.39933482410135396</v>
      </c>
      <c r="G242" s="294">
        <f t="shared" si="65"/>
        <v>0.10711695376246601</v>
      </c>
      <c r="H242" s="294">
        <f t="shared" si="66"/>
        <v>1.0971169537624659</v>
      </c>
      <c r="I242" s="294">
        <f t="shared" si="67"/>
        <v>0.59145795776161925</v>
      </c>
      <c r="J242" s="291">
        <f t="shared" si="68"/>
        <v>1.4786448944040482</v>
      </c>
      <c r="K242" s="291" t="str">
        <f t="shared" si="69"/>
        <v>---</v>
      </c>
      <c r="L242" s="291" t="str">
        <f t="shared" si="70"/>
        <v>---</v>
      </c>
      <c r="M242" s="294">
        <f t="shared" si="72"/>
        <v>0.91711695376246594</v>
      </c>
      <c r="P242" s="22"/>
      <c r="Q242" s="22"/>
      <c r="R242" s="22"/>
      <c r="S242" s="22"/>
      <c r="T242" s="22"/>
    </row>
    <row r="243" spans="1:20">
      <c r="A243" s="438">
        <f t="shared" ref="A243:B243" si="76">A183</f>
        <v>6</v>
      </c>
      <c r="B243" s="294">
        <f t="shared" si="76"/>
        <v>14</v>
      </c>
      <c r="C243" s="294">
        <f>IF(A243="---","---",INPUT!C116)</f>
        <v>3.2200000000000006</v>
      </c>
      <c r="D243" s="294">
        <f t="shared" si="62"/>
        <v>12.28</v>
      </c>
      <c r="E243" s="294">
        <f t="shared" si="63"/>
        <v>1.3499999999999999</v>
      </c>
      <c r="F243" s="294">
        <f t="shared" si="64"/>
        <v>0.38166514161899318</v>
      </c>
      <c r="G243" s="294">
        <f t="shared" si="65"/>
        <v>9.6213355048859944E-2</v>
      </c>
      <c r="H243" s="294">
        <f t="shared" si="66"/>
        <v>1.2362133550488601</v>
      </c>
      <c r="I243" s="294">
        <f t="shared" si="67"/>
        <v>0.63695638605511873</v>
      </c>
      <c r="J243" s="291">
        <f t="shared" si="68"/>
        <v>2.0509995630974829</v>
      </c>
      <c r="K243" s="291" t="str">
        <f t="shared" si="69"/>
        <v>---</v>
      </c>
      <c r="L243" s="291" t="str">
        <f t="shared" si="70"/>
        <v>---</v>
      </c>
      <c r="M243" s="294">
        <f t="shared" si="72"/>
        <v>1.0562133550488599</v>
      </c>
      <c r="P243" s="22"/>
      <c r="Q243" s="22"/>
      <c r="R243" s="22"/>
      <c r="S243" s="22"/>
      <c r="T243" s="22"/>
    </row>
    <row r="244" spans="1:20">
      <c r="A244" s="438" t="str">
        <f t="shared" ref="A244:B244" si="77">A184</f>
        <v>---</v>
      </c>
      <c r="B244" s="294" t="str">
        <f t="shared" si="77"/>
        <v>---</v>
      </c>
      <c r="C244" s="294" t="str">
        <f>IF(A244="---","---",INPUT!C117)</f>
        <v>---</v>
      </c>
      <c r="D244" s="294" t="str">
        <f t="shared" si="62"/>
        <v>---</v>
      </c>
      <c r="E244" s="294" t="str">
        <f t="shared" si="63"/>
        <v>---</v>
      </c>
      <c r="F244" s="294" t="str">
        <f t="shared" si="64"/>
        <v>---</v>
      </c>
      <c r="G244" s="294" t="str">
        <f t="shared" si="65"/>
        <v>---</v>
      </c>
      <c r="H244" s="294" t="str">
        <f t="shared" si="66"/>
        <v>---</v>
      </c>
      <c r="I244" s="294" t="str">
        <f t="shared" si="67"/>
        <v>---</v>
      </c>
      <c r="J244" s="291" t="str">
        <f t="shared" si="68"/>
        <v>---</v>
      </c>
      <c r="K244" s="291" t="str">
        <f t="shared" si="69"/>
        <v>---</v>
      </c>
      <c r="L244" s="291" t="str">
        <f t="shared" si="70"/>
        <v>---</v>
      </c>
      <c r="M244" s="294" t="str">
        <f t="shared" si="72"/>
        <v>---</v>
      </c>
      <c r="P244" s="22"/>
      <c r="Q244" s="22"/>
      <c r="R244" s="22"/>
      <c r="S244" s="22"/>
      <c r="T244" s="22"/>
    </row>
    <row r="245" spans="1:20">
      <c r="A245" s="438" t="str">
        <f t="shared" ref="A245:B245" si="78">A185</f>
        <v>---</v>
      </c>
      <c r="B245" s="294" t="str">
        <f t="shared" si="78"/>
        <v>---</v>
      </c>
      <c r="C245" s="294" t="str">
        <f>IF(A245="---","---",INPUT!C118)</f>
        <v>---</v>
      </c>
      <c r="D245" s="294" t="str">
        <f t="shared" si="62"/>
        <v>---</v>
      </c>
      <c r="E245" s="294" t="str">
        <f t="shared" si="63"/>
        <v>---</v>
      </c>
      <c r="F245" s="294" t="str">
        <f t="shared" si="64"/>
        <v>---</v>
      </c>
      <c r="G245" s="294" t="str">
        <f t="shared" si="65"/>
        <v>---</v>
      </c>
      <c r="H245" s="294" t="str">
        <f t="shared" si="66"/>
        <v>---</v>
      </c>
      <c r="I245" s="294" t="str">
        <f t="shared" si="67"/>
        <v>---</v>
      </c>
      <c r="J245" s="291" t="str">
        <f t="shared" si="68"/>
        <v>---</v>
      </c>
      <c r="K245" s="291" t="str">
        <f t="shared" si="69"/>
        <v>---</v>
      </c>
      <c r="L245" s="291" t="str">
        <f t="shared" si="70"/>
        <v>---</v>
      </c>
      <c r="M245" s="294" t="str">
        <f t="shared" si="72"/>
        <v>---</v>
      </c>
      <c r="P245" s="22"/>
      <c r="Q245" s="22"/>
      <c r="R245" s="22"/>
      <c r="S245" s="22"/>
      <c r="T245" s="22"/>
    </row>
    <row r="246" spans="1:20">
      <c r="A246" s="438" t="str">
        <f t="shared" ref="A246:B246" si="79">A186</f>
        <v>---</v>
      </c>
      <c r="B246" s="294" t="str">
        <f t="shared" si="79"/>
        <v>---</v>
      </c>
      <c r="C246" s="294" t="str">
        <f>IF(A246="---","---",INPUT!C119)</f>
        <v>---</v>
      </c>
      <c r="D246" s="294" t="str">
        <f t="shared" si="62"/>
        <v>---</v>
      </c>
      <c r="E246" s="294" t="str">
        <f t="shared" si="63"/>
        <v>---</v>
      </c>
      <c r="F246" s="294" t="str">
        <f t="shared" si="64"/>
        <v>---</v>
      </c>
      <c r="G246" s="294" t="str">
        <f t="shared" si="65"/>
        <v>---</v>
      </c>
      <c r="H246" s="294" t="str">
        <f t="shared" si="66"/>
        <v>---</v>
      </c>
      <c r="I246" s="294" t="str">
        <f t="shared" si="67"/>
        <v>---</v>
      </c>
      <c r="J246" s="291" t="str">
        <f t="shared" si="68"/>
        <v>---</v>
      </c>
      <c r="K246" s="291" t="str">
        <f t="shared" si="69"/>
        <v>---</v>
      </c>
      <c r="L246" s="291" t="str">
        <f t="shared" si="70"/>
        <v>---</v>
      </c>
      <c r="M246" s="294" t="str">
        <f t="shared" si="72"/>
        <v>---</v>
      </c>
      <c r="P246" s="22"/>
      <c r="Q246" s="22"/>
      <c r="R246" s="22"/>
      <c r="S246" s="22"/>
      <c r="T246" s="22"/>
    </row>
    <row r="247" spans="1:20">
      <c r="A247" s="438" t="str">
        <f t="shared" ref="A247:B247" si="80">A187</f>
        <v>---</v>
      </c>
      <c r="B247" s="294" t="str">
        <f t="shared" si="80"/>
        <v>---</v>
      </c>
      <c r="C247" s="294" t="str">
        <f>IF(A247="---","---",INPUT!C120)</f>
        <v>---</v>
      </c>
      <c r="D247" s="294" t="str">
        <f t="shared" si="62"/>
        <v>---</v>
      </c>
      <c r="E247" s="294" t="str">
        <f t="shared" si="63"/>
        <v>---</v>
      </c>
      <c r="F247" s="294" t="str">
        <f t="shared" si="64"/>
        <v>---</v>
      </c>
      <c r="G247" s="294" t="str">
        <f t="shared" si="65"/>
        <v>---</v>
      </c>
      <c r="H247" s="294" t="str">
        <f t="shared" si="66"/>
        <v>---</v>
      </c>
      <c r="I247" s="294" t="str">
        <f t="shared" si="67"/>
        <v>---</v>
      </c>
      <c r="J247" s="291" t="str">
        <f t="shared" si="68"/>
        <v>---</v>
      </c>
      <c r="K247" s="291" t="str">
        <f t="shared" si="69"/>
        <v>---</v>
      </c>
      <c r="L247" s="291" t="str">
        <f t="shared" si="70"/>
        <v>---</v>
      </c>
      <c r="M247" s="294" t="str">
        <f t="shared" si="72"/>
        <v>---</v>
      </c>
      <c r="P247" s="22"/>
      <c r="Q247" s="22"/>
      <c r="R247" s="22"/>
      <c r="S247" s="22"/>
      <c r="T247" s="22"/>
    </row>
    <row r="248" spans="1:20">
      <c r="A248" s="438" t="str">
        <f t="shared" ref="A248:B248" si="81">A188</f>
        <v>---</v>
      </c>
      <c r="B248" s="294" t="str">
        <f t="shared" si="81"/>
        <v>---</v>
      </c>
      <c r="C248" s="294" t="str">
        <f>IF(A248="---","---",INPUT!C121)</f>
        <v>---</v>
      </c>
      <c r="D248" s="294" t="str">
        <f t="shared" si="62"/>
        <v>---</v>
      </c>
      <c r="E248" s="294" t="str">
        <f t="shared" si="63"/>
        <v>---</v>
      </c>
      <c r="F248" s="294" t="str">
        <f t="shared" si="64"/>
        <v>---</v>
      </c>
      <c r="G248" s="294" t="str">
        <f t="shared" si="65"/>
        <v>---</v>
      </c>
      <c r="H248" s="294" t="str">
        <f t="shared" si="66"/>
        <v>---</v>
      </c>
      <c r="I248" s="294" t="str">
        <f t="shared" si="67"/>
        <v>---</v>
      </c>
      <c r="J248" s="291" t="str">
        <f t="shared" si="68"/>
        <v>---</v>
      </c>
      <c r="K248" s="291" t="str">
        <f t="shared" si="69"/>
        <v>---</v>
      </c>
      <c r="L248" s="291" t="str">
        <f t="shared" si="70"/>
        <v>---</v>
      </c>
      <c r="M248" s="294" t="str">
        <f t="shared" si="72"/>
        <v>---</v>
      </c>
      <c r="P248" s="22"/>
      <c r="Q248" s="22"/>
      <c r="R248" s="22"/>
      <c r="S248" s="22"/>
      <c r="T248" s="22"/>
    </row>
    <row r="249" spans="1:20">
      <c r="A249" s="438" t="str">
        <f t="shared" ref="A249:B249" si="82">A189</f>
        <v>---</v>
      </c>
      <c r="B249" s="294" t="str">
        <f t="shared" si="82"/>
        <v>---</v>
      </c>
      <c r="C249" s="294" t="str">
        <f>IF(A249="---","---",INPUT!C122)</f>
        <v>---</v>
      </c>
      <c r="D249" s="294" t="str">
        <f t="shared" si="62"/>
        <v>---</v>
      </c>
      <c r="E249" s="294" t="str">
        <f t="shared" si="63"/>
        <v>---</v>
      </c>
      <c r="F249" s="294" t="str">
        <f t="shared" si="64"/>
        <v>---</v>
      </c>
      <c r="G249" s="294" t="str">
        <f t="shared" si="65"/>
        <v>---</v>
      </c>
      <c r="H249" s="294" t="str">
        <f t="shared" si="66"/>
        <v>---</v>
      </c>
      <c r="I249" s="294" t="str">
        <f t="shared" si="67"/>
        <v>---</v>
      </c>
      <c r="J249" s="291" t="str">
        <f t="shared" si="68"/>
        <v>---</v>
      </c>
      <c r="K249" s="291" t="str">
        <f t="shared" si="69"/>
        <v>---</v>
      </c>
      <c r="L249" s="291" t="str">
        <f t="shared" si="70"/>
        <v>---</v>
      </c>
      <c r="M249" s="294" t="str">
        <f t="shared" si="72"/>
        <v>---</v>
      </c>
      <c r="P249" s="22"/>
      <c r="Q249" s="22"/>
      <c r="R249" s="22"/>
      <c r="S249" s="22"/>
      <c r="T249" s="22"/>
    </row>
    <row r="250" spans="1:20">
      <c r="A250" s="438" t="str">
        <f t="shared" ref="A250:B250" si="83">A190</f>
        <v>---</v>
      </c>
      <c r="B250" s="294" t="str">
        <f t="shared" si="83"/>
        <v>---</v>
      </c>
      <c r="C250" s="294" t="str">
        <f>IF(A250="---","---",INPUT!C123)</f>
        <v>---</v>
      </c>
      <c r="D250" s="294" t="str">
        <f t="shared" si="62"/>
        <v>---</v>
      </c>
      <c r="E250" s="294" t="str">
        <f t="shared" si="63"/>
        <v>---</v>
      </c>
      <c r="F250" s="294" t="str">
        <f t="shared" si="64"/>
        <v>---</v>
      </c>
      <c r="G250" s="294" t="str">
        <f t="shared" si="65"/>
        <v>---</v>
      </c>
      <c r="H250" s="294" t="str">
        <f t="shared" si="66"/>
        <v>---</v>
      </c>
      <c r="I250" s="294" t="str">
        <f t="shared" si="67"/>
        <v>---</v>
      </c>
      <c r="J250" s="291" t="str">
        <f t="shared" si="68"/>
        <v>---</v>
      </c>
      <c r="K250" s="291" t="str">
        <f t="shared" si="69"/>
        <v>---</v>
      </c>
      <c r="L250" s="291" t="str">
        <f t="shared" si="70"/>
        <v>---</v>
      </c>
      <c r="M250" s="294" t="str">
        <f t="shared" si="72"/>
        <v>---</v>
      </c>
      <c r="P250" s="22"/>
      <c r="Q250" s="22"/>
      <c r="R250" s="22"/>
      <c r="S250" s="22"/>
      <c r="T250" s="22"/>
    </row>
    <row r="251" spans="1:20">
      <c r="A251" s="438" t="str">
        <f t="shared" ref="A251:B251" si="84">A191</f>
        <v>---</v>
      </c>
      <c r="B251" s="294" t="str">
        <f t="shared" si="84"/>
        <v>---</v>
      </c>
      <c r="C251" s="294" t="str">
        <f>IF(A251="---","---",INPUT!C124)</f>
        <v>---</v>
      </c>
      <c r="D251" s="294" t="str">
        <f t="shared" si="62"/>
        <v>---</v>
      </c>
      <c r="E251" s="294" t="str">
        <f t="shared" si="63"/>
        <v>---</v>
      </c>
      <c r="F251" s="294" t="str">
        <f t="shared" si="64"/>
        <v>---</v>
      </c>
      <c r="G251" s="294" t="str">
        <f t="shared" si="65"/>
        <v>---</v>
      </c>
      <c r="H251" s="294" t="str">
        <f t="shared" si="66"/>
        <v>---</v>
      </c>
      <c r="I251" s="294" t="str">
        <f t="shared" si="67"/>
        <v>---</v>
      </c>
      <c r="J251" s="291" t="str">
        <f t="shared" si="68"/>
        <v>---</v>
      </c>
      <c r="K251" s="291" t="str">
        <f t="shared" si="69"/>
        <v>---</v>
      </c>
      <c r="L251" s="291" t="str">
        <f t="shared" si="70"/>
        <v>---</v>
      </c>
      <c r="M251" s="294" t="str">
        <f t="shared" si="72"/>
        <v>---</v>
      </c>
      <c r="P251" s="22"/>
      <c r="Q251" s="22"/>
      <c r="R251" s="22"/>
      <c r="S251" s="22"/>
      <c r="T251" s="22"/>
    </row>
    <row r="252" spans="1:20">
      <c r="A252" s="438" t="str">
        <f t="shared" ref="A252:B252" si="85">A192</f>
        <v>---</v>
      </c>
      <c r="B252" s="294" t="str">
        <f t="shared" si="85"/>
        <v>---</v>
      </c>
      <c r="C252" s="294" t="str">
        <f>IF(A252="---","---",INPUT!C125)</f>
        <v>---</v>
      </c>
      <c r="D252" s="294" t="str">
        <f t="shared" si="62"/>
        <v>---</v>
      </c>
      <c r="E252" s="294" t="str">
        <f t="shared" si="63"/>
        <v>---</v>
      </c>
      <c r="F252" s="294" t="str">
        <f t="shared" si="64"/>
        <v>---</v>
      </c>
      <c r="G252" s="294" t="str">
        <f t="shared" si="65"/>
        <v>---</v>
      </c>
      <c r="H252" s="294" t="str">
        <f t="shared" si="66"/>
        <v>---</v>
      </c>
      <c r="I252" s="294" t="str">
        <f t="shared" si="67"/>
        <v>---</v>
      </c>
      <c r="J252" s="291" t="str">
        <f t="shared" si="68"/>
        <v>---</v>
      </c>
      <c r="K252" s="291" t="str">
        <f t="shared" si="69"/>
        <v>---</v>
      </c>
      <c r="L252" s="291" t="str">
        <f t="shared" si="70"/>
        <v>---</v>
      </c>
      <c r="M252" s="294" t="str">
        <f t="shared" si="72"/>
        <v>---</v>
      </c>
      <c r="P252" s="22"/>
      <c r="Q252" s="22"/>
      <c r="R252" s="22"/>
      <c r="S252" s="22"/>
      <c r="T252" s="22"/>
    </row>
    <row r="253" spans="1:20">
      <c r="A253" s="438" t="str">
        <f t="shared" ref="A253:B253" si="86">A193</f>
        <v>---</v>
      </c>
      <c r="B253" s="294" t="str">
        <f t="shared" si="86"/>
        <v>---</v>
      </c>
      <c r="C253" s="294" t="str">
        <f>IF(A253="---","---",INPUT!C126)</f>
        <v>---</v>
      </c>
      <c r="D253" s="294" t="str">
        <f t="shared" si="62"/>
        <v>---</v>
      </c>
      <c r="E253" s="294" t="str">
        <f t="shared" si="63"/>
        <v>---</v>
      </c>
      <c r="F253" s="294" t="str">
        <f t="shared" si="64"/>
        <v>---</v>
      </c>
      <c r="G253" s="294" t="str">
        <f t="shared" si="65"/>
        <v>---</v>
      </c>
      <c r="H253" s="294" t="str">
        <f t="shared" si="66"/>
        <v>---</v>
      </c>
      <c r="I253" s="294" t="str">
        <f t="shared" si="67"/>
        <v>---</v>
      </c>
      <c r="J253" s="291" t="str">
        <f t="shared" si="68"/>
        <v>---</v>
      </c>
      <c r="K253" s="291" t="str">
        <f t="shared" si="69"/>
        <v>---</v>
      </c>
      <c r="L253" s="291" t="str">
        <f t="shared" si="70"/>
        <v>---</v>
      </c>
      <c r="M253" s="294" t="str">
        <f t="shared" si="72"/>
        <v>---</v>
      </c>
      <c r="P253" s="22"/>
      <c r="Q253" s="22"/>
      <c r="R253" s="22"/>
      <c r="S253" s="22"/>
      <c r="T253" s="22"/>
    </row>
    <row r="254" spans="1:20">
      <c r="A254" s="438" t="str">
        <f t="shared" ref="A254:B254" si="87">A194</f>
        <v>---</v>
      </c>
      <c r="B254" s="294" t="str">
        <f t="shared" si="87"/>
        <v>---</v>
      </c>
      <c r="C254" s="294" t="str">
        <f>IF(A254="---","---",INPUT!C127)</f>
        <v>---</v>
      </c>
      <c r="D254" s="294" t="str">
        <f t="shared" si="62"/>
        <v>---</v>
      </c>
      <c r="E254" s="294" t="str">
        <f t="shared" si="63"/>
        <v>---</v>
      </c>
      <c r="F254" s="294" t="str">
        <f t="shared" si="64"/>
        <v>---</v>
      </c>
      <c r="G254" s="294" t="str">
        <f t="shared" si="65"/>
        <v>---</v>
      </c>
      <c r="H254" s="294" t="str">
        <f t="shared" si="66"/>
        <v>---</v>
      </c>
      <c r="I254" s="294" t="str">
        <f t="shared" si="67"/>
        <v>---</v>
      </c>
      <c r="J254" s="291" t="str">
        <f t="shared" si="68"/>
        <v>---</v>
      </c>
      <c r="K254" s="291" t="str">
        <f t="shared" si="69"/>
        <v>---</v>
      </c>
      <c r="L254" s="291" t="str">
        <f t="shared" si="70"/>
        <v>---</v>
      </c>
      <c r="M254" s="294" t="str">
        <f t="shared" si="72"/>
        <v>---</v>
      </c>
      <c r="P254" s="22"/>
      <c r="Q254" s="22"/>
      <c r="R254" s="22"/>
      <c r="S254" s="22"/>
      <c r="T254" s="22"/>
    </row>
    <row r="255" spans="1:20">
      <c r="A255" s="438" t="str">
        <f t="shared" ref="A255:B255" si="88">A195</f>
        <v>---</v>
      </c>
      <c r="B255" s="294" t="str">
        <f t="shared" si="88"/>
        <v>---</v>
      </c>
      <c r="C255" s="294" t="str">
        <f>IF(A255="---","---",INPUT!C128)</f>
        <v>---</v>
      </c>
      <c r="D255" s="294" t="str">
        <f t="shared" si="62"/>
        <v>---</v>
      </c>
      <c r="E255" s="294" t="str">
        <f t="shared" si="63"/>
        <v>---</v>
      </c>
      <c r="F255" s="294" t="str">
        <f t="shared" si="64"/>
        <v>---</v>
      </c>
      <c r="G255" s="294" t="str">
        <f t="shared" si="65"/>
        <v>---</v>
      </c>
      <c r="H255" s="294" t="str">
        <f t="shared" si="66"/>
        <v>---</v>
      </c>
      <c r="I255" s="294" t="str">
        <f t="shared" si="67"/>
        <v>---</v>
      </c>
      <c r="J255" s="291" t="str">
        <f t="shared" si="68"/>
        <v>---</v>
      </c>
      <c r="K255" s="291" t="str">
        <f t="shared" si="69"/>
        <v>---</v>
      </c>
      <c r="L255" s="291" t="str">
        <f t="shared" si="70"/>
        <v>---</v>
      </c>
      <c r="M255" s="294" t="str">
        <f t="shared" si="72"/>
        <v>---</v>
      </c>
      <c r="P255" s="22"/>
      <c r="Q255" s="22"/>
      <c r="R255" s="22"/>
      <c r="S255" s="22"/>
      <c r="T255" s="22"/>
    </row>
    <row r="256" spans="1:20">
      <c r="A256" s="438" t="str">
        <f t="shared" ref="A256:B256" si="89">A196</f>
        <v>---</v>
      </c>
      <c r="B256" s="294" t="str">
        <f t="shared" si="89"/>
        <v>---</v>
      </c>
      <c r="C256" s="294" t="str">
        <f>IF(A256="---","---",INPUT!C129)</f>
        <v>---</v>
      </c>
      <c r="D256" s="294" t="str">
        <f t="shared" si="62"/>
        <v>---</v>
      </c>
      <c r="E256" s="294" t="str">
        <f t="shared" si="63"/>
        <v>---</v>
      </c>
      <c r="F256" s="294" t="str">
        <f t="shared" si="64"/>
        <v>---</v>
      </c>
      <c r="G256" s="294" t="str">
        <f t="shared" si="65"/>
        <v>---</v>
      </c>
      <c r="H256" s="294" t="str">
        <f t="shared" si="66"/>
        <v>---</v>
      </c>
      <c r="I256" s="294" t="str">
        <f t="shared" si="67"/>
        <v>---</v>
      </c>
      <c r="J256" s="291" t="str">
        <f t="shared" si="68"/>
        <v>---</v>
      </c>
      <c r="K256" s="291" t="str">
        <f t="shared" si="69"/>
        <v>---</v>
      </c>
      <c r="L256" s="291" t="str">
        <f t="shared" si="70"/>
        <v>---</v>
      </c>
      <c r="M256" s="294" t="str">
        <f t="shared" si="72"/>
        <v>---</v>
      </c>
      <c r="P256" s="22"/>
      <c r="Q256" s="22"/>
      <c r="R256" s="22"/>
      <c r="S256" s="22"/>
      <c r="T256" s="22"/>
    </row>
    <row r="257" spans="1:20">
      <c r="A257" s="438" t="str">
        <f t="shared" ref="A257:B257" si="90">A197</f>
        <v>---</v>
      </c>
      <c r="B257" s="294" t="str">
        <f t="shared" si="90"/>
        <v>---</v>
      </c>
      <c r="C257" s="294" t="str">
        <f>IF(A257="---","---",INPUT!C130)</f>
        <v>---</v>
      </c>
      <c r="D257" s="294" t="str">
        <f t="shared" si="62"/>
        <v>---</v>
      </c>
      <c r="E257" s="294" t="str">
        <f t="shared" si="63"/>
        <v>---</v>
      </c>
      <c r="F257" s="294" t="str">
        <f t="shared" si="64"/>
        <v>---</v>
      </c>
      <c r="G257" s="294" t="str">
        <f t="shared" si="65"/>
        <v>---</v>
      </c>
      <c r="H257" s="294" t="str">
        <f t="shared" si="66"/>
        <v>---</v>
      </c>
      <c r="I257" s="294" t="str">
        <f t="shared" si="67"/>
        <v>---</v>
      </c>
      <c r="J257" s="291" t="str">
        <f t="shared" si="68"/>
        <v>---</v>
      </c>
      <c r="K257" s="291" t="str">
        <f t="shared" si="69"/>
        <v>---</v>
      </c>
      <c r="L257" s="291" t="str">
        <f t="shared" si="70"/>
        <v>---</v>
      </c>
      <c r="M257" s="294" t="str">
        <f t="shared" si="72"/>
        <v>---</v>
      </c>
      <c r="P257" s="22"/>
      <c r="Q257" s="22"/>
      <c r="R257" s="22"/>
      <c r="S257" s="22"/>
      <c r="T257" s="22"/>
    </row>
    <row r="258" spans="1:20">
      <c r="A258" s="438" t="str">
        <f t="shared" ref="A258:B258" si="91">A198</f>
        <v>---</v>
      </c>
      <c r="B258" s="294" t="str">
        <f t="shared" si="91"/>
        <v>---</v>
      </c>
      <c r="C258" s="294" t="str">
        <f>IF(A258="---","---",INPUT!C131)</f>
        <v>---</v>
      </c>
      <c r="D258" s="294" t="str">
        <f t="shared" si="62"/>
        <v>---</v>
      </c>
      <c r="E258" s="294" t="str">
        <f t="shared" si="63"/>
        <v>---</v>
      </c>
      <c r="F258" s="294" t="str">
        <f t="shared" si="64"/>
        <v>---</v>
      </c>
      <c r="G258" s="294" t="str">
        <f t="shared" si="65"/>
        <v>---</v>
      </c>
      <c r="H258" s="294" t="str">
        <f t="shared" si="66"/>
        <v>---</v>
      </c>
      <c r="I258" s="294" t="str">
        <f t="shared" si="67"/>
        <v>---</v>
      </c>
      <c r="J258" s="291" t="str">
        <f t="shared" si="68"/>
        <v>---</v>
      </c>
      <c r="K258" s="291" t="str">
        <f t="shared" si="69"/>
        <v>---</v>
      </c>
      <c r="L258" s="291" t="str">
        <f t="shared" si="70"/>
        <v>---</v>
      </c>
      <c r="M258" s="294" t="str">
        <f t="shared" si="72"/>
        <v>---</v>
      </c>
      <c r="P258" s="22"/>
      <c r="Q258" s="22"/>
      <c r="R258" s="22"/>
      <c r="S258" s="22"/>
      <c r="T258" s="22"/>
    </row>
    <row r="259" spans="1:20">
      <c r="A259" s="438" t="str">
        <f t="shared" ref="A259:B259" si="92">A199</f>
        <v>---</v>
      </c>
      <c r="B259" s="294" t="str">
        <f t="shared" si="92"/>
        <v>---</v>
      </c>
      <c r="C259" s="294" t="str">
        <f>IF(A259="---","---",INPUT!C132)</f>
        <v>---</v>
      </c>
      <c r="D259" s="294" t="str">
        <f t="shared" si="62"/>
        <v>---</v>
      </c>
      <c r="E259" s="294" t="str">
        <f t="shared" si="63"/>
        <v>---</v>
      </c>
      <c r="F259" s="294" t="str">
        <f t="shared" si="64"/>
        <v>---</v>
      </c>
      <c r="G259" s="294" t="str">
        <f t="shared" si="65"/>
        <v>---</v>
      </c>
      <c r="H259" s="294" t="str">
        <f t="shared" si="66"/>
        <v>---</v>
      </c>
      <c r="I259" s="294" t="str">
        <f t="shared" si="67"/>
        <v>---</v>
      </c>
      <c r="J259" s="291" t="str">
        <f t="shared" si="68"/>
        <v>---</v>
      </c>
      <c r="K259" s="291" t="str">
        <f t="shared" si="69"/>
        <v>---</v>
      </c>
      <c r="L259" s="291" t="str">
        <f t="shared" si="70"/>
        <v>---</v>
      </c>
      <c r="M259" s="294" t="str">
        <f t="shared" si="72"/>
        <v>---</v>
      </c>
      <c r="P259" s="22"/>
      <c r="Q259" s="22"/>
      <c r="R259" s="22"/>
      <c r="S259" s="22"/>
      <c r="T259" s="22"/>
    </row>
    <row r="260" spans="1:20">
      <c r="A260" s="438" t="str">
        <f t="shared" ref="A260:B260" si="93">A200</f>
        <v>---</v>
      </c>
      <c r="B260" s="294" t="str">
        <f t="shared" si="93"/>
        <v>---</v>
      </c>
      <c r="C260" s="294" t="str">
        <f>IF(A260="---","---",INPUT!C133)</f>
        <v>---</v>
      </c>
      <c r="D260" s="294" t="str">
        <f t="shared" si="62"/>
        <v>---</v>
      </c>
      <c r="E260" s="294" t="str">
        <f t="shared" si="63"/>
        <v>---</v>
      </c>
      <c r="F260" s="294" t="str">
        <f t="shared" si="64"/>
        <v>---</v>
      </c>
      <c r="G260" s="294" t="str">
        <f t="shared" si="65"/>
        <v>---</v>
      </c>
      <c r="H260" s="294" t="str">
        <f t="shared" si="66"/>
        <v>---</v>
      </c>
      <c r="I260" s="294" t="str">
        <f t="shared" si="67"/>
        <v>---</v>
      </c>
      <c r="J260" s="291" t="str">
        <f t="shared" si="68"/>
        <v>---</v>
      </c>
      <c r="K260" s="291" t="str">
        <f t="shared" si="69"/>
        <v>---</v>
      </c>
      <c r="L260" s="291" t="str">
        <f t="shared" si="70"/>
        <v>---</v>
      </c>
      <c r="M260" s="294" t="str">
        <f t="shared" si="72"/>
        <v>---</v>
      </c>
      <c r="P260" s="22"/>
      <c r="Q260" s="22"/>
      <c r="R260" s="22"/>
      <c r="S260" s="22"/>
      <c r="T260" s="22"/>
    </row>
    <row r="261" spans="1:20">
      <c r="A261" s="438" t="str">
        <f t="shared" ref="A261:B261" si="94">A201</f>
        <v>---</v>
      </c>
      <c r="B261" s="294" t="str">
        <f t="shared" si="94"/>
        <v>---</v>
      </c>
      <c r="C261" s="294" t="str">
        <f>IF(A261="---","---",INPUT!C134)</f>
        <v>---</v>
      </c>
      <c r="D261" s="294" t="str">
        <f t="shared" si="62"/>
        <v>---</v>
      </c>
      <c r="E261" s="294" t="str">
        <f t="shared" si="63"/>
        <v>---</v>
      </c>
      <c r="F261" s="294" t="str">
        <f t="shared" si="64"/>
        <v>---</v>
      </c>
      <c r="G261" s="294" t="str">
        <f t="shared" si="65"/>
        <v>---</v>
      </c>
      <c r="H261" s="294" t="str">
        <f t="shared" si="66"/>
        <v>---</v>
      </c>
      <c r="I261" s="294" t="str">
        <f t="shared" si="67"/>
        <v>---</v>
      </c>
      <c r="J261" s="291" t="str">
        <f t="shared" si="68"/>
        <v>---</v>
      </c>
      <c r="K261" s="291" t="str">
        <f t="shared" si="69"/>
        <v>---</v>
      </c>
      <c r="L261" s="291" t="str">
        <f t="shared" si="70"/>
        <v>---</v>
      </c>
      <c r="M261" s="294" t="str">
        <f t="shared" si="72"/>
        <v>---</v>
      </c>
      <c r="P261" s="22"/>
      <c r="Q261" s="22"/>
      <c r="R261" s="22"/>
      <c r="S261" s="22"/>
      <c r="T261" s="22"/>
    </row>
    <row r="262" spans="1:20">
      <c r="A262" s="438" t="str">
        <f t="shared" ref="A262:B262" si="95">A202</f>
        <v>---</v>
      </c>
      <c r="B262" s="294" t="str">
        <f t="shared" si="95"/>
        <v>---</v>
      </c>
      <c r="C262" s="294" t="str">
        <f>IF(A262="---","---",INPUT!C135)</f>
        <v>---</v>
      </c>
      <c r="D262" s="294" t="str">
        <f t="shared" si="62"/>
        <v>---</v>
      </c>
      <c r="E262" s="294" t="str">
        <f t="shared" si="63"/>
        <v>---</v>
      </c>
      <c r="F262" s="294" t="str">
        <f t="shared" si="64"/>
        <v>---</v>
      </c>
      <c r="G262" s="294" t="str">
        <f t="shared" si="65"/>
        <v>---</v>
      </c>
      <c r="H262" s="294" t="str">
        <f t="shared" si="66"/>
        <v>---</v>
      </c>
      <c r="I262" s="294" t="str">
        <f t="shared" si="67"/>
        <v>---</v>
      </c>
      <c r="J262" s="291" t="str">
        <f t="shared" si="68"/>
        <v>---</v>
      </c>
      <c r="K262" s="291" t="str">
        <f t="shared" si="69"/>
        <v>---</v>
      </c>
      <c r="L262" s="291" t="str">
        <f t="shared" si="70"/>
        <v>---</v>
      </c>
      <c r="M262" s="294" t="str">
        <f t="shared" si="72"/>
        <v>---</v>
      </c>
      <c r="P262" s="22"/>
      <c r="Q262" s="22"/>
      <c r="R262" s="22"/>
      <c r="S262" s="22"/>
      <c r="T262" s="22"/>
    </row>
    <row r="263" spans="1:20">
      <c r="A263" s="438" t="str">
        <f t="shared" ref="A263:B263" si="96">A203</f>
        <v>---</v>
      </c>
      <c r="B263" s="294" t="str">
        <f t="shared" si="96"/>
        <v>---</v>
      </c>
      <c r="C263" s="294" t="str">
        <f>IF(A263="---","---",INPUT!C136)</f>
        <v>---</v>
      </c>
      <c r="D263" s="294" t="str">
        <f t="shared" si="62"/>
        <v>---</v>
      </c>
      <c r="E263" s="294" t="str">
        <f t="shared" si="63"/>
        <v>---</v>
      </c>
      <c r="F263" s="294" t="str">
        <f t="shared" si="64"/>
        <v>---</v>
      </c>
      <c r="G263" s="294" t="str">
        <f t="shared" si="65"/>
        <v>---</v>
      </c>
      <c r="H263" s="294" t="str">
        <f t="shared" si="66"/>
        <v>---</v>
      </c>
      <c r="I263" s="294" t="str">
        <f t="shared" si="67"/>
        <v>---</v>
      </c>
      <c r="J263" s="291" t="str">
        <f t="shared" si="68"/>
        <v>---</v>
      </c>
      <c r="K263" s="291" t="str">
        <f t="shared" si="69"/>
        <v>---</v>
      </c>
      <c r="L263" s="291" t="str">
        <f t="shared" si="70"/>
        <v>---</v>
      </c>
      <c r="M263" s="294" t="str">
        <f t="shared" si="72"/>
        <v>---</v>
      </c>
      <c r="P263" s="22"/>
      <c r="Q263" s="22"/>
      <c r="R263" s="22"/>
      <c r="S263" s="22"/>
      <c r="T263" s="22"/>
    </row>
    <row r="264" spans="1:20">
      <c r="A264" s="438" t="str">
        <f t="shared" ref="A264:B264" si="97">A204</f>
        <v>---</v>
      </c>
      <c r="B264" s="294" t="str">
        <f t="shared" si="97"/>
        <v>---</v>
      </c>
      <c r="C264" s="294" t="str">
        <f>IF(A264="---","---",INPUT!C137)</f>
        <v>---</v>
      </c>
      <c r="D264" s="294" t="str">
        <f t="shared" si="62"/>
        <v>---</v>
      </c>
      <c r="E264" s="294" t="str">
        <f t="shared" si="63"/>
        <v>---</v>
      </c>
      <c r="F264" s="294" t="str">
        <f t="shared" si="64"/>
        <v>---</v>
      </c>
      <c r="G264" s="294" t="str">
        <f t="shared" si="65"/>
        <v>---</v>
      </c>
      <c r="H264" s="294" t="str">
        <f t="shared" si="66"/>
        <v>---</v>
      </c>
      <c r="I264" s="294" t="str">
        <f t="shared" si="67"/>
        <v>---</v>
      </c>
      <c r="J264" s="291" t="str">
        <f t="shared" si="68"/>
        <v>---</v>
      </c>
      <c r="K264" s="291" t="str">
        <f t="shared" si="69"/>
        <v>---</v>
      </c>
      <c r="L264" s="291" t="str">
        <f t="shared" si="70"/>
        <v>---</v>
      </c>
      <c r="M264" s="294" t="str">
        <f t="shared" si="72"/>
        <v>---</v>
      </c>
      <c r="P264" s="22"/>
      <c r="Q264" s="22"/>
      <c r="R264" s="22"/>
      <c r="S264" s="22"/>
      <c r="T264" s="22"/>
    </row>
    <row r="265" spans="1:20">
      <c r="A265" s="438" t="str">
        <f t="shared" ref="A265:B265" si="98">A205</f>
        <v>---</v>
      </c>
      <c r="B265" s="294" t="str">
        <f t="shared" si="98"/>
        <v>---</v>
      </c>
      <c r="C265" s="294" t="str">
        <f>IF(A265="---","---",INPUT!C138)</f>
        <v>---</v>
      </c>
      <c r="D265" s="294" t="str">
        <f t="shared" si="62"/>
        <v>---</v>
      </c>
      <c r="E265" s="294" t="str">
        <f t="shared" si="63"/>
        <v>---</v>
      </c>
      <c r="F265" s="294" t="str">
        <f t="shared" si="64"/>
        <v>---</v>
      </c>
      <c r="G265" s="294" t="str">
        <f t="shared" si="65"/>
        <v>---</v>
      </c>
      <c r="H265" s="294" t="str">
        <f t="shared" si="66"/>
        <v>---</v>
      </c>
      <c r="I265" s="294" t="str">
        <f t="shared" si="67"/>
        <v>---</v>
      </c>
      <c r="J265" s="291" t="str">
        <f t="shared" si="68"/>
        <v>---</v>
      </c>
      <c r="K265" s="291" t="str">
        <f t="shared" si="69"/>
        <v>---</v>
      </c>
      <c r="L265" s="291" t="str">
        <f t="shared" si="70"/>
        <v>---</v>
      </c>
      <c r="M265" s="294" t="str">
        <f t="shared" si="72"/>
        <v>---</v>
      </c>
      <c r="P265" s="22"/>
      <c r="Q265" s="22"/>
      <c r="R265" s="22"/>
      <c r="S265" s="22"/>
      <c r="T265" s="22"/>
    </row>
    <row r="266" spans="1:20">
      <c r="A266" s="438" t="str">
        <f t="shared" ref="A266:B266" si="99">A206</f>
        <v>---</v>
      </c>
      <c r="B266" s="294" t="str">
        <f t="shared" si="99"/>
        <v>---</v>
      </c>
      <c r="C266" s="294" t="str">
        <f>IF(A266="---","---",INPUT!C139)</f>
        <v>---</v>
      </c>
      <c r="D266" s="294" t="str">
        <f t="shared" si="62"/>
        <v>---</v>
      </c>
      <c r="E266" s="294" t="str">
        <f t="shared" si="63"/>
        <v>---</v>
      </c>
      <c r="F266" s="294" t="str">
        <f t="shared" si="64"/>
        <v>---</v>
      </c>
      <c r="G266" s="294" t="str">
        <f t="shared" si="65"/>
        <v>---</v>
      </c>
      <c r="H266" s="294" t="str">
        <f t="shared" si="66"/>
        <v>---</v>
      </c>
      <c r="I266" s="294" t="str">
        <f t="shared" si="67"/>
        <v>---</v>
      </c>
      <c r="J266" s="291" t="str">
        <f t="shared" si="68"/>
        <v>---</v>
      </c>
      <c r="K266" s="291" t="str">
        <f t="shared" si="69"/>
        <v>---</v>
      </c>
      <c r="L266" s="291" t="str">
        <f t="shared" si="70"/>
        <v>---</v>
      </c>
      <c r="M266" s="294" t="str">
        <f t="shared" si="72"/>
        <v>---</v>
      </c>
      <c r="P266" s="22"/>
      <c r="Q266" s="22"/>
      <c r="R266" s="22"/>
      <c r="S266" s="22"/>
      <c r="T266" s="22"/>
    </row>
    <row r="267" spans="1:20">
      <c r="A267" s="438" t="str">
        <f t="shared" ref="A267:B267" si="100">A207</f>
        <v>---</v>
      </c>
      <c r="B267" s="294" t="str">
        <f t="shared" si="100"/>
        <v>---</v>
      </c>
      <c r="C267" s="294" t="str">
        <f>IF(A267="---","---",INPUT!C140)</f>
        <v>---</v>
      </c>
      <c r="D267" s="294" t="str">
        <f t="shared" si="62"/>
        <v>---</v>
      </c>
      <c r="E267" s="294" t="str">
        <f t="shared" si="63"/>
        <v>---</v>
      </c>
      <c r="F267" s="294" t="str">
        <f t="shared" si="64"/>
        <v>---</v>
      </c>
      <c r="G267" s="294" t="str">
        <f t="shared" si="65"/>
        <v>---</v>
      </c>
      <c r="H267" s="294" t="str">
        <f t="shared" si="66"/>
        <v>---</v>
      </c>
      <c r="I267" s="294" t="str">
        <f t="shared" si="67"/>
        <v>---</v>
      </c>
      <c r="J267" s="291" t="str">
        <f t="shared" si="68"/>
        <v>---</v>
      </c>
      <c r="K267" s="291" t="str">
        <f t="shared" si="69"/>
        <v>---</v>
      </c>
      <c r="L267" s="291" t="str">
        <f t="shared" si="70"/>
        <v>---</v>
      </c>
      <c r="M267" s="294" t="str">
        <f t="shared" si="72"/>
        <v>---</v>
      </c>
      <c r="P267" s="22"/>
      <c r="Q267" s="22"/>
      <c r="R267" s="22"/>
      <c r="S267" s="22"/>
      <c r="T267" s="22"/>
    </row>
    <row r="268" spans="1:20">
      <c r="A268" s="438" t="str">
        <f t="shared" ref="A268:B268" si="101">A208</f>
        <v>---</v>
      </c>
      <c r="B268" s="294" t="str">
        <f t="shared" si="101"/>
        <v>---</v>
      </c>
      <c r="C268" s="294" t="str">
        <f>IF(A268="---","---",INPUT!C141)</f>
        <v>---</v>
      </c>
      <c r="D268" s="294" t="str">
        <f t="shared" si="62"/>
        <v>---</v>
      </c>
      <c r="E268" s="294" t="str">
        <f t="shared" si="63"/>
        <v>---</v>
      </c>
      <c r="F268" s="294" t="str">
        <f t="shared" si="64"/>
        <v>---</v>
      </c>
      <c r="G268" s="294" t="str">
        <f t="shared" si="65"/>
        <v>---</v>
      </c>
      <c r="H268" s="294" t="str">
        <f t="shared" si="66"/>
        <v>---</v>
      </c>
      <c r="I268" s="294" t="str">
        <f t="shared" si="67"/>
        <v>---</v>
      </c>
      <c r="J268" s="291" t="str">
        <f t="shared" si="68"/>
        <v>---</v>
      </c>
      <c r="K268" s="291" t="str">
        <f t="shared" si="69"/>
        <v>---</v>
      </c>
      <c r="L268" s="291" t="str">
        <f t="shared" si="70"/>
        <v>---</v>
      </c>
      <c r="M268" s="294" t="str">
        <f t="shared" si="72"/>
        <v>---</v>
      </c>
      <c r="P268" s="22"/>
      <c r="Q268" s="22"/>
      <c r="R268" s="22"/>
      <c r="S268" s="22"/>
      <c r="T268" s="22"/>
    </row>
    <row r="269" spans="1:20">
      <c r="A269" s="438" t="str">
        <f t="shared" ref="A269:B269" si="102">A209</f>
        <v>---</v>
      </c>
      <c r="B269" s="294" t="str">
        <f t="shared" si="102"/>
        <v>---</v>
      </c>
      <c r="C269" s="294" t="str">
        <f>IF(A269="---","---",INPUT!C142)</f>
        <v>---</v>
      </c>
      <c r="D269" s="294" t="str">
        <f t="shared" si="62"/>
        <v>---</v>
      </c>
      <c r="E269" s="294" t="str">
        <f t="shared" si="63"/>
        <v>---</v>
      </c>
      <c r="F269" s="294" t="str">
        <f t="shared" si="64"/>
        <v>---</v>
      </c>
      <c r="G269" s="294" t="str">
        <f t="shared" si="65"/>
        <v>---</v>
      </c>
      <c r="H269" s="294" t="str">
        <f t="shared" si="66"/>
        <v>---</v>
      </c>
      <c r="I269" s="294" t="str">
        <f t="shared" si="67"/>
        <v>---</v>
      </c>
      <c r="J269" s="291" t="str">
        <f t="shared" si="68"/>
        <v>---</v>
      </c>
      <c r="K269" s="291" t="str">
        <f t="shared" si="69"/>
        <v>---</v>
      </c>
      <c r="L269" s="291" t="str">
        <f t="shared" si="70"/>
        <v>---</v>
      </c>
      <c r="M269" s="294" t="str">
        <f t="shared" si="72"/>
        <v>---</v>
      </c>
      <c r="P269" s="22"/>
      <c r="Q269" s="22"/>
      <c r="R269" s="22"/>
      <c r="S269" s="22"/>
      <c r="T269" s="22"/>
    </row>
    <row r="270" spans="1:20">
      <c r="A270" s="438" t="str">
        <f t="shared" ref="A270:B270" si="103">A210</f>
        <v>---</v>
      </c>
      <c r="B270" s="294" t="str">
        <f t="shared" si="103"/>
        <v>---</v>
      </c>
      <c r="C270" s="294" t="str">
        <f>IF(A270="---","---",INPUT!C143)</f>
        <v>---</v>
      </c>
      <c r="D270" s="294" t="str">
        <f t="shared" si="62"/>
        <v>---</v>
      </c>
      <c r="E270" s="294" t="str">
        <f t="shared" ref="E270:E287" si="104">IF(A270="---","---",IF(Type_Reinf="g",1,IF(Type_Reinf="s",MAX((1.2+0.5*(20-B270)/20),1.2),MAX((1.2+1.3*(20-B270)/20),1.2))))</f>
        <v>---</v>
      </c>
      <c r="F270" s="294" t="str">
        <f t="shared" ref="F270:F287" si="105">IF(A270="---","---",E270*ka_int)</f>
        <v>---</v>
      </c>
      <c r="G270" s="294" t="str">
        <f t="shared" ref="G270:G287" si="106">IF(A270="---","---",IF(Abut_on_Piles="y",Pv*bfi/D270,0))</f>
        <v>---</v>
      </c>
      <c r="H270" s="294" t="str">
        <f t="shared" ref="H270:H287" si="107">IF(A270="---","---",gamma_reinf*B270+1*$I$20+$I$23+G270)</f>
        <v>---</v>
      </c>
      <c r="I270" s="294" t="str">
        <f t="shared" ref="I270:I287" si="108">IF($A270="---","---",gamma_P*(H270*$F270+0))</f>
        <v>---</v>
      </c>
      <c r="J270" s="291" t="str">
        <f t="shared" ref="J270:J287" si="109">IF(A270="---","---",I270*C270)</f>
        <v>---</v>
      </c>
      <c r="K270" s="291" t="str">
        <f t="shared" ref="K270:K287" si="110">IF(A270="---","---",IF(Type_Reinf="g",J270,"---"))</f>
        <v>---</v>
      </c>
      <c r="L270" s="291" t="str">
        <f t="shared" ref="L270:L287" si="111">IF(A270="---","---",IF(Type_Reinf="g",0,"---"))</f>
        <v>---</v>
      </c>
      <c r="M270" s="294" t="str">
        <f t="shared" ref="M270:M287" si="112">IF(A270="---","---",gamma_reinf*B270+0*$I$20+$I$23+G270)</f>
        <v>---</v>
      </c>
      <c r="P270" s="22"/>
      <c r="Q270" s="22"/>
      <c r="R270" s="22"/>
      <c r="S270" s="22"/>
      <c r="T270" s="22"/>
    </row>
    <row r="271" spans="1:20">
      <c r="A271" s="438" t="str">
        <f t="shared" ref="A271:B271" si="113">A211</f>
        <v>---</v>
      </c>
      <c r="B271" s="294" t="str">
        <f t="shared" si="113"/>
        <v>---</v>
      </c>
      <c r="C271" s="294" t="str">
        <f>IF(A271="---","---",INPUT!C144)</f>
        <v>---</v>
      </c>
      <c r="D271" s="294" t="str">
        <f t="shared" si="62"/>
        <v>---</v>
      </c>
      <c r="E271" s="294" t="str">
        <f t="shared" si="104"/>
        <v>---</v>
      </c>
      <c r="F271" s="294" t="str">
        <f t="shared" si="105"/>
        <v>---</v>
      </c>
      <c r="G271" s="294" t="str">
        <f t="shared" si="106"/>
        <v>---</v>
      </c>
      <c r="H271" s="294" t="str">
        <f t="shared" si="107"/>
        <v>---</v>
      </c>
      <c r="I271" s="294" t="str">
        <f t="shared" si="108"/>
        <v>---</v>
      </c>
      <c r="J271" s="291" t="str">
        <f t="shared" si="109"/>
        <v>---</v>
      </c>
      <c r="K271" s="291" t="str">
        <f t="shared" si="110"/>
        <v>---</v>
      </c>
      <c r="L271" s="291" t="str">
        <f t="shared" si="111"/>
        <v>---</v>
      </c>
      <c r="M271" s="294" t="str">
        <f t="shared" si="112"/>
        <v>---</v>
      </c>
      <c r="P271" s="22"/>
      <c r="Q271" s="22"/>
      <c r="R271" s="22"/>
      <c r="S271" s="22"/>
      <c r="T271" s="22"/>
    </row>
    <row r="272" spans="1:20">
      <c r="A272" s="438" t="str">
        <f t="shared" ref="A272:B272" si="114">A212</f>
        <v>---</v>
      </c>
      <c r="B272" s="294" t="str">
        <f t="shared" si="114"/>
        <v>---</v>
      </c>
      <c r="C272" s="294" t="str">
        <f>IF(A272="---","---",INPUT!C145)</f>
        <v>---</v>
      </c>
      <c r="D272" s="294" t="str">
        <f t="shared" si="62"/>
        <v>---</v>
      </c>
      <c r="E272" s="294" t="str">
        <f t="shared" si="104"/>
        <v>---</v>
      </c>
      <c r="F272" s="294" t="str">
        <f t="shared" si="105"/>
        <v>---</v>
      </c>
      <c r="G272" s="294" t="str">
        <f t="shared" si="106"/>
        <v>---</v>
      </c>
      <c r="H272" s="294" t="str">
        <f t="shared" si="107"/>
        <v>---</v>
      </c>
      <c r="I272" s="294" t="str">
        <f t="shared" si="108"/>
        <v>---</v>
      </c>
      <c r="J272" s="291" t="str">
        <f t="shared" si="109"/>
        <v>---</v>
      </c>
      <c r="K272" s="291" t="str">
        <f t="shared" si="110"/>
        <v>---</v>
      </c>
      <c r="L272" s="291" t="str">
        <f t="shared" si="111"/>
        <v>---</v>
      </c>
      <c r="M272" s="294" t="str">
        <f t="shared" si="112"/>
        <v>---</v>
      </c>
      <c r="P272" s="22"/>
      <c r="Q272" s="22"/>
      <c r="R272" s="22"/>
      <c r="S272" s="22"/>
      <c r="T272" s="22"/>
    </row>
    <row r="273" spans="1:20">
      <c r="A273" s="438" t="str">
        <f t="shared" ref="A273:B273" si="115">A213</f>
        <v>---</v>
      </c>
      <c r="B273" s="294" t="str">
        <f t="shared" si="115"/>
        <v>---</v>
      </c>
      <c r="C273" s="294" t="str">
        <f>IF(A273="---","---",INPUT!C146)</f>
        <v>---</v>
      </c>
      <c r="D273" s="294" t="str">
        <f t="shared" si="62"/>
        <v>---</v>
      </c>
      <c r="E273" s="294" t="str">
        <f t="shared" si="104"/>
        <v>---</v>
      </c>
      <c r="F273" s="294" t="str">
        <f t="shared" si="105"/>
        <v>---</v>
      </c>
      <c r="G273" s="294" t="str">
        <f t="shared" si="106"/>
        <v>---</v>
      </c>
      <c r="H273" s="294" t="str">
        <f t="shared" si="107"/>
        <v>---</v>
      </c>
      <c r="I273" s="294" t="str">
        <f t="shared" si="108"/>
        <v>---</v>
      </c>
      <c r="J273" s="291" t="str">
        <f t="shared" si="109"/>
        <v>---</v>
      </c>
      <c r="K273" s="291" t="str">
        <f t="shared" si="110"/>
        <v>---</v>
      </c>
      <c r="L273" s="291" t="str">
        <f t="shared" si="111"/>
        <v>---</v>
      </c>
      <c r="M273" s="294" t="str">
        <f t="shared" si="112"/>
        <v>---</v>
      </c>
      <c r="P273" s="22"/>
      <c r="Q273" s="22"/>
      <c r="R273" s="22"/>
      <c r="S273" s="22"/>
      <c r="T273" s="22"/>
    </row>
    <row r="274" spans="1:20">
      <c r="A274" s="438" t="str">
        <f t="shared" ref="A274:B274" si="116">A214</f>
        <v>---</v>
      </c>
      <c r="B274" s="294" t="str">
        <f t="shared" si="116"/>
        <v>---</v>
      </c>
      <c r="C274" s="294" t="str">
        <f>IF(A274="---","---",INPUT!C147)</f>
        <v>---</v>
      </c>
      <c r="D274" s="294" t="str">
        <f t="shared" si="62"/>
        <v>---</v>
      </c>
      <c r="E274" s="294" t="str">
        <f t="shared" si="104"/>
        <v>---</v>
      </c>
      <c r="F274" s="294" t="str">
        <f t="shared" si="105"/>
        <v>---</v>
      </c>
      <c r="G274" s="294" t="str">
        <f t="shared" si="106"/>
        <v>---</v>
      </c>
      <c r="H274" s="294" t="str">
        <f t="shared" si="107"/>
        <v>---</v>
      </c>
      <c r="I274" s="294" t="str">
        <f t="shared" si="108"/>
        <v>---</v>
      </c>
      <c r="J274" s="291" t="str">
        <f t="shared" si="109"/>
        <v>---</v>
      </c>
      <c r="K274" s="291" t="str">
        <f t="shared" si="110"/>
        <v>---</v>
      </c>
      <c r="L274" s="291" t="str">
        <f t="shared" si="111"/>
        <v>---</v>
      </c>
      <c r="M274" s="294" t="str">
        <f t="shared" si="112"/>
        <v>---</v>
      </c>
      <c r="P274" s="22"/>
      <c r="Q274" s="22"/>
      <c r="R274" s="22"/>
      <c r="S274" s="22"/>
      <c r="T274" s="22"/>
    </row>
    <row r="275" spans="1:20">
      <c r="A275" s="438" t="str">
        <f t="shared" ref="A275:B275" si="117">A215</f>
        <v>---</v>
      </c>
      <c r="B275" s="294" t="str">
        <f t="shared" si="117"/>
        <v>---</v>
      </c>
      <c r="C275" s="294" t="str">
        <f>IF(A275="---","---",INPUT!C148)</f>
        <v>---</v>
      </c>
      <c r="D275" s="294" t="str">
        <f t="shared" si="62"/>
        <v>---</v>
      </c>
      <c r="E275" s="294" t="str">
        <f t="shared" si="104"/>
        <v>---</v>
      </c>
      <c r="F275" s="294" t="str">
        <f t="shared" si="105"/>
        <v>---</v>
      </c>
      <c r="G275" s="294" t="str">
        <f t="shared" si="106"/>
        <v>---</v>
      </c>
      <c r="H275" s="294" t="str">
        <f t="shared" si="107"/>
        <v>---</v>
      </c>
      <c r="I275" s="294" t="str">
        <f t="shared" si="108"/>
        <v>---</v>
      </c>
      <c r="J275" s="291" t="str">
        <f t="shared" si="109"/>
        <v>---</v>
      </c>
      <c r="K275" s="291" t="str">
        <f t="shared" si="110"/>
        <v>---</v>
      </c>
      <c r="L275" s="291" t="str">
        <f t="shared" si="111"/>
        <v>---</v>
      </c>
      <c r="M275" s="294" t="str">
        <f t="shared" si="112"/>
        <v>---</v>
      </c>
      <c r="P275" s="22"/>
      <c r="Q275" s="22"/>
      <c r="R275" s="22"/>
      <c r="S275" s="22"/>
      <c r="T275" s="22"/>
    </row>
    <row r="276" spans="1:20">
      <c r="A276" s="438" t="str">
        <f t="shared" ref="A276:B276" si="118">A216</f>
        <v>---</v>
      </c>
      <c r="B276" s="294" t="str">
        <f t="shared" si="118"/>
        <v>---</v>
      </c>
      <c r="C276" s="294" t="str">
        <f>IF(A276="---","---",INPUT!C149)</f>
        <v>---</v>
      </c>
      <c r="D276" s="294" t="str">
        <f t="shared" si="62"/>
        <v>---</v>
      </c>
      <c r="E276" s="294" t="str">
        <f t="shared" si="104"/>
        <v>---</v>
      </c>
      <c r="F276" s="294" t="str">
        <f t="shared" si="105"/>
        <v>---</v>
      </c>
      <c r="G276" s="294" t="str">
        <f t="shared" si="106"/>
        <v>---</v>
      </c>
      <c r="H276" s="294" t="str">
        <f t="shared" si="107"/>
        <v>---</v>
      </c>
      <c r="I276" s="294" t="str">
        <f t="shared" si="108"/>
        <v>---</v>
      </c>
      <c r="J276" s="291" t="str">
        <f t="shared" si="109"/>
        <v>---</v>
      </c>
      <c r="K276" s="291" t="str">
        <f t="shared" si="110"/>
        <v>---</v>
      </c>
      <c r="L276" s="291" t="str">
        <f t="shared" si="111"/>
        <v>---</v>
      </c>
      <c r="M276" s="294" t="str">
        <f t="shared" si="112"/>
        <v>---</v>
      </c>
      <c r="P276" s="22"/>
      <c r="Q276" s="22"/>
      <c r="R276" s="22"/>
      <c r="S276" s="22"/>
      <c r="T276" s="22"/>
    </row>
    <row r="277" spans="1:20">
      <c r="A277" s="438" t="str">
        <f t="shared" ref="A277:B277" si="119">A217</f>
        <v>---</v>
      </c>
      <c r="B277" s="294" t="str">
        <f t="shared" si="119"/>
        <v>---</v>
      </c>
      <c r="C277" s="294" t="str">
        <f>IF(A277="---","---",INPUT!C150)</f>
        <v>---</v>
      </c>
      <c r="D277" s="294" t="str">
        <f t="shared" si="62"/>
        <v>---</v>
      </c>
      <c r="E277" s="294" t="str">
        <f t="shared" si="104"/>
        <v>---</v>
      </c>
      <c r="F277" s="294" t="str">
        <f t="shared" si="105"/>
        <v>---</v>
      </c>
      <c r="G277" s="294" t="str">
        <f t="shared" si="106"/>
        <v>---</v>
      </c>
      <c r="H277" s="294" t="str">
        <f t="shared" si="107"/>
        <v>---</v>
      </c>
      <c r="I277" s="294" t="str">
        <f t="shared" si="108"/>
        <v>---</v>
      </c>
      <c r="J277" s="291" t="str">
        <f t="shared" si="109"/>
        <v>---</v>
      </c>
      <c r="K277" s="291" t="str">
        <f t="shared" si="110"/>
        <v>---</v>
      </c>
      <c r="L277" s="291" t="str">
        <f t="shared" si="111"/>
        <v>---</v>
      </c>
      <c r="M277" s="294" t="str">
        <f t="shared" si="112"/>
        <v>---</v>
      </c>
      <c r="P277" s="22"/>
      <c r="Q277" s="22"/>
      <c r="R277" s="22"/>
      <c r="S277" s="22"/>
      <c r="T277" s="22"/>
    </row>
    <row r="278" spans="1:20">
      <c r="A278" s="438" t="str">
        <f t="shared" ref="A278:B278" si="120">A218</f>
        <v>---</v>
      </c>
      <c r="B278" s="294" t="str">
        <f t="shared" si="120"/>
        <v>---</v>
      </c>
      <c r="C278" s="294" t="str">
        <f>IF(A278="---","---",INPUT!C151)</f>
        <v>---</v>
      </c>
      <c r="D278" s="294" t="str">
        <f t="shared" si="62"/>
        <v>---</v>
      </c>
      <c r="E278" s="294" t="str">
        <f t="shared" si="104"/>
        <v>---</v>
      </c>
      <c r="F278" s="294" t="str">
        <f t="shared" si="105"/>
        <v>---</v>
      </c>
      <c r="G278" s="294" t="str">
        <f t="shared" si="106"/>
        <v>---</v>
      </c>
      <c r="H278" s="294" t="str">
        <f t="shared" si="107"/>
        <v>---</v>
      </c>
      <c r="I278" s="294" t="str">
        <f t="shared" si="108"/>
        <v>---</v>
      </c>
      <c r="J278" s="291" t="str">
        <f t="shared" si="109"/>
        <v>---</v>
      </c>
      <c r="K278" s="291" t="str">
        <f t="shared" si="110"/>
        <v>---</v>
      </c>
      <c r="L278" s="291" t="str">
        <f t="shared" si="111"/>
        <v>---</v>
      </c>
      <c r="M278" s="294" t="str">
        <f t="shared" si="112"/>
        <v>---</v>
      </c>
      <c r="P278" s="22"/>
      <c r="Q278" s="22"/>
      <c r="R278" s="22"/>
      <c r="S278" s="22"/>
      <c r="T278" s="22"/>
    </row>
    <row r="279" spans="1:20">
      <c r="A279" s="438" t="str">
        <f t="shared" ref="A279:B279" si="121">A219</f>
        <v>---</v>
      </c>
      <c r="B279" s="294" t="str">
        <f t="shared" si="121"/>
        <v>---</v>
      </c>
      <c r="C279" s="294" t="str">
        <f>IF(A279="---","---",INPUT!C152)</f>
        <v>---</v>
      </c>
      <c r="D279" s="294" t="str">
        <f t="shared" si="62"/>
        <v>---</v>
      </c>
      <c r="E279" s="294" t="str">
        <f t="shared" si="104"/>
        <v>---</v>
      </c>
      <c r="F279" s="294" t="str">
        <f t="shared" si="105"/>
        <v>---</v>
      </c>
      <c r="G279" s="294" t="str">
        <f t="shared" si="106"/>
        <v>---</v>
      </c>
      <c r="H279" s="294" t="str">
        <f t="shared" si="107"/>
        <v>---</v>
      </c>
      <c r="I279" s="294" t="str">
        <f t="shared" si="108"/>
        <v>---</v>
      </c>
      <c r="J279" s="291" t="str">
        <f t="shared" si="109"/>
        <v>---</v>
      </c>
      <c r="K279" s="291" t="str">
        <f t="shared" si="110"/>
        <v>---</v>
      </c>
      <c r="L279" s="291" t="str">
        <f t="shared" si="111"/>
        <v>---</v>
      </c>
      <c r="M279" s="294" t="str">
        <f t="shared" si="112"/>
        <v>---</v>
      </c>
      <c r="P279" s="22"/>
      <c r="Q279" s="22"/>
      <c r="R279" s="22"/>
      <c r="S279" s="22"/>
      <c r="T279" s="22"/>
    </row>
    <row r="280" spans="1:20">
      <c r="A280" s="438" t="str">
        <f t="shared" ref="A280:B280" si="122">A220</f>
        <v>---</v>
      </c>
      <c r="B280" s="294" t="str">
        <f t="shared" si="122"/>
        <v>---</v>
      </c>
      <c r="C280" s="294" t="str">
        <f>IF(A280="---","---",INPUT!C153)</f>
        <v>---</v>
      </c>
      <c r="D280" s="294" t="str">
        <f t="shared" si="62"/>
        <v>---</v>
      </c>
      <c r="E280" s="294" t="str">
        <f t="shared" si="104"/>
        <v>---</v>
      </c>
      <c r="F280" s="294" t="str">
        <f t="shared" si="105"/>
        <v>---</v>
      </c>
      <c r="G280" s="294" t="str">
        <f t="shared" si="106"/>
        <v>---</v>
      </c>
      <c r="H280" s="294" t="str">
        <f t="shared" si="107"/>
        <v>---</v>
      </c>
      <c r="I280" s="294" t="str">
        <f t="shared" si="108"/>
        <v>---</v>
      </c>
      <c r="J280" s="291" t="str">
        <f t="shared" si="109"/>
        <v>---</v>
      </c>
      <c r="K280" s="291" t="str">
        <f t="shared" si="110"/>
        <v>---</v>
      </c>
      <c r="L280" s="291" t="str">
        <f t="shared" si="111"/>
        <v>---</v>
      </c>
      <c r="M280" s="294" t="str">
        <f t="shared" si="112"/>
        <v>---</v>
      </c>
      <c r="P280" s="22"/>
      <c r="Q280" s="22"/>
      <c r="R280" s="22"/>
      <c r="S280" s="22"/>
      <c r="T280" s="22"/>
    </row>
    <row r="281" spans="1:20">
      <c r="A281" s="438" t="str">
        <f t="shared" ref="A281:B281" si="123">A221</f>
        <v>---</v>
      </c>
      <c r="B281" s="294" t="str">
        <f t="shared" si="123"/>
        <v>---</v>
      </c>
      <c r="C281" s="294" t="str">
        <f>IF(A281="---","---",INPUT!C154)</f>
        <v>---</v>
      </c>
      <c r="D281" s="294" t="str">
        <f t="shared" si="62"/>
        <v>---</v>
      </c>
      <c r="E281" s="294" t="str">
        <f t="shared" si="104"/>
        <v>---</v>
      </c>
      <c r="F281" s="294" t="str">
        <f t="shared" si="105"/>
        <v>---</v>
      </c>
      <c r="G281" s="294" t="str">
        <f t="shared" si="106"/>
        <v>---</v>
      </c>
      <c r="H281" s="294" t="str">
        <f t="shared" si="107"/>
        <v>---</v>
      </c>
      <c r="I281" s="294" t="str">
        <f t="shared" si="108"/>
        <v>---</v>
      </c>
      <c r="J281" s="291" t="str">
        <f t="shared" si="109"/>
        <v>---</v>
      </c>
      <c r="K281" s="291" t="str">
        <f t="shared" si="110"/>
        <v>---</v>
      </c>
      <c r="L281" s="291" t="str">
        <f t="shared" si="111"/>
        <v>---</v>
      </c>
      <c r="M281" s="294" t="str">
        <f t="shared" si="112"/>
        <v>---</v>
      </c>
      <c r="P281" s="22"/>
      <c r="Q281" s="22"/>
      <c r="R281" s="22"/>
      <c r="S281" s="22"/>
      <c r="T281" s="22"/>
    </row>
    <row r="282" spans="1:20">
      <c r="A282" s="438" t="str">
        <f t="shared" ref="A282:B282" si="124">A222</f>
        <v>---</v>
      </c>
      <c r="B282" s="294" t="str">
        <f t="shared" si="124"/>
        <v>---</v>
      </c>
      <c r="C282" s="294" t="str">
        <f>IF(A282="---","---",INPUT!C155)</f>
        <v>---</v>
      </c>
      <c r="D282" s="294" t="str">
        <f t="shared" si="62"/>
        <v>---</v>
      </c>
      <c r="E282" s="294" t="str">
        <f t="shared" si="104"/>
        <v>---</v>
      </c>
      <c r="F282" s="294" t="str">
        <f t="shared" si="105"/>
        <v>---</v>
      </c>
      <c r="G282" s="294" t="str">
        <f t="shared" si="106"/>
        <v>---</v>
      </c>
      <c r="H282" s="294" t="str">
        <f t="shared" si="107"/>
        <v>---</v>
      </c>
      <c r="I282" s="294" t="str">
        <f t="shared" si="108"/>
        <v>---</v>
      </c>
      <c r="J282" s="291" t="str">
        <f t="shared" si="109"/>
        <v>---</v>
      </c>
      <c r="K282" s="291" t="str">
        <f t="shared" si="110"/>
        <v>---</v>
      </c>
      <c r="L282" s="291" t="str">
        <f t="shared" si="111"/>
        <v>---</v>
      </c>
      <c r="M282" s="294" t="str">
        <f t="shared" si="112"/>
        <v>---</v>
      </c>
      <c r="P282" s="22"/>
      <c r="Q282" s="22"/>
      <c r="R282" s="22"/>
      <c r="S282" s="22"/>
      <c r="T282" s="22"/>
    </row>
    <row r="283" spans="1:20">
      <c r="A283" s="438" t="str">
        <f t="shared" ref="A283:B283" si="125">A223</f>
        <v>---</v>
      </c>
      <c r="B283" s="294" t="str">
        <f t="shared" si="125"/>
        <v>---</v>
      </c>
      <c r="C283" s="294" t="str">
        <f>IF(A283="---","---",INPUT!C156)</f>
        <v>---</v>
      </c>
      <c r="D283" s="294" t="str">
        <f t="shared" si="62"/>
        <v>---</v>
      </c>
      <c r="E283" s="294" t="str">
        <f t="shared" si="104"/>
        <v>---</v>
      </c>
      <c r="F283" s="294" t="str">
        <f t="shared" si="105"/>
        <v>---</v>
      </c>
      <c r="G283" s="294" t="str">
        <f t="shared" si="106"/>
        <v>---</v>
      </c>
      <c r="H283" s="294" t="str">
        <f t="shared" si="107"/>
        <v>---</v>
      </c>
      <c r="I283" s="294" t="str">
        <f t="shared" si="108"/>
        <v>---</v>
      </c>
      <c r="J283" s="291" t="str">
        <f t="shared" si="109"/>
        <v>---</v>
      </c>
      <c r="K283" s="291" t="str">
        <f t="shared" si="110"/>
        <v>---</v>
      </c>
      <c r="L283" s="291" t="str">
        <f t="shared" si="111"/>
        <v>---</v>
      </c>
      <c r="M283" s="294" t="str">
        <f t="shared" si="112"/>
        <v>---</v>
      </c>
      <c r="P283" s="22"/>
      <c r="Q283" s="22"/>
      <c r="R283" s="22"/>
      <c r="S283" s="22"/>
      <c r="T283" s="22"/>
    </row>
    <row r="284" spans="1:20">
      <c r="A284" s="438" t="str">
        <f t="shared" ref="A284:B284" si="126">A224</f>
        <v>---</v>
      </c>
      <c r="B284" s="294" t="str">
        <f t="shared" si="126"/>
        <v>---</v>
      </c>
      <c r="C284" s="294" t="str">
        <f>IF(A284="---","---",INPUT!C157)</f>
        <v>---</v>
      </c>
      <c r="D284" s="294" t="str">
        <f t="shared" si="62"/>
        <v>---</v>
      </c>
      <c r="E284" s="294" t="str">
        <f t="shared" si="104"/>
        <v>---</v>
      </c>
      <c r="F284" s="294" t="str">
        <f t="shared" si="105"/>
        <v>---</v>
      </c>
      <c r="G284" s="294" t="str">
        <f t="shared" si="106"/>
        <v>---</v>
      </c>
      <c r="H284" s="294" t="str">
        <f t="shared" si="107"/>
        <v>---</v>
      </c>
      <c r="I284" s="294" t="str">
        <f t="shared" si="108"/>
        <v>---</v>
      </c>
      <c r="J284" s="291" t="str">
        <f t="shared" si="109"/>
        <v>---</v>
      </c>
      <c r="K284" s="291" t="str">
        <f t="shared" si="110"/>
        <v>---</v>
      </c>
      <c r="L284" s="291" t="str">
        <f t="shared" si="111"/>
        <v>---</v>
      </c>
      <c r="M284" s="294" t="str">
        <f t="shared" si="112"/>
        <v>---</v>
      </c>
    </row>
    <row r="285" spans="1:20">
      <c r="A285" s="438" t="str">
        <f t="shared" ref="A285:B285" si="127">A225</f>
        <v>---</v>
      </c>
      <c r="B285" s="294" t="str">
        <f t="shared" si="127"/>
        <v>---</v>
      </c>
      <c r="C285" s="294" t="str">
        <f>IF(A285="---","---",INPUT!C158)</f>
        <v>---</v>
      </c>
      <c r="D285" s="294" t="str">
        <f t="shared" si="62"/>
        <v>---</v>
      </c>
      <c r="E285" s="294" t="str">
        <f t="shared" si="104"/>
        <v>---</v>
      </c>
      <c r="F285" s="294" t="str">
        <f t="shared" si="105"/>
        <v>---</v>
      </c>
      <c r="G285" s="294" t="str">
        <f t="shared" si="106"/>
        <v>---</v>
      </c>
      <c r="H285" s="294" t="str">
        <f t="shared" si="107"/>
        <v>---</v>
      </c>
      <c r="I285" s="294" t="str">
        <f t="shared" si="108"/>
        <v>---</v>
      </c>
      <c r="J285" s="291" t="str">
        <f t="shared" si="109"/>
        <v>---</v>
      </c>
      <c r="K285" s="291" t="str">
        <f t="shared" si="110"/>
        <v>---</v>
      </c>
      <c r="L285" s="291" t="str">
        <f t="shared" si="111"/>
        <v>---</v>
      </c>
      <c r="M285" s="294" t="str">
        <f t="shared" si="112"/>
        <v>---</v>
      </c>
    </row>
    <row r="286" spans="1:20">
      <c r="A286" s="438" t="str">
        <f t="shared" ref="A286:B286" si="128">A226</f>
        <v>---</v>
      </c>
      <c r="B286" s="294" t="str">
        <f t="shared" si="128"/>
        <v>---</v>
      </c>
      <c r="C286" s="294" t="str">
        <f>IF(A286="---","---",INPUT!C159)</f>
        <v>---</v>
      </c>
      <c r="D286" s="294" t="str">
        <f t="shared" si="62"/>
        <v>---</v>
      </c>
      <c r="E286" s="294" t="str">
        <f t="shared" si="104"/>
        <v>---</v>
      </c>
      <c r="F286" s="294" t="str">
        <f t="shared" si="105"/>
        <v>---</v>
      </c>
      <c r="G286" s="294" t="str">
        <f t="shared" si="106"/>
        <v>---</v>
      </c>
      <c r="H286" s="294" t="str">
        <f t="shared" si="107"/>
        <v>---</v>
      </c>
      <c r="I286" s="294" t="str">
        <f t="shared" si="108"/>
        <v>---</v>
      </c>
      <c r="J286" s="291" t="str">
        <f t="shared" si="109"/>
        <v>---</v>
      </c>
      <c r="K286" s="291" t="str">
        <f t="shared" si="110"/>
        <v>---</v>
      </c>
      <c r="L286" s="291" t="str">
        <f t="shared" si="111"/>
        <v>---</v>
      </c>
      <c r="M286" s="294" t="str">
        <f t="shared" si="112"/>
        <v>---</v>
      </c>
    </row>
    <row r="287" spans="1:20">
      <c r="A287" s="438" t="str">
        <f t="shared" ref="A287:B287" si="129">A227</f>
        <v>---</v>
      </c>
      <c r="B287" s="294" t="str">
        <f t="shared" si="129"/>
        <v>---</v>
      </c>
      <c r="C287" s="294" t="str">
        <f>IF(A287="---","---",INPUT!C160)</f>
        <v>---</v>
      </c>
      <c r="D287" s="294" t="str">
        <f t="shared" si="62"/>
        <v>---</v>
      </c>
      <c r="E287" s="294" t="str">
        <f t="shared" si="104"/>
        <v>---</v>
      </c>
      <c r="F287" s="294" t="str">
        <f t="shared" si="105"/>
        <v>---</v>
      </c>
      <c r="G287" s="294" t="str">
        <f t="shared" si="106"/>
        <v>---</v>
      </c>
      <c r="H287" s="294" t="str">
        <f t="shared" si="107"/>
        <v>---</v>
      </c>
      <c r="I287" s="294" t="str">
        <f t="shared" si="108"/>
        <v>---</v>
      </c>
      <c r="J287" s="291" t="str">
        <f t="shared" si="109"/>
        <v>---</v>
      </c>
      <c r="K287" s="291" t="str">
        <f t="shared" si="110"/>
        <v>---</v>
      </c>
      <c r="L287" s="291" t="str">
        <f t="shared" si="111"/>
        <v>---</v>
      </c>
      <c r="M287" s="294" t="str">
        <f t="shared" si="112"/>
        <v>---</v>
      </c>
    </row>
    <row r="288" spans="1:20">
      <c r="A288" s="234"/>
      <c r="B288" s="234"/>
      <c r="C288" s="7"/>
      <c r="D288" s="7"/>
      <c r="E288" s="234"/>
      <c r="F288" s="234"/>
      <c r="G288" s="478"/>
      <c r="H288" s="234"/>
      <c r="I288" s="9"/>
      <c r="J288" s="234"/>
      <c r="K288" s="234"/>
      <c r="L288" s="234"/>
      <c r="M288" s="234"/>
      <c r="N288" s="7"/>
      <c r="O288" s="234"/>
    </row>
    <row r="289" spans="1:18">
      <c r="A289" s="35"/>
      <c r="B289" s="234"/>
      <c r="C289" s="234"/>
      <c r="D289" s="234"/>
      <c r="E289" s="234"/>
      <c r="F289" s="234"/>
      <c r="G289" s="234"/>
      <c r="H289" s="234"/>
      <c r="I289" s="234"/>
      <c r="J289" s="234"/>
      <c r="K289" s="234"/>
      <c r="L289" s="234"/>
      <c r="M289" s="234"/>
      <c r="N289" s="7"/>
      <c r="O289" s="234"/>
      <c r="P289" s="234"/>
      <c r="Q289" s="234"/>
      <c r="R289" s="7"/>
    </row>
    <row r="290" spans="1:18">
      <c r="A290" s="12" t="s">
        <v>563</v>
      </c>
      <c r="B290" s="234"/>
      <c r="C290" s="234"/>
      <c r="D290" s="234"/>
      <c r="E290" s="234"/>
      <c r="F290" s="234"/>
      <c r="G290" s="234"/>
      <c r="H290" s="234"/>
      <c r="I290" s="234"/>
      <c r="J290" s="234"/>
      <c r="K290" s="234"/>
      <c r="L290" s="234"/>
      <c r="M290" s="234"/>
      <c r="N290" s="7"/>
      <c r="O290" s="234"/>
      <c r="P290" s="234"/>
      <c r="Q290" s="234"/>
      <c r="R290" s="7"/>
    </row>
    <row r="291" spans="1:18">
      <c r="A291" s="35"/>
      <c r="B291" s="234"/>
      <c r="C291" s="234"/>
      <c r="D291" s="234"/>
      <c r="E291" s="234"/>
      <c r="F291" s="612" t="s">
        <v>495</v>
      </c>
      <c r="G291" s="613"/>
      <c r="H291" s="613"/>
      <c r="I291" s="612" t="s">
        <v>486</v>
      </c>
      <c r="J291" s="613"/>
      <c r="K291" s="613"/>
      <c r="L291" s="613"/>
      <c r="M291" s="613"/>
      <c r="N291" s="613"/>
    </row>
    <row r="292" spans="1:18" ht="15.75">
      <c r="A292" s="182"/>
      <c r="C292" s="612" t="s">
        <v>494</v>
      </c>
      <c r="D292" s="613"/>
      <c r="E292" s="613"/>
      <c r="F292" s="643" t="s">
        <v>558</v>
      </c>
      <c r="G292" s="644"/>
      <c r="H292" s="645"/>
      <c r="I292" s="614" t="s">
        <v>496</v>
      </c>
      <c r="J292" s="615"/>
      <c r="K292" s="615"/>
      <c r="L292" s="615" t="s">
        <v>497</v>
      </c>
      <c r="M292" s="630"/>
      <c r="N292" s="630"/>
    </row>
    <row r="293" spans="1:18" ht="15.75">
      <c r="A293" s="234" t="s">
        <v>34</v>
      </c>
      <c r="B293" s="234" t="s">
        <v>35</v>
      </c>
      <c r="C293" s="236" t="s">
        <v>298</v>
      </c>
      <c r="D293" s="230" t="s">
        <v>54</v>
      </c>
      <c r="E293" s="230" t="s">
        <v>30</v>
      </c>
      <c r="F293" s="236" t="s">
        <v>297</v>
      </c>
      <c r="G293" s="230" t="s">
        <v>54</v>
      </c>
      <c r="H293" s="615" t="s">
        <v>30</v>
      </c>
      <c r="I293" s="239" t="s">
        <v>501</v>
      </c>
      <c r="J293" s="230" t="s">
        <v>559</v>
      </c>
      <c r="K293" s="230" t="s">
        <v>30</v>
      </c>
      <c r="L293" s="230" t="s">
        <v>502</v>
      </c>
      <c r="M293" s="230" t="s">
        <v>560</v>
      </c>
      <c r="N293" s="230" t="s">
        <v>30</v>
      </c>
    </row>
    <row r="294" spans="1:18" ht="15.75">
      <c r="A294" s="229" t="s">
        <v>352</v>
      </c>
      <c r="B294" s="234" t="s">
        <v>42</v>
      </c>
      <c r="C294" s="61" t="s">
        <v>154</v>
      </c>
      <c r="D294" s="230" t="s">
        <v>154</v>
      </c>
      <c r="E294" s="237" t="s">
        <v>298</v>
      </c>
      <c r="F294" s="61" t="s">
        <v>154</v>
      </c>
      <c r="G294" s="230" t="s">
        <v>154</v>
      </c>
      <c r="H294" s="615"/>
      <c r="I294" s="239" t="s">
        <v>154</v>
      </c>
      <c r="J294" s="230" t="s">
        <v>154</v>
      </c>
      <c r="K294" s="230" t="s">
        <v>501</v>
      </c>
      <c r="L294" s="230" t="s">
        <v>154</v>
      </c>
      <c r="M294" s="230" t="s">
        <v>154</v>
      </c>
      <c r="N294" s="230" t="s">
        <v>502</v>
      </c>
    </row>
    <row r="295" spans="1:18">
      <c r="A295" s="438">
        <f>A238</f>
        <v>1</v>
      </c>
      <c r="B295" s="294">
        <f>B238</f>
        <v>1.5</v>
      </c>
      <c r="C295" s="294">
        <f>M178</f>
        <v>1.5249193548387101</v>
      </c>
      <c r="D295" s="294">
        <f t="shared" ref="D295:D326" si="130">J238</f>
        <v>1.0390650945074578</v>
      </c>
      <c r="E295" s="291" t="str">
        <f t="shared" ref="E295" si="131">IF($A238="---","---",IF(C295&gt;=D295,"OK","NG!"))</f>
        <v>OK</v>
      </c>
      <c r="F295" s="294">
        <f t="shared" ref="F295" si="132">IF(Type_Reinf="g",O178,P178)</f>
        <v>5</v>
      </c>
      <c r="G295" s="294">
        <f t="shared" ref="G295:G326" si="133">J238</f>
        <v>1.0390650945074578</v>
      </c>
      <c r="H295" s="291" t="str">
        <f t="shared" ref="H295" si="134">IF($A238="---","---",IF(F295&gt;=G295,"OK","NG!"))</f>
        <v>OK</v>
      </c>
      <c r="I295" s="294" t="str">
        <f t="shared" ref="I295" si="135">Q178</f>
        <v>---</v>
      </c>
      <c r="J295" s="294" t="str">
        <f t="shared" ref="J295:J326" si="136">K238</f>
        <v>---</v>
      </c>
      <c r="K295" s="291" t="str">
        <f t="shared" ref="K295" si="137">IF($A238="---","---",IF(I295&gt;=J295,"OK","NG!"))</f>
        <v>OK</v>
      </c>
      <c r="L295" s="294" t="str">
        <f t="shared" ref="L295" si="138">R178</f>
        <v>---</v>
      </c>
      <c r="M295" s="294" t="str">
        <f t="shared" ref="M295:M326" si="139">L238</f>
        <v>---</v>
      </c>
      <c r="N295" s="291" t="str">
        <f t="shared" ref="N295" si="140">IF($A238="---","---",IF(L295&gt;=M295,"OK","NG!"))</f>
        <v>OK</v>
      </c>
    </row>
    <row r="296" spans="1:18">
      <c r="A296" s="438">
        <f t="shared" ref="A296:B296" si="141">A239</f>
        <v>2</v>
      </c>
      <c r="B296" s="294">
        <f t="shared" si="141"/>
        <v>4</v>
      </c>
      <c r="C296" s="294">
        <f t="shared" ref="C296:C344" si="142">M179</f>
        <v>1.5249193548387101</v>
      </c>
      <c r="D296" s="294">
        <f t="shared" si="130"/>
        <v>1.0721644887667179</v>
      </c>
      <c r="E296" s="291" t="str">
        <f t="shared" ref="E296:E344" si="143">IF($A239="---","---",IF(C296&gt;=D296,"OK","NG!"))</f>
        <v>OK</v>
      </c>
      <c r="F296" s="294">
        <f t="shared" ref="F296:F344" si="144">IF(Type_Reinf="g",O179,P179)</f>
        <v>5</v>
      </c>
      <c r="G296" s="294">
        <f t="shared" si="133"/>
        <v>1.0721644887667179</v>
      </c>
      <c r="H296" s="291" t="str">
        <f t="shared" ref="H296:H344" si="145">IF($A239="---","---",IF(F296&gt;=G296,"OK","NG!"))</f>
        <v>OK</v>
      </c>
      <c r="I296" s="294" t="str">
        <f t="shared" ref="I296:I344" si="146">Q179</f>
        <v>---</v>
      </c>
      <c r="J296" s="294" t="str">
        <f t="shared" si="136"/>
        <v>---</v>
      </c>
      <c r="K296" s="291" t="str">
        <f t="shared" ref="K296:K344" si="147">IF($A239="---","---",IF(I296&gt;=J296,"OK","NG!"))</f>
        <v>OK</v>
      </c>
      <c r="L296" s="294" t="str">
        <f t="shared" ref="L296:L344" si="148">R179</f>
        <v>---</v>
      </c>
      <c r="M296" s="294" t="str">
        <f t="shared" si="139"/>
        <v>---</v>
      </c>
      <c r="N296" s="291" t="str">
        <f t="shared" ref="N296:N344" si="149">IF($A239="---","---",IF(L296&gt;=M296,"OK","NG!"))</f>
        <v>OK</v>
      </c>
    </row>
    <row r="297" spans="1:18">
      <c r="A297" s="438">
        <f t="shared" ref="A297:B297" si="150">A240</f>
        <v>3</v>
      </c>
      <c r="B297" s="294">
        <f t="shared" si="150"/>
        <v>6.5</v>
      </c>
      <c r="C297" s="294">
        <f t="shared" si="142"/>
        <v>1.5249193548387101</v>
      </c>
      <c r="D297" s="294">
        <f t="shared" si="130"/>
        <v>1.2154468725400027</v>
      </c>
      <c r="E297" s="291" t="str">
        <f t="shared" si="143"/>
        <v>OK</v>
      </c>
      <c r="F297" s="294">
        <f t="shared" si="144"/>
        <v>5</v>
      </c>
      <c r="G297" s="294">
        <f t="shared" si="133"/>
        <v>1.2154468725400027</v>
      </c>
      <c r="H297" s="291" t="str">
        <f t="shared" si="145"/>
        <v>OK</v>
      </c>
      <c r="I297" s="294" t="str">
        <f t="shared" si="146"/>
        <v>---</v>
      </c>
      <c r="J297" s="294" t="str">
        <f t="shared" si="136"/>
        <v>---</v>
      </c>
      <c r="K297" s="291" t="str">
        <f t="shared" si="147"/>
        <v>OK</v>
      </c>
      <c r="L297" s="294" t="str">
        <f t="shared" si="148"/>
        <v>---</v>
      </c>
      <c r="M297" s="294" t="str">
        <f t="shared" si="139"/>
        <v>---</v>
      </c>
      <c r="N297" s="291" t="str">
        <f t="shared" si="149"/>
        <v>OK</v>
      </c>
    </row>
    <row r="298" spans="1:18">
      <c r="A298" s="438">
        <f t="shared" ref="A298:B298" si="151">A241</f>
        <v>4</v>
      </c>
      <c r="B298" s="294">
        <f t="shared" si="151"/>
        <v>9</v>
      </c>
      <c r="C298" s="294">
        <f t="shared" si="142"/>
        <v>1.5249193548387101</v>
      </c>
      <c r="D298" s="294">
        <f t="shared" si="130"/>
        <v>1.3522314502736477</v>
      </c>
      <c r="E298" s="291" t="str">
        <f t="shared" si="143"/>
        <v>OK</v>
      </c>
      <c r="F298" s="294">
        <f t="shared" si="144"/>
        <v>5</v>
      </c>
      <c r="G298" s="294">
        <f t="shared" si="133"/>
        <v>1.3522314502736477</v>
      </c>
      <c r="H298" s="291" t="str">
        <f t="shared" si="145"/>
        <v>OK</v>
      </c>
      <c r="I298" s="294" t="str">
        <f t="shared" si="146"/>
        <v>---</v>
      </c>
      <c r="J298" s="294" t="str">
        <f t="shared" si="136"/>
        <v>---</v>
      </c>
      <c r="K298" s="291" t="str">
        <f t="shared" si="147"/>
        <v>OK</v>
      </c>
      <c r="L298" s="294" t="str">
        <f t="shared" si="148"/>
        <v>---</v>
      </c>
      <c r="M298" s="294" t="str">
        <f t="shared" si="139"/>
        <v>---</v>
      </c>
      <c r="N298" s="291" t="str">
        <f t="shared" si="149"/>
        <v>OK</v>
      </c>
    </row>
    <row r="299" spans="1:18">
      <c r="A299" s="438">
        <f t="shared" ref="A299:B299" si="152">A242</f>
        <v>5</v>
      </c>
      <c r="B299" s="294">
        <f t="shared" si="152"/>
        <v>11.5</v>
      </c>
      <c r="C299" s="294">
        <f t="shared" si="142"/>
        <v>1.5249193548387101</v>
      </c>
      <c r="D299" s="294">
        <f t="shared" si="130"/>
        <v>1.4786448944040482</v>
      </c>
      <c r="E299" s="291" t="str">
        <f t="shared" si="143"/>
        <v>OK</v>
      </c>
      <c r="F299" s="294">
        <f t="shared" si="144"/>
        <v>5</v>
      </c>
      <c r="G299" s="294">
        <f t="shared" si="133"/>
        <v>1.4786448944040482</v>
      </c>
      <c r="H299" s="291" t="str">
        <f t="shared" si="145"/>
        <v>OK</v>
      </c>
      <c r="I299" s="294" t="str">
        <f t="shared" si="146"/>
        <v>---</v>
      </c>
      <c r="J299" s="294" t="str">
        <f t="shared" si="136"/>
        <v>---</v>
      </c>
      <c r="K299" s="291" t="str">
        <f t="shared" si="147"/>
        <v>OK</v>
      </c>
      <c r="L299" s="294" t="str">
        <f t="shared" si="148"/>
        <v>---</v>
      </c>
      <c r="M299" s="294" t="str">
        <f t="shared" si="139"/>
        <v>---</v>
      </c>
      <c r="N299" s="291" t="str">
        <f t="shared" si="149"/>
        <v>OK</v>
      </c>
    </row>
    <row r="300" spans="1:18">
      <c r="A300" s="438">
        <f t="shared" ref="A300:B300" si="153">A243</f>
        <v>6</v>
      </c>
      <c r="B300" s="294">
        <f t="shared" si="153"/>
        <v>14</v>
      </c>
      <c r="C300" s="294">
        <f t="shared" si="142"/>
        <v>1.5249193548387101</v>
      </c>
      <c r="D300" s="294">
        <f t="shared" si="130"/>
        <v>2.0509995630974829</v>
      </c>
      <c r="E300" s="291" t="str">
        <f t="shared" si="143"/>
        <v>NG!</v>
      </c>
      <c r="F300" s="294">
        <f t="shared" si="144"/>
        <v>5</v>
      </c>
      <c r="G300" s="294">
        <f t="shared" si="133"/>
        <v>2.0509995630974829</v>
      </c>
      <c r="H300" s="291" t="str">
        <f t="shared" si="145"/>
        <v>OK</v>
      </c>
      <c r="I300" s="294" t="str">
        <f t="shared" si="146"/>
        <v>---</v>
      </c>
      <c r="J300" s="294" t="str">
        <f t="shared" si="136"/>
        <v>---</v>
      </c>
      <c r="K300" s="291" t="str">
        <f t="shared" si="147"/>
        <v>OK</v>
      </c>
      <c r="L300" s="294" t="str">
        <f t="shared" si="148"/>
        <v>---</v>
      </c>
      <c r="M300" s="294" t="str">
        <f t="shared" si="139"/>
        <v>---</v>
      </c>
      <c r="N300" s="291" t="str">
        <f t="shared" si="149"/>
        <v>OK</v>
      </c>
    </row>
    <row r="301" spans="1:18">
      <c r="A301" s="438" t="str">
        <f t="shared" ref="A301:B301" si="154">A244</f>
        <v>---</v>
      </c>
      <c r="B301" s="294" t="str">
        <f t="shared" si="154"/>
        <v>---</v>
      </c>
      <c r="C301" s="294" t="str">
        <f t="shared" si="142"/>
        <v>---</v>
      </c>
      <c r="D301" s="294" t="str">
        <f t="shared" si="130"/>
        <v>---</v>
      </c>
      <c r="E301" s="291" t="str">
        <f t="shared" si="143"/>
        <v>---</v>
      </c>
      <c r="F301" s="294" t="str">
        <f t="shared" si="144"/>
        <v>---</v>
      </c>
      <c r="G301" s="294" t="str">
        <f t="shared" si="133"/>
        <v>---</v>
      </c>
      <c r="H301" s="291" t="str">
        <f t="shared" si="145"/>
        <v>---</v>
      </c>
      <c r="I301" s="294" t="str">
        <f t="shared" si="146"/>
        <v>---</v>
      </c>
      <c r="J301" s="294" t="str">
        <f t="shared" si="136"/>
        <v>---</v>
      </c>
      <c r="K301" s="291" t="str">
        <f t="shared" si="147"/>
        <v>---</v>
      </c>
      <c r="L301" s="294" t="str">
        <f t="shared" si="148"/>
        <v>---</v>
      </c>
      <c r="M301" s="294" t="str">
        <f t="shared" si="139"/>
        <v>---</v>
      </c>
      <c r="N301" s="291" t="str">
        <f t="shared" si="149"/>
        <v>---</v>
      </c>
    </row>
    <row r="302" spans="1:18">
      <c r="A302" s="438" t="str">
        <f t="shared" ref="A302:B302" si="155">A245</f>
        <v>---</v>
      </c>
      <c r="B302" s="294" t="str">
        <f t="shared" si="155"/>
        <v>---</v>
      </c>
      <c r="C302" s="294" t="str">
        <f t="shared" si="142"/>
        <v>---</v>
      </c>
      <c r="D302" s="294" t="str">
        <f t="shared" si="130"/>
        <v>---</v>
      </c>
      <c r="E302" s="291" t="str">
        <f t="shared" si="143"/>
        <v>---</v>
      </c>
      <c r="F302" s="294" t="str">
        <f t="shared" si="144"/>
        <v>---</v>
      </c>
      <c r="G302" s="294" t="str">
        <f t="shared" si="133"/>
        <v>---</v>
      </c>
      <c r="H302" s="291" t="str">
        <f t="shared" si="145"/>
        <v>---</v>
      </c>
      <c r="I302" s="294" t="str">
        <f t="shared" si="146"/>
        <v>---</v>
      </c>
      <c r="J302" s="294" t="str">
        <f t="shared" si="136"/>
        <v>---</v>
      </c>
      <c r="K302" s="291" t="str">
        <f t="shared" si="147"/>
        <v>---</v>
      </c>
      <c r="L302" s="294" t="str">
        <f t="shared" si="148"/>
        <v>---</v>
      </c>
      <c r="M302" s="294" t="str">
        <f t="shared" si="139"/>
        <v>---</v>
      </c>
      <c r="N302" s="291" t="str">
        <f t="shared" si="149"/>
        <v>---</v>
      </c>
    </row>
    <row r="303" spans="1:18">
      <c r="A303" s="438" t="str">
        <f t="shared" ref="A303:B303" si="156">A246</f>
        <v>---</v>
      </c>
      <c r="B303" s="294" t="str">
        <f t="shared" si="156"/>
        <v>---</v>
      </c>
      <c r="C303" s="294" t="str">
        <f t="shared" si="142"/>
        <v>---</v>
      </c>
      <c r="D303" s="294" t="str">
        <f t="shared" si="130"/>
        <v>---</v>
      </c>
      <c r="E303" s="291" t="str">
        <f t="shared" si="143"/>
        <v>---</v>
      </c>
      <c r="F303" s="294" t="str">
        <f t="shared" si="144"/>
        <v>---</v>
      </c>
      <c r="G303" s="294" t="str">
        <f t="shared" si="133"/>
        <v>---</v>
      </c>
      <c r="H303" s="291" t="str">
        <f t="shared" si="145"/>
        <v>---</v>
      </c>
      <c r="I303" s="294" t="str">
        <f t="shared" si="146"/>
        <v>---</v>
      </c>
      <c r="J303" s="294" t="str">
        <f t="shared" si="136"/>
        <v>---</v>
      </c>
      <c r="K303" s="291" t="str">
        <f t="shared" si="147"/>
        <v>---</v>
      </c>
      <c r="L303" s="294" t="str">
        <f t="shared" si="148"/>
        <v>---</v>
      </c>
      <c r="M303" s="294" t="str">
        <f t="shared" si="139"/>
        <v>---</v>
      </c>
      <c r="N303" s="291" t="str">
        <f t="shared" si="149"/>
        <v>---</v>
      </c>
    </row>
    <row r="304" spans="1:18">
      <c r="A304" s="438" t="str">
        <f t="shared" ref="A304:B304" si="157">A247</f>
        <v>---</v>
      </c>
      <c r="B304" s="294" t="str">
        <f t="shared" si="157"/>
        <v>---</v>
      </c>
      <c r="C304" s="294" t="str">
        <f t="shared" si="142"/>
        <v>---</v>
      </c>
      <c r="D304" s="294" t="str">
        <f t="shared" si="130"/>
        <v>---</v>
      </c>
      <c r="E304" s="291" t="str">
        <f t="shared" si="143"/>
        <v>---</v>
      </c>
      <c r="F304" s="294" t="str">
        <f t="shared" si="144"/>
        <v>---</v>
      </c>
      <c r="G304" s="294" t="str">
        <f t="shared" si="133"/>
        <v>---</v>
      </c>
      <c r="H304" s="291" t="str">
        <f t="shared" si="145"/>
        <v>---</v>
      </c>
      <c r="I304" s="294" t="str">
        <f t="shared" si="146"/>
        <v>---</v>
      </c>
      <c r="J304" s="294" t="str">
        <f t="shared" si="136"/>
        <v>---</v>
      </c>
      <c r="K304" s="291" t="str">
        <f t="shared" si="147"/>
        <v>---</v>
      </c>
      <c r="L304" s="294" t="str">
        <f t="shared" si="148"/>
        <v>---</v>
      </c>
      <c r="M304" s="294" t="str">
        <f t="shared" si="139"/>
        <v>---</v>
      </c>
      <c r="N304" s="291" t="str">
        <f t="shared" si="149"/>
        <v>---</v>
      </c>
    </row>
    <row r="305" spans="1:14">
      <c r="A305" s="438" t="str">
        <f t="shared" ref="A305:B305" si="158">A248</f>
        <v>---</v>
      </c>
      <c r="B305" s="294" t="str">
        <f t="shared" si="158"/>
        <v>---</v>
      </c>
      <c r="C305" s="294" t="str">
        <f t="shared" si="142"/>
        <v>---</v>
      </c>
      <c r="D305" s="294" t="str">
        <f t="shared" si="130"/>
        <v>---</v>
      </c>
      <c r="E305" s="291" t="str">
        <f t="shared" si="143"/>
        <v>---</v>
      </c>
      <c r="F305" s="294" t="str">
        <f t="shared" si="144"/>
        <v>---</v>
      </c>
      <c r="G305" s="294" t="str">
        <f t="shared" si="133"/>
        <v>---</v>
      </c>
      <c r="H305" s="291" t="str">
        <f t="shared" si="145"/>
        <v>---</v>
      </c>
      <c r="I305" s="294" t="str">
        <f t="shared" si="146"/>
        <v>---</v>
      </c>
      <c r="J305" s="294" t="str">
        <f t="shared" si="136"/>
        <v>---</v>
      </c>
      <c r="K305" s="291" t="str">
        <f t="shared" si="147"/>
        <v>---</v>
      </c>
      <c r="L305" s="294" t="str">
        <f t="shared" si="148"/>
        <v>---</v>
      </c>
      <c r="M305" s="294" t="str">
        <f t="shared" si="139"/>
        <v>---</v>
      </c>
      <c r="N305" s="291" t="str">
        <f t="shared" si="149"/>
        <v>---</v>
      </c>
    </row>
    <row r="306" spans="1:14">
      <c r="A306" s="438" t="str">
        <f t="shared" ref="A306:B306" si="159">A249</f>
        <v>---</v>
      </c>
      <c r="B306" s="294" t="str">
        <f t="shared" si="159"/>
        <v>---</v>
      </c>
      <c r="C306" s="294" t="str">
        <f t="shared" si="142"/>
        <v>---</v>
      </c>
      <c r="D306" s="294" t="str">
        <f t="shared" si="130"/>
        <v>---</v>
      </c>
      <c r="E306" s="291" t="str">
        <f t="shared" si="143"/>
        <v>---</v>
      </c>
      <c r="F306" s="294" t="str">
        <f t="shared" si="144"/>
        <v>---</v>
      </c>
      <c r="G306" s="294" t="str">
        <f t="shared" si="133"/>
        <v>---</v>
      </c>
      <c r="H306" s="291" t="str">
        <f t="shared" si="145"/>
        <v>---</v>
      </c>
      <c r="I306" s="294" t="str">
        <f t="shared" si="146"/>
        <v>---</v>
      </c>
      <c r="J306" s="294" t="str">
        <f t="shared" si="136"/>
        <v>---</v>
      </c>
      <c r="K306" s="291" t="str">
        <f t="shared" si="147"/>
        <v>---</v>
      </c>
      <c r="L306" s="294" t="str">
        <f t="shared" si="148"/>
        <v>---</v>
      </c>
      <c r="M306" s="294" t="str">
        <f t="shared" si="139"/>
        <v>---</v>
      </c>
      <c r="N306" s="291" t="str">
        <f t="shared" si="149"/>
        <v>---</v>
      </c>
    </row>
    <row r="307" spans="1:14">
      <c r="A307" s="438" t="str">
        <f t="shared" ref="A307:B307" si="160">A250</f>
        <v>---</v>
      </c>
      <c r="B307" s="294" t="str">
        <f t="shared" si="160"/>
        <v>---</v>
      </c>
      <c r="C307" s="294" t="str">
        <f t="shared" si="142"/>
        <v>---</v>
      </c>
      <c r="D307" s="294" t="str">
        <f t="shared" si="130"/>
        <v>---</v>
      </c>
      <c r="E307" s="291" t="str">
        <f t="shared" si="143"/>
        <v>---</v>
      </c>
      <c r="F307" s="294" t="str">
        <f t="shared" si="144"/>
        <v>---</v>
      </c>
      <c r="G307" s="294" t="str">
        <f t="shared" si="133"/>
        <v>---</v>
      </c>
      <c r="H307" s="291" t="str">
        <f t="shared" si="145"/>
        <v>---</v>
      </c>
      <c r="I307" s="294" t="str">
        <f t="shared" si="146"/>
        <v>---</v>
      </c>
      <c r="J307" s="294" t="str">
        <f t="shared" si="136"/>
        <v>---</v>
      </c>
      <c r="K307" s="291" t="str">
        <f t="shared" si="147"/>
        <v>---</v>
      </c>
      <c r="L307" s="294" t="str">
        <f t="shared" si="148"/>
        <v>---</v>
      </c>
      <c r="M307" s="294" t="str">
        <f t="shared" si="139"/>
        <v>---</v>
      </c>
      <c r="N307" s="291" t="str">
        <f t="shared" si="149"/>
        <v>---</v>
      </c>
    </row>
    <row r="308" spans="1:14">
      <c r="A308" s="438" t="str">
        <f t="shared" ref="A308:B308" si="161">A251</f>
        <v>---</v>
      </c>
      <c r="B308" s="294" t="str">
        <f t="shared" si="161"/>
        <v>---</v>
      </c>
      <c r="C308" s="294" t="str">
        <f t="shared" si="142"/>
        <v>---</v>
      </c>
      <c r="D308" s="294" t="str">
        <f t="shared" si="130"/>
        <v>---</v>
      </c>
      <c r="E308" s="291" t="str">
        <f t="shared" si="143"/>
        <v>---</v>
      </c>
      <c r="F308" s="294" t="str">
        <f t="shared" si="144"/>
        <v>---</v>
      </c>
      <c r="G308" s="294" t="str">
        <f t="shared" si="133"/>
        <v>---</v>
      </c>
      <c r="H308" s="291" t="str">
        <f t="shared" si="145"/>
        <v>---</v>
      </c>
      <c r="I308" s="294" t="str">
        <f t="shared" si="146"/>
        <v>---</v>
      </c>
      <c r="J308" s="294" t="str">
        <f t="shared" si="136"/>
        <v>---</v>
      </c>
      <c r="K308" s="291" t="str">
        <f t="shared" si="147"/>
        <v>---</v>
      </c>
      <c r="L308" s="294" t="str">
        <f t="shared" si="148"/>
        <v>---</v>
      </c>
      <c r="M308" s="294" t="str">
        <f t="shared" si="139"/>
        <v>---</v>
      </c>
      <c r="N308" s="291" t="str">
        <f t="shared" si="149"/>
        <v>---</v>
      </c>
    </row>
    <row r="309" spans="1:14">
      <c r="A309" s="438" t="str">
        <f t="shared" ref="A309:B309" si="162">A252</f>
        <v>---</v>
      </c>
      <c r="B309" s="294" t="str">
        <f t="shared" si="162"/>
        <v>---</v>
      </c>
      <c r="C309" s="294" t="str">
        <f t="shared" si="142"/>
        <v>---</v>
      </c>
      <c r="D309" s="294" t="str">
        <f t="shared" si="130"/>
        <v>---</v>
      </c>
      <c r="E309" s="291" t="str">
        <f t="shared" si="143"/>
        <v>---</v>
      </c>
      <c r="F309" s="294" t="str">
        <f t="shared" si="144"/>
        <v>---</v>
      </c>
      <c r="G309" s="294" t="str">
        <f t="shared" si="133"/>
        <v>---</v>
      </c>
      <c r="H309" s="291" t="str">
        <f t="shared" si="145"/>
        <v>---</v>
      </c>
      <c r="I309" s="294" t="str">
        <f t="shared" si="146"/>
        <v>---</v>
      </c>
      <c r="J309" s="294" t="str">
        <f t="shared" si="136"/>
        <v>---</v>
      </c>
      <c r="K309" s="291" t="str">
        <f t="shared" si="147"/>
        <v>---</v>
      </c>
      <c r="L309" s="294" t="str">
        <f t="shared" si="148"/>
        <v>---</v>
      </c>
      <c r="M309" s="294" t="str">
        <f t="shared" si="139"/>
        <v>---</v>
      </c>
      <c r="N309" s="291" t="str">
        <f t="shared" si="149"/>
        <v>---</v>
      </c>
    </row>
    <row r="310" spans="1:14">
      <c r="A310" s="438" t="str">
        <f t="shared" ref="A310:B310" si="163">A253</f>
        <v>---</v>
      </c>
      <c r="B310" s="294" t="str">
        <f t="shared" si="163"/>
        <v>---</v>
      </c>
      <c r="C310" s="294" t="str">
        <f t="shared" si="142"/>
        <v>---</v>
      </c>
      <c r="D310" s="294" t="str">
        <f t="shared" si="130"/>
        <v>---</v>
      </c>
      <c r="E310" s="291" t="str">
        <f t="shared" si="143"/>
        <v>---</v>
      </c>
      <c r="F310" s="294" t="str">
        <f t="shared" si="144"/>
        <v>---</v>
      </c>
      <c r="G310" s="294" t="str">
        <f t="shared" si="133"/>
        <v>---</v>
      </c>
      <c r="H310" s="291" t="str">
        <f t="shared" si="145"/>
        <v>---</v>
      </c>
      <c r="I310" s="294" t="str">
        <f t="shared" si="146"/>
        <v>---</v>
      </c>
      <c r="J310" s="294" t="str">
        <f t="shared" si="136"/>
        <v>---</v>
      </c>
      <c r="K310" s="291" t="str">
        <f t="shared" si="147"/>
        <v>---</v>
      </c>
      <c r="L310" s="294" t="str">
        <f t="shared" si="148"/>
        <v>---</v>
      </c>
      <c r="M310" s="294" t="str">
        <f t="shared" si="139"/>
        <v>---</v>
      </c>
      <c r="N310" s="291" t="str">
        <f t="shared" si="149"/>
        <v>---</v>
      </c>
    </row>
    <row r="311" spans="1:14">
      <c r="A311" s="438" t="str">
        <f t="shared" ref="A311:B311" si="164">A254</f>
        <v>---</v>
      </c>
      <c r="B311" s="294" t="str">
        <f t="shared" si="164"/>
        <v>---</v>
      </c>
      <c r="C311" s="294" t="str">
        <f t="shared" si="142"/>
        <v>---</v>
      </c>
      <c r="D311" s="294" t="str">
        <f t="shared" si="130"/>
        <v>---</v>
      </c>
      <c r="E311" s="291" t="str">
        <f t="shared" si="143"/>
        <v>---</v>
      </c>
      <c r="F311" s="294" t="str">
        <f t="shared" si="144"/>
        <v>---</v>
      </c>
      <c r="G311" s="294" t="str">
        <f t="shared" si="133"/>
        <v>---</v>
      </c>
      <c r="H311" s="291" t="str">
        <f t="shared" si="145"/>
        <v>---</v>
      </c>
      <c r="I311" s="294" t="str">
        <f t="shared" si="146"/>
        <v>---</v>
      </c>
      <c r="J311" s="294" t="str">
        <f t="shared" si="136"/>
        <v>---</v>
      </c>
      <c r="K311" s="291" t="str">
        <f t="shared" si="147"/>
        <v>---</v>
      </c>
      <c r="L311" s="294" t="str">
        <f t="shared" si="148"/>
        <v>---</v>
      </c>
      <c r="M311" s="294" t="str">
        <f t="shared" si="139"/>
        <v>---</v>
      </c>
      <c r="N311" s="291" t="str">
        <f t="shared" si="149"/>
        <v>---</v>
      </c>
    </row>
    <row r="312" spans="1:14">
      <c r="A312" s="438" t="str">
        <f t="shared" ref="A312:B312" si="165">A255</f>
        <v>---</v>
      </c>
      <c r="B312" s="294" t="str">
        <f t="shared" si="165"/>
        <v>---</v>
      </c>
      <c r="C312" s="294" t="str">
        <f t="shared" si="142"/>
        <v>---</v>
      </c>
      <c r="D312" s="294" t="str">
        <f t="shared" si="130"/>
        <v>---</v>
      </c>
      <c r="E312" s="291" t="str">
        <f t="shared" si="143"/>
        <v>---</v>
      </c>
      <c r="F312" s="294" t="str">
        <f t="shared" si="144"/>
        <v>---</v>
      </c>
      <c r="G312" s="294" t="str">
        <f t="shared" si="133"/>
        <v>---</v>
      </c>
      <c r="H312" s="291" t="str">
        <f t="shared" si="145"/>
        <v>---</v>
      </c>
      <c r="I312" s="294" t="str">
        <f t="shared" si="146"/>
        <v>---</v>
      </c>
      <c r="J312" s="294" t="str">
        <f t="shared" si="136"/>
        <v>---</v>
      </c>
      <c r="K312" s="291" t="str">
        <f t="shared" si="147"/>
        <v>---</v>
      </c>
      <c r="L312" s="294" t="str">
        <f t="shared" si="148"/>
        <v>---</v>
      </c>
      <c r="M312" s="294" t="str">
        <f t="shared" si="139"/>
        <v>---</v>
      </c>
      <c r="N312" s="291" t="str">
        <f t="shared" si="149"/>
        <v>---</v>
      </c>
    </row>
    <row r="313" spans="1:14">
      <c r="A313" s="438" t="str">
        <f t="shared" ref="A313:B313" si="166">A256</f>
        <v>---</v>
      </c>
      <c r="B313" s="294" t="str">
        <f t="shared" si="166"/>
        <v>---</v>
      </c>
      <c r="C313" s="294" t="str">
        <f t="shared" si="142"/>
        <v>---</v>
      </c>
      <c r="D313" s="294" t="str">
        <f t="shared" si="130"/>
        <v>---</v>
      </c>
      <c r="E313" s="291" t="str">
        <f t="shared" si="143"/>
        <v>---</v>
      </c>
      <c r="F313" s="294" t="str">
        <f t="shared" si="144"/>
        <v>---</v>
      </c>
      <c r="G313" s="294" t="str">
        <f t="shared" si="133"/>
        <v>---</v>
      </c>
      <c r="H313" s="291" t="str">
        <f t="shared" si="145"/>
        <v>---</v>
      </c>
      <c r="I313" s="294" t="str">
        <f t="shared" si="146"/>
        <v>---</v>
      </c>
      <c r="J313" s="294" t="str">
        <f t="shared" si="136"/>
        <v>---</v>
      </c>
      <c r="K313" s="291" t="str">
        <f t="shared" si="147"/>
        <v>---</v>
      </c>
      <c r="L313" s="294" t="str">
        <f t="shared" si="148"/>
        <v>---</v>
      </c>
      <c r="M313" s="294" t="str">
        <f t="shared" si="139"/>
        <v>---</v>
      </c>
      <c r="N313" s="291" t="str">
        <f t="shared" si="149"/>
        <v>---</v>
      </c>
    </row>
    <row r="314" spans="1:14">
      <c r="A314" s="438" t="str">
        <f t="shared" ref="A314:B314" si="167">A257</f>
        <v>---</v>
      </c>
      <c r="B314" s="294" t="str">
        <f t="shared" si="167"/>
        <v>---</v>
      </c>
      <c r="C314" s="294" t="str">
        <f t="shared" si="142"/>
        <v>---</v>
      </c>
      <c r="D314" s="294" t="str">
        <f t="shared" si="130"/>
        <v>---</v>
      </c>
      <c r="E314" s="291" t="str">
        <f t="shared" si="143"/>
        <v>---</v>
      </c>
      <c r="F314" s="294" t="str">
        <f t="shared" si="144"/>
        <v>---</v>
      </c>
      <c r="G314" s="294" t="str">
        <f t="shared" si="133"/>
        <v>---</v>
      </c>
      <c r="H314" s="291" t="str">
        <f t="shared" si="145"/>
        <v>---</v>
      </c>
      <c r="I314" s="294" t="str">
        <f t="shared" si="146"/>
        <v>---</v>
      </c>
      <c r="J314" s="294" t="str">
        <f t="shared" si="136"/>
        <v>---</v>
      </c>
      <c r="K314" s="291" t="str">
        <f t="shared" si="147"/>
        <v>---</v>
      </c>
      <c r="L314" s="294" t="str">
        <f t="shared" si="148"/>
        <v>---</v>
      </c>
      <c r="M314" s="294" t="str">
        <f t="shared" si="139"/>
        <v>---</v>
      </c>
      <c r="N314" s="291" t="str">
        <f t="shared" si="149"/>
        <v>---</v>
      </c>
    </row>
    <row r="315" spans="1:14">
      <c r="A315" s="438" t="str">
        <f t="shared" ref="A315:B315" si="168">A258</f>
        <v>---</v>
      </c>
      <c r="B315" s="294" t="str">
        <f t="shared" si="168"/>
        <v>---</v>
      </c>
      <c r="C315" s="294" t="str">
        <f t="shared" si="142"/>
        <v>---</v>
      </c>
      <c r="D315" s="294" t="str">
        <f t="shared" si="130"/>
        <v>---</v>
      </c>
      <c r="E315" s="291" t="str">
        <f t="shared" si="143"/>
        <v>---</v>
      </c>
      <c r="F315" s="294" t="str">
        <f t="shared" si="144"/>
        <v>---</v>
      </c>
      <c r="G315" s="294" t="str">
        <f t="shared" si="133"/>
        <v>---</v>
      </c>
      <c r="H315" s="291" t="str">
        <f t="shared" si="145"/>
        <v>---</v>
      </c>
      <c r="I315" s="294" t="str">
        <f t="shared" si="146"/>
        <v>---</v>
      </c>
      <c r="J315" s="294" t="str">
        <f t="shared" si="136"/>
        <v>---</v>
      </c>
      <c r="K315" s="291" t="str">
        <f t="shared" si="147"/>
        <v>---</v>
      </c>
      <c r="L315" s="294" t="str">
        <f t="shared" si="148"/>
        <v>---</v>
      </c>
      <c r="M315" s="294" t="str">
        <f t="shared" si="139"/>
        <v>---</v>
      </c>
      <c r="N315" s="291" t="str">
        <f t="shared" si="149"/>
        <v>---</v>
      </c>
    </row>
    <row r="316" spans="1:14">
      <c r="A316" s="438" t="str">
        <f t="shared" ref="A316:B316" si="169">A259</f>
        <v>---</v>
      </c>
      <c r="B316" s="294" t="str">
        <f t="shared" si="169"/>
        <v>---</v>
      </c>
      <c r="C316" s="294" t="str">
        <f t="shared" si="142"/>
        <v>---</v>
      </c>
      <c r="D316" s="294" t="str">
        <f t="shared" si="130"/>
        <v>---</v>
      </c>
      <c r="E316" s="291" t="str">
        <f t="shared" si="143"/>
        <v>---</v>
      </c>
      <c r="F316" s="294" t="str">
        <f t="shared" si="144"/>
        <v>---</v>
      </c>
      <c r="G316" s="294" t="str">
        <f t="shared" si="133"/>
        <v>---</v>
      </c>
      <c r="H316" s="291" t="str">
        <f t="shared" si="145"/>
        <v>---</v>
      </c>
      <c r="I316" s="294" t="str">
        <f t="shared" si="146"/>
        <v>---</v>
      </c>
      <c r="J316" s="294" t="str">
        <f t="shared" si="136"/>
        <v>---</v>
      </c>
      <c r="K316" s="291" t="str">
        <f t="shared" si="147"/>
        <v>---</v>
      </c>
      <c r="L316" s="294" t="str">
        <f t="shared" si="148"/>
        <v>---</v>
      </c>
      <c r="M316" s="294" t="str">
        <f t="shared" si="139"/>
        <v>---</v>
      </c>
      <c r="N316" s="291" t="str">
        <f t="shared" si="149"/>
        <v>---</v>
      </c>
    </row>
    <row r="317" spans="1:14">
      <c r="A317" s="438" t="str">
        <f t="shared" ref="A317:B317" si="170">A260</f>
        <v>---</v>
      </c>
      <c r="B317" s="294" t="str">
        <f t="shared" si="170"/>
        <v>---</v>
      </c>
      <c r="C317" s="294" t="str">
        <f t="shared" si="142"/>
        <v>---</v>
      </c>
      <c r="D317" s="294" t="str">
        <f t="shared" si="130"/>
        <v>---</v>
      </c>
      <c r="E317" s="291" t="str">
        <f t="shared" si="143"/>
        <v>---</v>
      </c>
      <c r="F317" s="294" t="str">
        <f t="shared" si="144"/>
        <v>---</v>
      </c>
      <c r="G317" s="294" t="str">
        <f t="shared" si="133"/>
        <v>---</v>
      </c>
      <c r="H317" s="291" t="str">
        <f t="shared" si="145"/>
        <v>---</v>
      </c>
      <c r="I317" s="294" t="str">
        <f t="shared" si="146"/>
        <v>---</v>
      </c>
      <c r="J317" s="294" t="str">
        <f t="shared" si="136"/>
        <v>---</v>
      </c>
      <c r="K317" s="291" t="str">
        <f t="shared" si="147"/>
        <v>---</v>
      </c>
      <c r="L317" s="294" t="str">
        <f t="shared" si="148"/>
        <v>---</v>
      </c>
      <c r="M317" s="294" t="str">
        <f t="shared" si="139"/>
        <v>---</v>
      </c>
      <c r="N317" s="291" t="str">
        <f t="shared" si="149"/>
        <v>---</v>
      </c>
    </row>
    <row r="318" spans="1:14">
      <c r="A318" s="438" t="str">
        <f t="shared" ref="A318:B318" si="171">A261</f>
        <v>---</v>
      </c>
      <c r="B318" s="294" t="str">
        <f t="shared" si="171"/>
        <v>---</v>
      </c>
      <c r="C318" s="294" t="str">
        <f t="shared" si="142"/>
        <v>---</v>
      </c>
      <c r="D318" s="294" t="str">
        <f t="shared" si="130"/>
        <v>---</v>
      </c>
      <c r="E318" s="291" t="str">
        <f t="shared" si="143"/>
        <v>---</v>
      </c>
      <c r="F318" s="294" t="str">
        <f t="shared" si="144"/>
        <v>---</v>
      </c>
      <c r="G318" s="294" t="str">
        <f t="shared" si="133"/>
        <v>---</v>
      </c>
      <c r="H318" s="291" t="str">
        <f t="shared" si="145"/>
        <v>---</v>
      </c>
      <c r="I318" s="294" t="str">
        <f t="shared" si="146"/>
        <v>---</v>
      </c>
      <c r="J318" s="294" t="str">
        <f t="shared" si="136"/>
        <v>---</v>
      </c>
      <c r="K318" s="291" t="str">
        <f t="shared" si="147"/>
        <v>---</v>
      </c>
      <c r="L318" s="294" t="str">
        <f t="shared" si="148"/>
        <v>---</v>
      </c>
      <c r="M318" s="294" t="str">
        <f t="shared" si="139"/>
        <v>---</v>
      </c>
      <c r="N318" s="291" t="str">
        <f t="shared" si="149"/>
        <v>---</v>
      </c>
    </row>
    <row r="319" spans="1:14">
      <c r="A319" s="438" t="str">
        <f t="shared" ref="A319:B319" si="172">A262</f>
        <v>---</v>
      </c>
      <c r="B319" s="294" t="str">
        <f t="shared" si="172"/>
        <v>---</v>
      </c>
      <c r="C319" s="294" t="str">
        <f t="shared" si="142"/>
        <v>---</v>
      </c>
      <c r="D319" s="294" t="str">
        <f t="shared" si="130"/>
        <v>---</v>
      </c>
      <c r="E319" s="291" t="str">
        <f t="shared" si="143"/>
        <v>---</v>
      </c>
      <c r="F319" s="294" t="str">
        <f t="shared" si="144"/>
        <v>---</v>
      </c>
      <c r="G319" s="294" t="str">
        <f t="shared" si="133"/>
        <v>---</v>
      </c>
      <c r="H319" s="291" t="str">
        <f t="shared" si="145"/>
        <v>---</v>
      </c>
      <c r="I319" s="294" t="str">
        <f t="shared" si="146"/>
        <v>---</v>
      </c>
      <c r="J319" s="294" t="str">
        <f t="shared" si="136"/>
        <v>---</v>
      </c>
      <c r="K319" s="291" t="str">
        <f t="shared" si="147"/>
        <v>---</v>
      </c>
      <c r="L319" s="294" t="str">
        <f t="shared" si="148"/>
        <v>---</v>
      </c>
      <c r="M319" s="294" t="str">
        <f t="shared" si="139"/>
        <v>---</v>
      </c>
      <c r="N319" s="291" t="str">
        <f t="shared" si="149"/>
        <v>---</v>
      </c>
    </row>
    <row r="320" spans="1:14">
      <c r="A320" s="438" t="str">
        <f t="shared" ref="A320:B320" si="173">A263</f>
        <v>---</v>
      </c>
      <c r="B320" s="294" t="str">
        <f t="shared" si="173"/>
        <v>---</v>
      </c>
      <c r="C320" s="294" t="str">
        <f t="shared" si="142"/>
        <v>---</v>
      </c>
      <c r="D320" s="294" t="str">
        <f t="shared" si="130"/>
        <v>---</v>
      </c>
      <c r="E320" s="291" t="str">
        <f t="shared" si="143"/>
        <v>---</v>
      </c>
      <c r="F320" s="294" t="str">
        <f t="shared" si="144"/>
        <v>---</v>
      </c>
      <c r="G320" s="294" t="str">
        <f t="shared" si="133"/>
        <v>---</v>
      </c>
      <c r="H320" s="291" t="str">
        <f t="shared" si="145"/>
        <v>---</v>
      </c>
      <c r="I320" s="294" t="str">
        <f t="shared" si="146"/>
        <v>---</v>
      </c>
      <c r="J320" s="294" t="str">
        <f t="shared" si="136"/>
        <v>---</v>
      </c>
      <c r="K320" s="291" t="str">
        <f t="shared" si="147"/>
        <v>---</v>
      </c>
      <c r="L320" s="294" t="str">
        <f t="shared" si="148"/>
        <v>---</v>
      </c>
      <c r="M320" s="294" t="str">
        <f t="shared" si="139"/>
        <v>---</v>
      </c>
      <c r="N320" s="291" t="str">
        <f t="shared" si="149"/>
        <v>---</v>
      </c>
    </row>
    <row r="321" spans="1:14">
      <c r="A321" s="438" t="str">
        <f t="shared" ref="A321:B321" si="174">A264</f>
        <v>---</v>
      </c>
      <c r="B321" s="294" t="str">
        <f t="shared" si="174"/>
        <v>---</v>
      </c>
      <c r="C321" s="294" t="str">
        <f t="shared" si="142"/>
        <v>---</v>
      </c>
      <c r="D321" s="294" t="str">
        <f t="shared" si="130"/>
        <v>---</v>
      </c>
      <c r="E321" s="291" t="str">
        <f t="shared" si="143"/>
        <v>---</v>
      </c>
      <c r="F321" s="294" t="str">
        <f t="shared" si="144"/>
        <v>---</v>
      </c>
      <c r="G321" s="294" t="str">
        <f t="shared" si="133"/>
        <v>---</v>
      </c>
      <c r="H321" s="291" t="str">
        <f t="shared" si="145"/>
        <v>---</v>
      </c>
      <c r="I321" s="294" t="str">
        <f t="shared" si="146"/>
        <v>---</v>
      </c>
      <c r="J321" s="294" t="str">
        <f t="shared" si="136"/>
        <v>---</v>
      </c>
      <c r="K321" s="291" t="str">
        <f t="shared" si="147"/>
        <v>---</v>
      </c>
      <c r="L321" s="294" t="str">
        <f t="shared" si="148"/>
        <v>---</v>
      </c>
      <c r="M321" s="294" t="str">
        <f t="shared" si="139"/>
        <v>---</v>
      </c>
      <c r="N321" s="291" t="str">
        <f t="shared" si="149"/>
        <v>---</v>
      </c>
    </row>
    <row r="322" spans="1:14">
      <c r="A322" s="438" t="str">
        <f t="shared" ref="A322:B322" si="175">A265</f>
        <v>---</v>
      </c>
      <c r="B322" s="294" t="str">
        <f t="shared" si="175"/>
        <v>---</v>
      </c>
      <c r="C322" s="294" t="str">
        <f t="shared" si="142"/>
        <v>---</v>
      </c>
      <c r="D322" s="294" t="str">
        <f t="shared" si="130"/>
        <v>---</v>
      </c>
      <c r="E322" s="291" t="str">
        <f t="shared" si="143"/>
        <v>---</v>
      </c>
      <c r="F322" s="294" t="str">
        <f t="shared" si="144"/>
        <v>---</v>
      </c>
      <c r="G322" s="294" t="str">
        <f t="shared" si="133"/>
        <v>---</v>
      </c>
      <c r="H322" s="291" t="str">
        <f t="shared" si="145"/>
        <v>---</v>
      </c>
      <c r="I322" s="294" t="str">
        <f t="shared" si="146"/>
        <v>---</v>
      </c>
      <c r="J322" s="294" t="str">
        <f t="shared" si="136"/>
        <v>---</v>
      </c>
      <c r="K322" s="291" t="str">
        <f t="shared" si="147"/>
        <v>---</v>
      </c>
      <c r="L322" s="294" t="str">
        <f t="shared" si="148"/>
        <v>---</v>
      </c>
      <c r="M322" s="294" t="str">
        <f t="shared" si="139"/>
        <v>---</v>
      </c>
      <c r="N322" s="291" t="str">
        <f t="shared" si="149"/>
        <v>---</v>
      </c>
    </row>
    <row r="323" spans="1:14">
      <c r="A323" s="438" t="str">
        <f t="shared" ref="A323:B323" si="176">A266</f>
        <v>---</v>
      </c>
      <c r="B323" s="294" t="str">
        <f t="shared" si="176"/>
        <v>---</v>
      </c>
      <c r="C323" s="294" t="str">
        <f t="shared" si="142"/>
        <v>---</v>
      </c>
      <c r="D323" s="294" t="str">
        <f t="shared" si="130"/>
        <v>---</v>
      </c>
      <c r="E323" s="291" t="str">
        <f t="shared" si="143"/>
        <v>---</v>
      </c>
      <c r="F323" s="294" t="str">
        <f t="shared" si="144"/>
        <v>---</v>
      </c>
      <c r="G323" s="294" t="str">
        <f t="shared" si="133"/>
        <v>---</v>
      </c>
      <c r="H323" s="291" t="str">
        <f t="shared" si="145"/>
        <v>---</v>
      </c>
      <c r="I323" s="294" t="str">
        <f t="shared" si="146"/>
        <v>---</v>
      </c>
      <c r="J323" s="294" t="str">
        <f t="shared" si="136"/>
        <v>---</v>
      </c>
      <c r="K323" s="291" t="str">
        <f t="shared" si="147"/>
        <v>---</v>
      </c>
      <c r="L323" s="294" t="str">
        <f t="shared" si="148"/>
        <v>---</v>
      </c>
      <c r="M323" s="294" t="str">
        <f t="shared" si="139"/>
        <v>---</v>
      </c>
      <c r="N323" s="291" t="str">
        <f t="shared" si="149"/>
        <v>---</v>
      </c>
    </row>
    <row r="324" spans="1:14">
      <c r="A324" s="438" t="str">
        <f t="shared" ref="A324:B324" si="177">A267</f>
        <v>---</v>
      </c>
      <c r="B324" s="294" t="str">
        <f t="shared" si="177"/>
        <v>---</v>
      </c>
      <c r="C324" s="294" t="str">
        <f t="shared" si="142"/>
        <v>---</v>
      </c>
      <c r="D324" s="294" t="str">
        <f t="shared" si="130"/>
        <v>---</v>
      </c>
      <c r="E324" s="291" t="str">
        <f t="shared" si="143"/>
        <v>---</v>
      </c>
      <c r="F324" s="294" t="str">
        <f t="shared" si="144"/>
        <v>---</v>
      </c>
      <c r="G324" s="294" t="str">
        <f t="shared" si="133"/>
        <v>---</v>
      </c>
      <c r="H324" s="291" t="str">
        <f t="shared" si="145"/>
        <v>---</v>
      </c>
      <c r="I324" s="294" t="str">
        <f t="shared" si="146"/>
        <v>---</v>
      </c>
      <c r="J324" s="294" t="str">
        <f t="shared" si="136"/>
        <v>---</v>
      </c>
      <c r="K324" s="291" t="str">
        <f t="shared" si="147"/>
        <v>---</v>
      </c>
      <c r="L324" s="294" t="str">
        <f t="shared" si="148"/>
        <v>---</v>
      </c>
      <c r="M324" s="294" t="str">
        <f t="shared" si="139"/>
        <v>---</v>
      </c>
      <c r="N324" s="291" t="str">
        <f t="shared" si="149"/>
        <v>---</v>
      </c>
    </row>
    <row r="325" spans="1:14">
      <c r="A325" s="438" t="str">
        <f t="shared" ref="A325:B325" si="178">A268</f>
        <v>---</v>
      </c>
      <c r="B325" s="294" t="str">
        <f t="shared" si="178"/>
        <v>---</v>
      </c>
      <c r="C325" s="294" t="str">
        <f t="shared" si="142"/>
        <v>---</v>
      </c>
      <c r="D325" s="294" t="str">
        <f t="shared" si="130"/>
        <v>---</v>
      </c>
      <c r="E325" s="291" t="str">
        <f t="shared" si="143"/>
        <v>---</v>
      </c>
      <c r="F325" s="294" t="str">
        <f t="shared" si="144"/>
        <v>---</v>
      </c>
      <c r="G325" s="294" t="str">
        <f t="shared" si="133"/>
        <v>---</v>
      </c>
      <c r="H325" s="291" t="str">
        <f t="shared" si="145"/>
        <v>---</v>
      </c>
      <c r="I325" s="294" t="str">
        <f t="shared" si="146"/>
        <v>---</v>
      </c>
      <c r="J325" s="294" t="str">
        <f t="shared" si="136"/>
        <v>---</v>
      </c>
      <c r="K325" s="291" t="str">
        <f t="shared" si="147"/>
        <v>---</v>
      </c>
      <c r="L325" s="294" t="str">
        <f t="shared" si="148"/>
        <v>---</v>
      </c>
      <c r="M325" s="294" t="str">
        <f t="shared" si="139"/>
        <v>---</v>
      </c>
      <c r="N325" s="291" t="str">
        <f t="shared" si="149"/>
        <v>---</v>
      </c>
    </row>
    <row r="326" spans="1:14">
      <c r="A326" s="438" t="str">
        <f t="shared" ref="A326:B326" si="179">A269</f>
        <v>---</v>
      </c>
      <c r="B326" s="294" t="str">
        <f t="shared" si="179"/>
        <v>---</v>
      </c>
      <c r="C326" s="294" t="str">
        <f t="shared" si="142"/>
        <v>---</v>
      </c>
      <c r="D326" s="294" t="str">
        <f t="shared" si="130"/>
        <v>---</v>
      </c>
      <c r="E326" s="291" t="str">
        <f t="shared" si="143"/>
        <v>---</v>
      </c>
      <c r="F326" s="294" t="str">
        <f t="shared" si="144"/>
        <v>---</v>
      </c>
      <c r="G326" s="294" t="str">
        <f t="shared" si="133"/>
        <v>---</v>
      </c>
      <c r="H326" s="291" t="str">
        <f t="shared" si="145"/>
        <v>---</v>
      </c>
      <c r="I326" s="294" t="str">
        <f t="shared" si="146"/>
        <v>---</v>
      </c>
      <c r="J326" s="294" t="str">
        <f t="shared" si="136"/>
        <v>---</v>
      </c>
      <c r="K326" s="291" t="str">
        <f t="shared" si="147"/>
        <v>---</v>
      </c>
      <c r="L326" s="294" t="str">
        <f t="shared" si="148"/>
        <v>---</v>
      </c>
      <c r="M326" s="294" t="str">
        <f t="shared" si="139"/>
        <v>---</v>
      </c>
      <c r="N326" s="291" t="str">
        <f t="shared" si="149"/>
        <v>---</v>
      </c>
    </row>
    <row r="327" spans="1:14">
      <c r="A327" s="438" t="str">
        <f t="shared" ref="A327:B327" si="180">A270</f>
        <v>---</v>
      </c>
      <c r="B327" s="294" t="str">
        <f t="shared" si="180"/>
        <v>---</v>
      </c>
      <c r="C327" s="294" t="str">
        <f t="shared" si="142"/>
        <v>---</v>
      </c>
      <c r="D327" s="294" t="str">
        <f t="shared" ref="D327:D344" si="181">J270</f>
        <v>---</v>
      </c>
      <c r="E327" s="291" t="str">
        <f t="shared" si="143"/>
        <v>---</v>
      </c>
      <c r="F327" s="294" t="str">
        <f t="shared" si="144"/>
        <v>---</v>
      </c>
      <c r="G327" s="294" t="str">
        <f t="shared" ref="G327:G344" si="182">J270</f>
        <v>---</v>
      </c>
      <c r="H327" s="291" t="str">
        <f t="shared" si="145"/>
        <v>---</v>
      </c>
      <c r="I327" s="294" t="str">
        <f t="shared" si="146"/>
        <v>---</v>
      </c>
      <c r="J327" s="294" t="str">
        <f t="shared" ref="J327:J344" si="183">K270</f>
        <v>---</v>
      </c>
      <c r="K327" s="291" t="str">
        <f t="shared" si="147"/>
        <v>---</v>
      </c>
      <c r="L327" s="294" t="str">
        <f t="shared" si="148"/>
        <v>---</v>
      </c>
      <c r="M327" s="294" t="str">
        <f t="shared" ref="M327:M344" si="184">L270</f>
        <v>---</v>
      </c>
      <c r="N327" s="291" t="str">
        <f t="shared" si="149"/>
        <v>---</v>
      </c>
    </row>
    <row r="328" spans="1:14">
      <c r="A328" s="438" t="str">
        <f t="shared" ref="A328:B328" si="185">A271</f>
        <v>---</v>
      </c>
      <c r="B328" s="294" t="str">
        <f t="shared" si="185"/>
        <v>---</v>
      </c>
      <c r="C328" s="294" t="str">
        <f t="shared" si="142"/>
        <v>---</v>
      </c>
      <c r="D328" s="294" t="str">
        <f t="shared" si="181"/>
        <v>---</v>
      </c>
      <c r="E328" s="291" t="str">
        <f t="shared" si="143"/>
        <v>---</v>
      </c>
      <c r="F328" s="294" t="str">
        <f t="shared" si="144"/>
        <v>---</v>
      </c>
      <c r="G328" s="294" t="str">
        <f t="shared" si="182"/>
        <v>---</v>
      </c>
      <c r="H328" s="291" t="str">
        <f t="shared" si="145"/>
        <v>---</v>
      </c>
      <c r="I328" s="294" t="str">
        <f t="shared" si="146"/>
        <v>---</v>
      </c>
      <c r="J328" s="294" t="str">
        <f t="shared" si="183"/>
        <v>---</v>
      </c>
      <c r="K328" s="291" t="str">
        <f t="shared" si="147"/>
        <v>---</v>
      </c>
      <c r="L328" s="294" t="str">
        <f t="shared" si="148"/>
        <v>---</v>
      </c>
      <c r="M328" s="294" t="str">
        <f t="shared" si="184"/>
        <v>---</v>
      </c>
      <c r="N328" s="291" t="str">
        <f t="shared" si="149"/>
        <v>---</v>
      </c>
    </row>
    <row r="329" spans="1:14">
      <c r="A329" s="438" t="str">
        <f t="shared" ref="A329:B329" si="186">A272</f>
        <v>---</v>
      </c>
      <c r="B329" s="294" t="str">
        <f t="shared" si="186"/>
        <v>---</v>
      </c>
      <c r="C329" s="294" t="str">
        <f t="shared" si="142"/>
        <v>---</v>
      </c>
      <c r="D329" s="294" t="str">
        <f t="shared" si="181"/>
        <v>---</v>
      </c>
      <c r="E329" s="291" t="str">
        <f t="shared" si="143"/>
        <v>---</v>
      </c>
      <c r="F329" s="294" t="str">
        <f t="shared" si="144"/>
        <v>---</v>
      </c>
      <c r="G329" s="294" t="str">
        <f t="shared" si="182"/>
        <v>---</v>
      </c>
      <c r="H329" s="291" t="str">
        <f t="shared" si="145"/>
        <v>---</v>
      </c>
      <c r="I329" s="294" t="str">
        <f t="shared" si="146"/>
        <v>---</v>
      </c>
      <c r="J329" s="294" t="str">
        <f t="shared" si="183"/>
        <v>---</v>
      </c>
      <c r="K329" s="291" t="str">
        <f t="shared" si="147"/>
        <v>---</v>
      </c>
      <c r="L329" s="294" t="str">
        <f t="shared" si="148"/>
        <v>---</v>
      </c>
      <c r="M329" s="294" t="str">
        <f t="shared" si="184"/>
        <v>---</v>
      </c>
      <c r="N329" s="291" t="str">
        <f t="shared" si="149"/>
        <v>---</v>
      </c>
    </row>
    <row r="330" spans="1:14">
      <c r="A330" s="438" t="str">
        <f t="shared" ref="A330:B330" si="187">A273</f>
        <v>---</v>
      </c>
      <c r="B330" s="294" t="str">
        <f t="shared" si="187"/>
        <v>---</v>
      </c>
      <c r="C330" s="294" t="str">
        <f t="shared" si="142"/>
        <v>---</v>
      </c>
      <c r="D330" s="294" t="str">
        <f t="shared" si="181"/>
        <v>---</v>
      </c>
      <c r="E330" s="291" t="str">
        <f t="shared" si="143"/>
        <v>---</v>
      </c>
      <c r="F330" s="294" t="str">
        <f t="shared" si="144"/>
        <v>---</v>
      </c>
      <c r="G330" s="294" t="str">
        <f t="shared" si="182"/>
        <v>---</v>
      </c>
      <c r="H330" s="291" t="str">
        <f t="shared" si="145"/>
        <v>---</v>
      </c>
      <c r="I330" s="294" t="str">
        <f t="shared" si="146"/>
        <v>---</v>
      </c>
      <c r="J330" s="294" t="str">
        <f t="shared" si="183"/>
        <v>---</v>
      </c>
      <c r="K330" s="291" t="str">
        <f t="shared" si="147"/>
        <v>---</v>
      </c>
      <c r="L330" s="294" t="str">
        <f t="shared" si="148"/>
        <v>---</v>
      </c>
      <c r="M330" s="294" t="str">
        <f t="shared" si="184"/>
        <v>---</v>
      </c>
      <c r="N330" s="291" t="str">
        <f t="shared" si="149"/>
        <v>---</v>
      </c>
    </row>
    <row r="331" spans="1:14">
      <c r="A331" s="438" t="str">
        <f t="shared" ref="A331:B331" si="188">A274</f>
        <v>---</v>
      </c>
      <c r="B331" s="294" t="str">
        <f t="shared" si="188"/>
        <v>---</v>
      </c>
      <c r="C331" s="294" t="str">
        <f t="shared" si="142"/>
        <v>---</v>
      </c>
      <c r="D331" s="294" t="str">
        <f t="shared" si="181"/>
        <v>---</v>
      </c>
      <c r="E331" s="291" t="str">
        <f t="shared" si="143"/>
        <v>---</v>
      </c>
      <c r="F331" s="294" t="str">
        <f t="shared" si="144"/>
        <v>---</v>
      </c>
      <c r="G331" s="294" t="str">
        <f t="shared" si="182"/>
        <v>---</v>
      </c>
      <c r="H331" s="291" t="str">
        <f t="shared" si="145"/>
        <v>---</v>
      </c>
      <c r="I331" s="294" t="str">
        <f t="shared" si="146"/>
        <v>---</v>
      </c>
      <c r="J331" s="294" t="str">
        <f t="shared" si="183"/>
        <v>---</v>
      </c>
      <c r="K331" s="291" t="str">
        <f t="shared" si="147"/>
        <v>---</v>
      </c>
      <c r="L331" s="294" t="str">
        <f t="shared" si="148"/>
        <v>---</v>
      </c>
      <c r="M331" s="294" t="str">
        <f t="shared" si="184"/>
        <v>---</v>
      </c>
      <c r="N331" s="291" t="str">
        <f t="shared" si="149"/>
        <v>---</v>
      </c>
    </row>
    <row r="332" spans="1:14">
      <c r="A332" s="438" t="str">
        <f t="shared" ref="A332:B332" si="189">A275</f>
        <v>---</v>
      </c>
      <c r="B332" s="294" t="str">
        <f t="shared" si="189"/>
        <v>---</v>
      </c>
      <c r="C332" s="294" t="str">
        <f t="shared" si="142"/>
        <v>---</v>
      </c>
      <c r="D332" s="294" t="str">
        <f t="shared" si="181"/>
        <v>---</v>
      </c>
      <c r="E332" s="291" t="str">
        <f t="shared" si="143"/>
        <v>---</v>
      </c>
      <c r="F332" s="294" t="str">
        <f t="shared" si="144"/>
        <v>---</v>
      </c>
      <c r="G332" s="294" t="str">
        <f t="shared" si="182"/>
        <v>---</v>
      </c>
      <c r="H332" s="291" t="str">
        <f t="shared" si="145"/>
        <v>---</v>
      </c>
      <c r="I332" s="294" t="str">
        <f t="shared" si="146"/>
        <v>---</v>
      </c>
      <c r="J332" s="294" t="str">
        <f t="shared" si="183"/>
        <v>---</v>
      </c>
      <c r="K332" s="291" t="str">
        <f t="shared" si="147"/>
        <v>---</v>
      </c>
      <c r="L332" s="294" t="str">
        <f t="shared" si="148"/>
        <v>---</v>
      </c>
      <c r="M332" s="294" t="str">
        <f t="shared" si="184"/>
        <v>---</v>
      </c>
      <c r="N332" s="291" t="str">
        <f t="shared" si="149"/>
        <v>---</v>
      </c>
    </row>
    <row r="333" spans="1:14">
      <c r="A333" s="438" t="str">
        <f t="shared" ref="A333:B333" si="190">A276</f>
        <v>---</v>
      </c>
      <c r="B333" s="294" t="str">
        <f t="shared" si="190"/>
        <v>---</v>
      </c>
      <c r="C333" s="294" t="str">
        <f t="shared" si="142"/>
        <v>---</v>
      </c>
      <c r="D333" s="294" t="str">
        <f t="shared" si="181"/>
        <v>---</v>
      </c>
      <c r="E333" s="291" t="str">
        <f t="shared" si="143"/>
        <v>---</v>
      </c>
      <c r="F333" s="294" t="str">
        <f t="shared" si="144"/>
        <v>---</v>
      </c>
      <c r="G333" s="294" t="str">
        <f t="shared" si="182"/>
        <v>---</v>
      </c>
      <c r="H333" s="291" t="str">
        <f t="shared" si="145"/>
        <v>---</v>
      </c>
      <c r="I333" s="294" t="str">
        <f t="shared" si="146"/>
        <v>---</v>
      </c>
      <c r="J333" s="294" t="str">
        <f t="shared" si="183"/>
        <v>---</v>
      </c>
      <c r="K333" s="291" t="str">
        <f t="shared" si="147"/>
        <v>---</v>
      </c>
      <c r="L333" s="294" t="str">
        <f t="shared" si="148"/>
        <v>---</v>
      </c>
      <c r="M333" s="294" t="str">
        <f t="shared" si="184"/>
        <v>---</v>
      </c>
      <c r="N333" s="291" t="str">
        <f t="shared" si="149"/>
        <v>---</v>
      </c>
    </row>
    <row r="334" spans="1:14">
      <c r="A334" s="438" t="str">
        <f t="shared" ref="A334:B334" si="191">A277</f>
        <v>---</v>
      </c>
      <c r="B334" s="294" t="str">
        <f t="shared" si="191"/>
        <v>---</v>
      </c>
      <c r="C334" s="294" t="str">
        <f t="shared" si="142"/>
        <v>---</v>
      </c>
      <c r="D334" s="294" t="str">
        <f t="shared" si="181"/>
        <v>---</v>
      </c>
      <c r="E334" s="291" t="str">
        <f t="shared" si="143"/>
        <v>---</v>
      </c>
      <c r="F334" s="294" t="str">
        <f t="shared" si="144"/>
        <v>---</v>
      </c>
      <c r="G334" s="294" t="str">
        <f t="shared" si="182"/>
        <v>---</v>
      </c>
      <c r="H334" s="291" t="str">
        <f t="shared" si="145"/>
        <v>---</v>
      </c>
      <c r="I334" s="294" t="str">
        <f t="shared" si="146"/>
        <v>---</v>
      </c>
      <c r="J334" s="294" t="str">
        <f t="shared" si="183"/>
        <v>---</v>
      </c>
      <c r="K334" s="291" t="str">
        <f t="shared" si="147"/>
        <v>---</v>
      </c>
      <c r="L334" s="294" t="str">
        <f t="shared" si="148"/>
        <v>---</v>
      </c>
      <c r="M334" s="294" t="str">
        <f t="shared" si="184"/>
        <v>---</v>
      </c>
      <c r="N334" s="291" t="str">
        <f t="shared" si="149"/>
        <v>---</v>
      </c>
    </row>
    <row r="335" spans="1:14">
      <c r="A335" s="438" t="str">
        <f t="shared" ref="A335:B335" si="192">A278</f>
        <v>---</v>
      </c>
      <c r="B335" s="294" t="str">
        <f t="shared" si="192"/>
        <v>---</v>
      </c>
      <c r="C335" s="294" t="str">
        <f t="shared" si="142"/>
        <v>---</v>
      </c>
      <c r="D335" s="294" t="str">
        <f t="shared" si="181"/>
        <v>---</v>
      </c>
      <c r="E335" s="291" t="str">
        <f t="shared" si="143"/>
        <v>---</v>
      </c>
      <c r="F335" s="294" t="str">
        <f t="shared" si="144"/>
        <v>---</v>
      </c>
      <c r="G335" s="294" t="str">
        <f t="shared" si="182"/>
        <v>---</v>
      </c>
      <c r="H335" s="291" t="str">
        <f t="shared" si="145"/>
        <v>---</v>
      </c>
      <c r="I335" s="294" t="str">
        <f t="shared" si="146"/>
        <v>---</v>
      </c>
      <c r="J335" s="294" t="str">
        <f t="shared" si="183"/>
        <v>---</v>
      </c>
      <c r="K335" s="291" t="str">
        <f t="shared" si="147"/>
        <v>---</v>
      </c>
      <c r="L335" s="294" t="str">
        <f t="shared" si="148"/>
        <v>---</v>
      </c>
      <c r="M335" s="294" t="str">
        <f t="shared" si="184"/>
        <v>---</v>
      </c>
      <c r="N335" s="291" t="str">
        <f t="shared" si="149"/>
        <v>---</v>
      </c>
    </row>
    <row r="336" spans="1:14">
      <c r="A336" s="438" t="str">
        <f t="shared" ref="A336:B336" si="193">A279</f>
        <v>---</v>
      </c>
      <c r="B336" s="294" t="str">
        <f t="shared" si="193"/>
        <v>---</v>
      </c>
      <c r="C336" s="294" t="str">
        <f t="shared" si="142"/>
        <v>---</v>
      </c>
      <c r="D336" s="294" t="str">
        <f t="shared" si="181"/>
        <v>---</v>
      </c>
      <c r="E336" s="291" t="str">
        <f t="shared" si="143"/>
        <v>---</v>
      </c>
      <c r="F336" s="294" t="str">
        <f t="shared" si="144"/>
        <v>---</v>
      </c>
      <c r="G336" s="294" t="str">
        <f t="shared" si="182"/>
        <v>---</v>
      </c>
      <c r="H336" s="291" t="str">
        <f t="shared" si="145"/>
        <v>---</v>
      </c>
      <c r="I336" s="294" t="str">
        <f t="shared" si="146"/>
        <v>---</v>
      </c>
      <c r="J336" s="294" t="str">
        <f t="shared" si="183"/>
        <v>---</v>
      </c>
      <c r="K336" s="291" t="str">
        <f t="shared" si="147"/>
        <v>---</v>
      </c>
      <c r="L336" s="294" t="str">
        <f t="shared" si="148"/>
        <v>---</v>
      </c>
      <c r="M336" s="294" t="str">
        <f t="shared" si="184"/>
        <v>---</v>
      </c>
      <c r="N336" s="291" t="str">
        <f t="shared" si="149"/>
        <v>---</v>
      </c>
    </row>
    <row r="337" spans="1:18">
      <c r="A337" s="438" t="str">
        <f t="shared" ref="A337:B337" si="194">A280</f>
        <v>---</v>
      </c>
      <c r="B337" s="294" t="str">
        <f t="shared" si="194"/>
        <v>---</v>
      </c>
      <c r="C337" s="294" t="str">
        <f t="shared" si="142"/>
        <v>---</v>
      </c>
      <c r="D337" s="294" t="str">
        <f t="shared" si="181"/>
        <v>---</v>
      </c>
      <c r="E337" s="291" t="str">
        <f t="shared" si="143"/>
        <v>---</v>
      </c>
      <c r="F337" s="294" t="str">
        <f t="shared" si="144"/>
        <v>---</v>
      </c>
      <c r="G337" s="294" t="str">
        <f t="shared" si="182"/>
        <v>---</v>
      </c>
      <c r="H337" s="291" t="str">
        <f t="shared" si="145"/>
        <v>---</v>
      </c>
      <c r="I337" s="294" t="str">
        <f t="shared" si="146"/>
        <v>---</v>
      </c>
      <c r="J337" s="294" t="str">
        <f t="shared" si="183"/>
        <v>---</v>
      </c>
      <c r="K337" s="291" t="str">
        <f t="shared" si="147"/>
        <v>---</v>
      </c>
      <c r="L337" s="294" t="str">
        <f t="shared" si="148"/>
        <v>---</v>
      </c>
      <c r="M337" s="294" t="str">
        <f t="shared" si="184"/>
        <v>---</v>
      </c>
      <c r="N337" s="291" t="str">
        <f t="shared" si="149"/>
        <v>---</v>
      </c>
    </row>
    <row r="338" spans="1:18">
      <c r="A338" s="438" t="str">
        <f t="shared" ref="A338:B338" si="195">A281</f>
        <v>---</v>
      </c>
      <c r="B338" s="294" t="str">
        <f t="shared" si="195"/>
        <v>---</v>
      </c>
      <c r="C338" s="294" t="str">
        <f t="shared" si="142"/>
        <v>---</v>
      </c>
      <c r="D338" s="294" t="str">
        <f t="shared" si="181"/>
        <v>---</v>
      </c>
      <c r="E338" s="291" t="str">
        <f t="shared" si="143"/>
        <v>---</v>
      </c>
      <c r="F338" s="294" t="str">
        <f t="shared" si="144"/>
        <v>---</v>
      </c>
      <c r="G338" s="294" t="str">
        <f t="shared" si="182"/>
        <v>---</v>
      </c>
      <c r="H338" s="291" t="str">
        <f t="shared" si="145"/>
        <v>---</v>
      </c>
      <c r="I338" s="294" t="str">
        <f t="shared" si="146"/>
        <v>---</v>
      </c>
      <c r="J338" s="294" t="str">
        <f t="shared" si="183"/>
        <v>---</v>
      </c>
      <c r="K338" s="291" t="str">
        <f t="shared" si="147"/>
        <v>---</v>
      </c>
      <c r="L338" s="294" t="str">
        <f t="shared" si="148"/>
        <v>---</v>
      </c>
      <c r="M338" s="294" t="str">
        <f t="shared" si="184"/>
        <v>---</v>
      </c>
      <c r="N338" s="291" t="str">
        <f t="shared" si="149"/>
        <v>---</v>
      </c>
    </row>
    <row r="339" spans="1:18">
      <c r="A339" s="438" t="str">
        <f t="shared" ref="A339:B339" si="196">A282</f>
        <v>---</v>
      </c>
      <c r="B339" s="294" t="str">
        <f t="shared" si="196"/>
        <v>---</v>
      </c>
      <c r="C339" s="294" t="str">
        <f t="shared" si="142"/>
        <v>---</v>
      </c>
      <c r="D339" s="294" t="str">
        <f t="shared" si="181"/>
        <v>---</v>
      </c>
      <c r="E339" s="291" t="str">
        <f t="shared" si="143"/>
        <v>---</v>
      </c>
      <c r="F339" s="294" t="str">
        <f t="shared" si="144"/>
        <v>---</v>
      </c>
      <c r="G339" s="294" t="str">
        <f t="shared" si="182"/>
        <v>---</v>
      </c>
      <c r="H339" s="291" t="str">
        <f t="shared" si="145"/>
        <v>---</v>
      </c>
      <c r="I339" s="294" t="str">
        <f t="shared" si="146"/>
        <v>---</v>
      </c>
      <c r="J339" s="294" t="str">
        <f t="shared" si="183"/>
        <v>---</v>
      </c>
      <c r="K339" s="291" t="str">
        <f t="shared" si="147"/>
        <v>---</v>
      </c>
      <c r="L339" s="294" t="str">
        <f t="shared" si="148"/>
        <v>---</v>
      </c>
      <c r="M339" s="294" t="str">
        <f t="shared" si="184"/>
        <v>---</v>
      </c>
      <c r="N339" s="291" t="str">
        <f t="shared" si="149"/>
        <v>---</v>
      </c>
    </row>
    <row r="340" spans="1:18">
      <c r="A340" s="438" t="str">
        <f t="shared" ref="A340:B340" si="197">A283</f>
        <v>---</v>
      </c>
      <c r="B340" s="294" t="str">
        <f t="shared" si="197"/>
        <v>---</v>
      </c>
      <c r="C340" s="294" t="str">
        <f t="shared" si="142"/>
        <v>---</v>
      </c>
      <c r="D340" s="294" t="str">
        <f t="shared" si="181"/>
        <v>---</v>
      </c>
      <c r="E340" s="291" t="str">
        <f t="shared" si="143"/>
        <v>---</v>
      </c>
      <c r="F340" s="294" t="str">
        <f t="shared" si="144"/>
        <v>---</v>
      </c>
      <c r="G340" s="294" t="str">
        <f t="shared" si="182"/>
        <v>---</v>
      </c>
      <c r="H340" s="291" t="str">
        <f t="shared" si="145"/>
        <v>---</v>
      </c>
      <c r="I340" s="294" t="str">
        <f t="shared" si="146"/>
        <v>---</v>
      </c>
      <c r="J340" s="294" t="str">
        <f t="shared" si="183"/>
        <v>---</v>
      </c>
      <c r="K340" s="291" t="str">
        <f t="shared" si="147"/>
        <v>---</v>
      </c>
      <c r="L340" s="294" t="str">
        <f t="shared" si="148"/>
        <v>---</v>
      </c>
      <c r="M340" s="294" t="str">
        <f t="shared" si="184"/>
        <v>---</v>
      </c>
      <c r="N340" s="291" t="str">
        <f t="shared" si="149"/>
        <v>---</v>
      </c>
    </row>
    <row r="341" spans="1:18">
      <c r="A341" s="438" t="str">
        <f t="shared" ref="A341:B341" si="198">A284</f>
        <v>---</v>
      </c>
      <c r="B341" s="294" t="str">
        <f t="shared" si="198"/>
        <v>---</v>
      </c>
      <c r="C341" s="294" t="str">
        <f t="shared" si="142"/>
        <v>---</v>
      </c>
      <c r="D341" s="294" t="str">
        <f t="shared" si="181"/>
        <v>---</v>
      </c>
      <c r="E341" s="291" t="str">
        <f t="shared" si="143"/>
        <v>---</v>
      </c>
      <c r="F341" s="294" t="str">
        <f t="shared" si="144"/>
        <v>---</v>
      </c>
      <c r="G341" s="294" t="str">
        <f t="shared" si="182"/>
        <v>---</v>
      </c>
      <c r="H341" s="291" t="str">
        <f t="shared" si="145"/>
        <v>---</v>
      </c>
      <c r="I341" s="294" t="str">
        <f t="shared" si="146"/>
        <v>---</v>
      </c>
      <c r="J341" s="294" t="str">
        <f t="shared" si="183"/>
        <v>---</v>
      </c>
      <c r="K341" s="291" t="str">
        <f t="shared" si="147"/>
        <v>---</v>
      </c>
      <c r="L341" s="294" t="str">
        <f t="shared" si="148"/>
        <v>---</v>
      </c>
      <c r="M341" s="294" t="str">
        <f t="shared" si="184"/>
        <v>---</v>
      </c>
      <c r="N341" s="291" t="str">
        <f t="shared" si="149"/>
        <v>---</v>
      </c>
    </row>
    <row r="342" spans="1:18">
      <c r="A342" s="438" t="str">
        <f t="shared" ref="A342:B342" si="199">A285</f>
        <v>---</v>
      </c>
      <c r="B342" s="294" t="str">
        <f t="shared" si="199"/>
        <v>---</v>
      </c>
      <c r="C342" s="294" t="str">
        <f t="shared" si="142"/>
        <v>---</v>
      </c>
      <c r="D342" s="294" t="str">
        <f t="shared" si="181"/>
        <v>---</v>
      </c>
      <c r="E342" s="291" t="str">
        <f t="shared" si="143"/>
        <v>---</v>
      </c>
      <c r="F342" s="294" t="str">
        <f t="shared" si="144"/>
        <v>---</v>
      </c>
      <c r="G342" s="294" t="str">
        <f t="shared" si="182"/>
        <v>---</v>
      </c>
      <c r="H342" s="291" t="str">
        <f t="shared" si="145"/>
        <v>---</v>
      </c>
      <c r="I342" s="294" t="str">
        <f t="shared" si="146"/>
        <v>---</v>
      </c>
      <c r="J342" s="294" t="str">
        <f t="shared" si="183"/>
        <v>---</v>
      </c>
      <c r="K342" s="291" t="str">
        <f t="shared" si="147"/>
        <v>---</v>
      </c>
      <c r="L342" s="294" t="str">
        <f t="shared" si="148"/>
        <v>---</v>
      </c>
      <c r="M342" s="294" t="str">
        <f t="shared" si="184"/>
        <v>---</v>
      </c>
      <c r="N342" s="291" t="str">
        <f t="shared" si="149"/>
        <v>---</v>
      </c>
    </row>
    <row r="343" spans="1:18">
      <c r="A343" s="438" t="str">
        <f t="shared" ref="A343:B343" si="200">A286</f>
        <v>---</v>
      </c>
      <c r="B343" s="294" t="str">
        <f t="shared" si="200"/>
        <v>---</v>
      </c>
      <c r="C343" s="294" t="str">
        <f t="shared" si="142"/>
        <v>---</v>
      </c>
      <c r="D343" s="294" t="str">
        <f t="shared" si="181"/>
        <v>---</v>
      </c>
      <c r="E343" s="291" t="str">
        <f t="shared" si="143"/>
        <v>---</v>
      </c>
      <c r="F343" s="294" t="str">
        <f t="shared" si="144"/>
        <v>---</v>
      </c>
      <c r="G343" s="294" t="str">
        <f t="shared" si="182"/>
        <v>---</v>
      </c>
      <c r="H343" s="291" t="str">
        <f t="shared" si="145"/>
        <v>---</v>
      </c>
      <c r="I343" s="294" t="str">
        <f t="shared" si="146"/>
        <v>---</v>
      </c>
      <c r="J343" s="294" t="str">
        <f t="shared" si="183"/>
        <v>---</v>
      </c>
      <c r="K343" s="291" t="str">
        <f t="shared" si="147"/>
        <v>---</v>
      </c>
      <c r="L343" s="294" t="str">
        <f t="shared" si="148"/>
        <v>---</v>
      </c>
      <c r="M343" s="294" t="str">
        <f t="shared" si="184"/>
        <v>---</v>
      </c>
      <c r="N343" s="291" t="str">
        <f t="shared" si="149"/>
        <v>---</v>
      </c>
    </row>
    <row r="344" spans="1:18">
      <c r="A344" s="438" t="str">
        <f t="shared" ref="A344:B344" si="201">A287</f>
        <v>---</v>
      </c>
      <c r="B344" s="294" t="str">
        <f t="shared" si="201"/>
        <v>---</v>
      </c>
      <c r="C344" s="294" t="str">
        <f t="shared" si="142"/>
        <v>---</v>
      </c>
      <c r="D344" s="294" t="str">
        <f t="shared" si="181"/>
        <v>---</v>
      </c>
      <c r="E344" s="291" t="str">
        <f t="shared" si="143"/>
        <v>---</v>
      </c>
      <c r="F344" s="294" t="str">
        <f t="shared" si="144"/>
        <v>---</v>
      </c>
      <c r="G344" s="294" t="str">
        <f t="shared" si="182"/>
        <v>---</v>
      </c>
      <c r="H344" s="291" t="str">
        <f t="shared" si="145"/>
        <v>---</v>
      </c>
      <c r="I344" s="294" t="str">
        <f t="shared" si="146"/>
        <v>---</v>
      </c>
      <c r="J344" s="294" t="str">
        <f t="shared" si="183"/>
        <v>---</v>
      </c>
      <c r="K344" s="291" t="str">
        <f t="shared" si="147"/>
        <v>---</v>
      </c>
      <c r="L344" s="294" t="str">
        <f t="shared" si="148"/>
        <v>---</v>
      </c>
      <c r="M344" s="294" t="str">
        <f t="shared" si="184"/>
        <v>---</v>
      </c>
      <c r="N344" s="291" t="str">
        <f t="shared" si="149"/>
        <v>---</v>
      </c>
    </row>
    <row r="345" spans="1:18">
      <c r="A345" s="7"/>
      <c r="B345" s="7"/>
      <c r="C345" s="234"/>
      <c r="D345" s="234"/>
      <c r="E345" s="234"/>
      <c r="F345" s="234"/>
      <c r="G345" s="234"/>
      <c r="H345" s="234"/>
      <c r="I345" s="234"/>
      <c r="J345" s="7"/>
      <c r="K345" s="234"/>
      <c r="L345" s="234"/>
      <c r="M345" s="234"/>
      <c r="N345" s="234"/>
    </row>
    <row r="346" spans="1:18">
      <c r="A346" s="234"/>
      <c r="B346" s="234"/>
      <c r="C346" s="234"/>
      <c r="D346" s="234"/>
      <c r="E346" s="234"/>
      <c r="F346" s="234"/>
      <c r="G346" s="234"/>
      <c r="H346" s="234"/>
      <c r="I346" s="234"/>
      <c r="J346" s="234"/>
      <c r="K346" s="234"/>
      <c r="L346" s="234"/>
      <c r="M346" s="234"/>
      <c r="N346" s="7"/>
      <c r="O346" s="234"/>
      <c r="P346" s="234"/>
      <c r="Q346" s="234"/>
      <c r="R346" s="234"/>
    </row>
    <row r="347" spans="1:18">
      <c r="A347" s="8" t="s">
        <v>360</v>
      </c>
      <c r="B347" s="234"/>
      <c r="C347" s="234"/>
      <c r="D347" s="234"/>
      <c r="E347" s="234"/>
      <c r="F347" s="234"/>
      <c r="G347" s="234"/>
      <c r="H347" s="234"/>
      <c r="I347" s="234"/>
      <c r="J347" s="234"/>
      <c r="K347" s="234"/>
      <c r="L347" s="234"/>
      <c r="M347" s="234"/>
      <c r="N347" s="7"/>
      <c r="O347" s="234"/>
      <c r="P347" s="234"/>
      <c r="Q347" s="234"/>
      <c r="R347" s="234"/>
    </row>
    <row r="348" spans="1:18">
      <c r="A348" s="234"/>
      <c r="B348" s="234"/>
      <c r="C348" s="234"/>
      <c r="D348" s="234"/>
      <c r="E348" s="234"/>
      <c r="F348" s="234"/>
      <c r="G348" s="234"/>
      <c r="H348" s="234"/>
      <c r="I348" s="234"/>
      <c r="J348" s="234"/>
      <c r="K348" s="234"/>
      <c r="L348" s="234"/>
      <c r="M348" s="234"/>
      <c r="N348" s="7"/>
      <c r="O348" s="234"/>
      <c r="P348" s="234"/>
      <c r="Q348" s="234"/>
      <c r="R348" s="234"/>
    </row>
    <row r="349" spans="1:18">
      <c r="A349" s="35" t="s">
        <v>353</v>
      </c>
      <c r="B349" s="234"/>
      <c r="C349" s="234"/>
      <c r="D349" s="234"/>
      <c r="E349" s="12" t="s">
        <v>354</v>
      </c>
      <c r="F349" s="234"/>
      <c r="G349" s="234"/>
      <c r="H349" s="234"/>
      <c r="I349" s="234"/>
      <c r="J349" s="234"/>
      <c r="K349" s="234"/>
      <c r="L349" s="234"/>
      <c r="M349" s="234"/>
      <c r="N349" s="234"/>
      <c r="O349" s="234"/>
      <c r="P349" s="234"/>
      <c r="Q349" s="234"/>
      <c r="R349" s="234"/>
    </row>
    <row r="350" spans="1:18">
      <c r="A350" s="35"/>
      <c r="B350" s="234"/>
      <c r="C350" s="234"/>
      <c r="D350" s="234"/>
      <c r="E350" s="234"/>
      <c r="F350" s="12"/>
      <c r="G350" s="234"/>
      <c r="H350" s="234"/>
      <c r="I350" s="234"/>
      <c r="J350" s="234"/>
      <c r="K350" s="234"/>
      <c r="L350" s="234"/>
      <c r="M350" s="234"/>
      <c r="N350" s="234"/>
      <c r="O350" s="234"/>
      <c r="P350" s="234"/>
      <c r="Q350" s="234"/>
      <c r="R350" s="234"/>
    </row>
    <row r="351" spans="1:18">
      <c r="B351" s="35" t="s">
        <v>370</v>
      </c>
      <c r="C351" s="234"/>
      <c r="D351" s="234"/>
      <c r="E351" s="152" t="s">
        <v>365</v>
      </c>
      <c r="F351" s="152"/>
      <c r="G351" s="154"/>
      <c r="H351" s="152" t="s">
        <v>366</v>
      </c>
      <c r="I351" s="152"/>
      <c r="J351" s="152"/>
      <c r="K351" s="231"/>
      <c r="L351" s="231"/>
      <c r="M351" s="231"/>
      <c r="N351" s="234"/>
      <c r="O351" s="234"/>
      <c r="P351" s="234"/>
      <c r="Q351" s="234"/>
      <c r="R351" s="234"/>
    </row>
    <row r="352" spans="1:18" ht="15.75">
      <c r="B352" s="12" t="s">
        <v>373</v>
      </c>
      <c r="C352" s="234"/>
      <c r="D352" s="153"/>
      <c r="E352" s="144" t="s">
        <v>367</v>
      </c>
      <c r="F352" s="294">
        <f>0.67*TAN(RADIANS(PHI_reinf))</f>
        <v>0.45192070628442593</v>
      </c>
      <c r="G352" s="228"/>
      <c r="H352" s="144" t="s">
        <v>709</v>
      </c>
      <c r="I352" s="294">
        <f>0.67*TAN(RADIANS(PHI_reinf))</f>
        <v>0.45192070628442593</v>
      </c>
      <c r="J352" s="9"/>
      <c r="K352" s="7"/>
      <c r="L352" s="7"/>
      <c r="M352" s="7"/>
      <c r="N352" s="234"/>
      <c r="O352" s="234"/>
      <c r="P352" s="234"/>
      <c r="Q352" s="234"/>
      <c r="R352" s="234"/>
    </row>
    <row r="353" spans="1:20" ht="15.75">
      <c r="B353" s="12" t="s">
        <v>357</v>
      </c>
      <c r="C353" s="234"/>
      <c r="D353" s="228"/>
      <c r="E353" s="144" t="s">
        <v>368</v>
      </c>
      <c r="F353" s="294">
        <f>TAN(RADIANS(PHI_reinf))</f>
        <v>0.67450851684242674</v>
      </c>
      <c r="G353" s="228"/>
      <c r="H353" s="385" t="s">
        <v>377</v>
      </c>
      <c r="I353" s="386"/>
      <c r="J353" s="7"/>
      <c r="K353" s="7"/>
      <c r="L353" s="7"/>
      <c r="M353" s="7"/>
      <c r="N353" s="234"/>
      <c r="O353" s="234"/>
      <c r="P353" s="234"/>
      <c r="Q353" s="234"/>
      <c r="R353" s="234"/>
    </row>
    <row r="354" spans="1:20">
      <c r="B354" s="12" t="s">
        <v>355</v>
      </c>
      <c r="C354" s="234"/>
      <c r="D354" s="228"/>
      <c r="E354" s="144" t="s">
        <v>372</v>
      </c>
      <c r="F354" s="294">
        <f>0.4</f>
        <v>0.4</v>
      </c>
      <c r="G354" s="228"/>
      <c r="H354" s="144" t="s">
        <v>372</v>
      </c>
      <c r="I354" s="294">
        <f>0.4</f>
        <v>0.4</v>
      </c>
      <c r="J354" s="7"/>
      <c r="K354" s="7"/>
      <c r="L354" s="7"/>
      <c r="M354" s="7"/>
      <c r="N354" s="234"/>
      <c r="O354" s="234"/>
      <c r="P354" s="234"/>
      <c r="Q354" s="234"/>
      <c r="R354" s="234"/>
    </row>
    <row r="355" spans="1:20" ht="15.75">
      <c r="B355" s="12" t="s">
        <v>356</v>
      </c>
      <c r="C355" s="234"/>
      <c r="D355" s="228"/>
      <c r="E355" s="144" t="s">
        <v>369</v>
      </c>
      <c r="F355" s="294">
        <f>IF(INPUT!I111=0,0,10*(INPUT!J111/INPUT!I111))</f>
        <v>0</v>
      </c>
      <c r="G355" s="228"/>
      <c r="H355" s="385" t="s">
        <v>371</v>
      </c>
      <c r="I355" s="386"/>
      <c r="J355" s="7"/>
      <c r="K355" s="7"/>
      <c r="L355" s="7"/>
      <c r="M355" s="7"/>
      <c r="N355" s="106"/>
      <c r="O355" s="106"/>
      <c r="P355" s="234"/>
      <c r="Q355" s="234"/>
      <c r="R355" s="234"/>
    </row>
    <row r="356" spans="1:20">
      <c r="A356" s="234"/>
      <c r="B356" s="234"/>
      <c r="C356" s="234"/>
      <c r="D356" s="234"/>
      <c r="E356" s="234"/>
      <c r="F356" s="234"/>
      <c r="G356" s="7"/>
      <c r="H356" s="234"/>
      <c r="I356" s="234"/>
      <c r="J356" s="234"/>
      <c r="K356" s="234"/>
      <c r="L356" s="234"/>
      <c r="M356" s="234"/>
      <c r="N356" s="234"/>
      <c r="O356" s="234"/>
      <c r="P356" s="234"/>
      <c r="Q356" s="234"/>
      <c r="R356" s="234"/>
    </row>
    <row r="357" spans="1:20">
      <c r="A357" s="35" t="s">
        <v>364</v>
      </c>
      <c r="B357" s="36"/>
      <c r="E357" s="12" t="s">
        <v>363</v>
      </c>
      <c r="H357" s="142"/>
      <c r="I357" s="142"/>
      <c r="J357" s="142"/>
      <c r="K357" s="142"/>
      <c r="L357" s="142"/>
      <c r="M357" s="142"/>
    </row>
    <row r="358" spans="1:20">
      <c r="A358" s="35"/>
      <c r="B358" s="36"/>
      <c r="E358" s="12"/>
      <c r="H358" s="142"/>
      <c r="I358" s="185"/>
      <c r="J358" s="142"/>
      <c r="K358" s="142"/>
      <c r="L358" s="142"/>
      <c r="M358" s="142"/>
    </row>
    <row r="359" spans="1:20">
      <c r="B359" s="12" t="s">
        <v>379</v>
      </c>
      <c r="C359" s="21"/>
      <c r="D359" s="363">
        <v>1</v>
      </c>
      <c r="H359" s="228"/>
      <c r="I359" s="75"/>
      <c r="J359" s="142"/>
      <c r="K359" s="142"/>
      <c r="L359" s="143"/>
      <c r="M359" s="142"/>
    </row>
    <row r="360" spans="1:20">
      <c r="B360" s="12" t="s">
        <v>374</v>
      </c>
      <c r="C360" s="21"/>
      <c r="D360" s="363">
        <v>0.8</v>
      </c>
      <c r="K360" s="37"/>
      <c r="L360" s="39"/>
    </row>
    <row r="361" spans="1:20">
      <c r="B361" s="152" t="s">
        <v>375</v>
      </c>
      <c r="C361" s="389"/>
      <c r="D361" s="390">
        <v>0.6</v>
      </c>
      <c r="S361" s="37"/>
    </row>
    <row r="362" spans="1:20">
      <c r="B362" s="12" t="s">
        <v>384</v>
      </c>
      <c r="C362" s="21"/>
      <c r="D362" s="391">
        <f>IF(Type_Reinf="g",IF(Type_of_Geo="d",D360,D361),D359)</f>
        <v>1</v>
      </c>
      <c r="F362" s="22"/>
      <c r="J362" s="9"/>
      <c r="L362" s="37"/>
    </row>
    <row r="363" spans="1:20">
      <c r="H363" s="9"/>
      <c r="I363" s="9"/>
      <c r="L363" s="37"/>
      <c r="M363" s="196" t="s">
        <v>536</v>
      </c>
      <c r="N363" s="196"/>
      <c r="O363" s="235"/>
      <c r="Q363" s="195" t="s">
        <v>521</v>
      </c>
    </row>
    <row r="364" spans="1:20" ht="15.75">
      <c r="E364" s="467" t="s">
        <v>359</v>
      </c>
      <c r="F364" s="467" t="s">
        <v>358</v>
      </c>
      <c r="G364" s="102"/>
      <c r="H364" s="9"/>
      <c r="I364" s="9"/>
      <c r="J364" s="211"/>
      <c r="L364" s="646" t="s">
        <v>800</v>
      </c>
      <c r="M364" s="216" t="s">
        <v>534</v>
      </c>
      <c r="N364" s="556"/>
      <c r="O364" s="87" t="s">
        <v>538</v>
      </c>
      <c r="P364" s="87" t="s">
        <v>539</v>
      </c>
      <c r="Q364" s="415"/>
      <c r="R364" s="87" t="s">
        <v>133</v>
      </c>
      <c r="S364" s="87" t="s">
        <v>759</v>
      </c>
      <c r="T364" s="7" t="s">
        <v>30</v>
      </c>
    </row>
    <row r="365" spans="1:20" ht="15.75">
      <c r="A365" s="234" t="s">
        <v>34</v>
      </c>
      <c r="B365" s="234" t="s">
        <v>35</v>
      </c>
      <c r="C365" s="229" t="s">
        <v>376</v>
      </c>
      <c r="D365" s="234" t="s">
        <v>37</v>
      </c>
      <c r="E365" s="213" t="s">
        <v>782</v>
      </c>
      <c r="F365" s="213" t="s">
        <v>783</v>
      </c>
      <c r="G365" s="229" t="s">
        <v>43</v>
      </c>
      <c r="H365" s="229" t="s">
        <v>342</v>
      </c>
      <c r="I365" s="19" t="s">
        <v>505</v>
      </c>
      <c r="J365" s="50" t="s">
        <v>527</v>
      </c>
      <c r="K365" s="229" t="s">
        <v>54</v>
      </c>
      <c r="L365" s="646"/>
      <c r="M365" s="216" t="s">
        <v>358</v>
      </c>
      <c r="N365" s="216" t="s">
        <v>30</v>
      </c>
      <c r="O365" s="87" t="s">
        <v>537</v>
      </c>
      <c r="P365" s="87" t="s">
        <v>545</v>
      </c>
      <c r="Q365" s="81" t="s">
        <v>43</v>
      </c>
      <c r="R365" s="555" t="s">
        <v>530</v>
      </c>
      <c r="S365" s="87" t="s">
        <v>512</v>
      </c>
      <c r="T365" s="7" t="s">
        <v>133</v>
      </c>
    </row>
    <row r="366" spans="1:20" ht="15.75">
      <c r="A366" s="229" t="s">
        <v>352</v>
      </c>
      <c r="B366" s="234" t="s">
        <v>42</v>
      </c>
      <c r="C366" s="234" t="s">
        <v>42</v>
      </c>
      <c r="D366" s="234" t="s">
        <v>42</v>
      </c>
      <c r="E366" s="234" t="s">
        <v>42</v>
      </c>
      <c r="F366" s="234" t="s">
        <v>42</v>
      </c>
      <c r="G366" s="229" t="s">
        <v>504</v>
      </c>
      <c r="H366" s="213" t="s">
        <v>532</v>
      </c>
      <c r="I366" s="241" t="s">
        <v>41</v>
      </c>
      <c r="J366" s="87" t="s">
        <v>41</v>
      </c>
      <c r="K366" s="229" t="s">
        <v>154</v>
      </c>
      <c r="L366" s="87" t="s">
        <v>41</v>
      </c>
      <c r="M366" s="216" t="s">
        <v>42</v>
      </c>
      <c r="N366" s="216" t="s">
        <v>358</v>
      </c>
      <c r="O366" s="87" t="s">
        <v>42</v>
      </c>
      <c r="P366" s="87" t="s">
        <v>42</v>
      </c>
      <c r="Q366" s="223" t="s">
        <v>132</v>
      </c>
      <c r="R366" s="87" t="s">
        <v>42</v>
      </c>
      <c r="S366" s="87" t="s">
        <v>42</v>
      </c>
      <c r="T366" s="555" t="s">
        <v>530</v>
      </c>
    </row>
    <row r="367" spans="1:20">
      <c r="A367" s="438">
        <f>A238</f>
        <v>1</v>
      </c>
      <c r="B367" s="294">
        <f>B238</f>
        <v>1.5</v>
      </c>
      <c r="C367" s="294">
        <f>B367</f>
        <v>1.5</v>
      </c>
      <c r="D367" s="294">
        <f>IF(A367="---","---",B367+$D$160)</f>
        <v>1.5</v>
      </c>
      <c r="E367" s="294">
        <f t="shared" ref="E367" si="202">IF(A367="---","---",IF(Type_Reinf="g",($I$11-B367)/TAN(RADIANS(psi_r)),IF(B367&lt;($I$11-$I$13/2),0.3*$I$13,(0.3/0.5)*($I$11-B367))))</f>
        <v>4.7910000000000004</v>
      </c>
      <c r="F367" s="294">
        <f t="shared" ref="F367" si="203">IF(A367="---","---",L_reinf-E367)</f>
        <v>16.209</v>
      </c>
      <c r="G367" s="291">
        <f>IF(A367="---","---",IF(Type_Reinf="g",$I$352,IF(AND(Type_Reinf="s",Type_Steel_Strip="s")=TRUE,$I$354,IF(C367&gt;=20,IF(Type_Reinf="s",$F$353,10*INPUT!$J$111/INPUT!$I$111),IF(Type_Reinf="s",MIN(1.2+LOG(Cu),2)-C367*((MIN(1.2+LOG(Cu),2)-TAN(RADIANS(PHI_reinf)))/20),20*(INPUT!$J$111/INPUT!$I$111)-10*(INPUT!$J$111/INPUT!$I$111)*C367/20)))))</f>
        <v>1.7174936307415472</v>
      </c>
      <c r="H367" s="296">
        <f t="shared" ref="H367" si="204">IF(A367="---","---",$D$159*IF(Type_Reinf="g",1,MAX((1.2+0.5*(20-B367)/20),1.2)))</f>
        <v>0.4700135540307972</v>
      </c>
      <c r="I367" s="294">
        <f>IF(A367="---","---",M238)</f>
        <v>0.41547826086956519</v>
      </c>
      <c r="J367" s="294">
        <f t="shared" ref="J367" si="205">IF(A367="---","---",gamma_P*(I367*H367+0))</f>
        <v>0.2636285589186827</v>
      </c>
      <c r="K367" s="294">
        <f>IF($A367="---","---",J367*$C238)</f>
        <v>0.72497853702637738</v>
      </c>
      <c r="L367" s="291">
        <f t="shared" ref="L367:L398" si="206">IF($A367="---","---",IF(Abut_on_Piles="y",gamma_reinf*C367+$I$23+IF(cf+bf+0.5*(B367-Ad)&lt;E367,0,IF(cf-0.5*(B367-Ad)&gt;E367,G238*IF(D238&gt;F367,F367,D238)/F367,G238*MAX(0,(cf+bf+0.5*(B367-Ad)-E367))/F367)),I367))</f>
        <v>0.22570655593913203</v>
      </c>
      <c r="M367" s="444">
        <f t="shared" ref="M367:M398" si="207">IF(A367="---","---",MAX(3,K367/(phi_Pullout_Static*G367*$D$362*L367*C_surf_geo*I178)))</f>
        <v>15.460241246809009</v>
      </c>
      <c r="N367" s="441" t="str">
        <f t="shared" ref="N367:N398" si="208">IF(A367="---","---",IF(M367&gt;F367,"NG!","OK"))</f>
        <v>OK</v>
      </c>
      <c r="O367" s="291" t="str">
        <f t="shared" ref="O367:O398" si="209">IF(M367&gt;F367,M367-F367,"---")</f>
        <v>---</v>
      </c>
      <c r="P367" s="291">
        <f t="shared" ref="P367:P398" si="210">IF($A367="---","---",IF(N367="OK",L_reinf,CEILING(E367+M367,1/12)))</f>
        <v>21</v>
      </c>
      <c r="Q367" s="294" t="str">
        <f t="shared" ref="Q367:Q398" si="211">IF(A295="---","---",IF(AND(Geo_Face="y",Geo_Conn="f")=TRUE,IF(rho="",TAN(2/3*RADIANS(PHI_reinf)),IF(rho_experimental="y",0.7*TAN(RADIANS(rho)),TAN(RADIANS(PHI_reinf)))),"---"))</f>
        <v>---</v>
      </c>
      <c r="R367" s="294" t="str">
        <f>IF(A295="---","---",IF(AND(Geo_Face="y",Geo_Conn="f")=TRUE,INPUT!Q111,"---"))</f>
        <v>---</v>
      </c>
      <c r="S367" s="291" t="str">
        <f t="shared" ref="S367:S398" si="212">IF(A295="---","---",IF(AND(Geo_Face="y",Geo_Conn="f")=TRUE,MAX(3,($K367/(phi_Pullout_Static*Q367*$D$362*I367*C_surf_geo*$I178))/2),"---"))</f>
        <v>---</v>
      </c>
      <c r="T367" s="441" t="str">
        <f t="shared" ref="T367:T398" si="213">IF(A295="---","---",IF(AND(Geo_Face="y",Geo_Conn="f")=TRUE,IF(R367&lt;S367,"NG!","OK"),"---"))</f>
        <v>---</v>
      </c>
    </row>
    <row r="368" spans="1:20">
      <c r="A368" s="438">
        <f t="shared" ref="A368:B368" si="214">A239</f>
        <v>2</v>
      </c>
      <c r="B368" s="294">
        <f t="shared" si="214"/>
        <v>4</v>
      </c>
      <c r="C368" s="294">
        <f t="shared" ref="C368:C416" si="215">B368</f>
        <v>4</v>
      </c>
      <c r="D368" s="294">
        <f t="shared" ref="D368:D416" si="216">IF(A368="---","---",B368+$D$160)</f>
        <v>4</v>
      </c>
      <c r="E368" s="294">
        <f t="shared" ref="E368:E416" si="217">IF(A368="---","---",IF(Type_Reinf="g",($I$11-B368)/TAN(RADIANS(psi_r)),IF(B368&lt;($I$11-$I$13/2),0.3*$I$13,(0.3/0.5)*($I$11-B368))))</f>
        <v>4.7910000000000004</v>
      </c>
      <c r="F368" s="294">
        <f t="shared" ref="F368:F416" si="218">IF(A368="---","---",L_reinf-E368)</f>
        <v>16.209</v>
      </c>
      <c r="G368" s="291">
        <f>IF(A368="---","---",IF(Type_Reinf="g",$I$352,IF(AND(Type_Reinf="s",Type_Steel_Strip="s")=TRUE,$I$354,IF(C368&gt;=20,IF(Type_Reinf="s",$F$353,10*INPUT!$J$111/INPUT!$I$111),IF(Type_Reinf="s",MIN(1.2+LOG(Cu),2)-C368*((MIN(1.2+LOG(Cu),2)-TAN(RADIANS(PHI_reinf)))/20),20*(INPUT!$J$111/INPUT!$I$111)-10*(INPUT!$J$111/INPUT!$I$111)*C368/20)))))</f>
        <v>1.5765496964308552</v>
      </c>
      <c r="H368" s="296">
        <f t="shared" ref="H368:H416" si="219">IF(A368="---","---",$D$159*IF(Type_Reinf="g",1,MAX((1.2+0.5*(20-B368)/20),1.2)))</f>
        <v>0.45234387154843642</v>
      </c>
      <c r="I368" s="294">
        <f t="shared" ref="I368:I398" si="220">IF(A368="---","---",M239)</f>
        <v>0.52229395604395601</v>
      </c>
      <c r="J368" s="294">
        <f t="shared" ref="J368:J416" si="221">IF(A368="---","---",gamma_P*(I368*H368+0))</f>
        <v>0.31894623472041711</v>
      </c>
      <c r="K368" s="294">
        <f t="shared" ref="K368:K416" si="222">IF($A368="---","---",J368*$C239)</f>
        <v>0.79736558680104275</v>
      </c>
      <c r="L368" s="291">
        <f t="shared" si="206"/>
        <v>0.38492131881013059</v>
      </c>
      <c r="M368" s="444">
        <f t="shared" si="207"/>
        <v>10.861962121007569</v>
      </c>
      <c r="N368" s="441" t="str">
        <f t="shared" si="208"/>
        <v>OK</v>
      </c>
      <c r="O368" s="291" t="str">
        <f t="shared" si="209"/>
        <v>---</v>
      </c>
      <c r="P368" s="291">
        <f t="shared" si="210"/>
        <v>21</v>
      </c>
      <c r="Q368" s="294" t="str">
        <f t="shared" si="211"/>
        <v>---</v>
      </c>
      <c r="R368" s="294" t="str">
        <f>IF(A296="---","---",IF(AND(Geo_Face="y",Geo_Conn="f")=TRUE,INPUT!Q112,"---"))</f>
        <v>---</v>
      </c>
      <c r="S368" s="291" t="str">
        <f t="shared" si="212"/>
        <v>---</v>
      </c>
      <c r="T368" s="441" t="str">
        <f t="shared" si="213"/>
        <v>---</v>
      </c>
    </row>
    <row r="369" spans="1:20">
      <c r="A369" s="438">
        <f t="shared" ref="A369:B369" si="223">A240</f>
        <v>3</v>
      </c>
      <c r="B369" s="294">
        <f t="shared" si="223"/>
        <v>6.5</v>
      </c>
      <c r="C369" s="294">
        <f t="shared" si="215"/>
        <v>6.5</v>
      </c>
      <c r="D369" s="294">
        <f t="shared" si="216"/>
        <v>6.5</v>
      </c>
      <c r="E369" s="294">
        <f t="shared" si="217"/>
        <v>4.7910000000000004</v>
      </c>
      <c r="F369" s="294">
        <f t="shared" si="218"/>
        <v>16.209</v>
      </c>
      <c r="G369" s="291">
        <f>IF(A369="---","---",IF(Type_Reinf="g",$I$352,IF(AND(Type_Reinf="s",Type_Steel_Strip="s")=TRUE,$I$354,IF(C369&gt;=20,IF(Type_Reinf="s",$F$353,10*INPUT!$J$111/INPUT!$I$111),IF(Type_Reinf="s",MIN(1.2+LOG(Cu),2)-C369*((MIN(1.2+LOG(Cu),2)-TAN(RADIANS(PHI_reinf)))/20),20*(INPUT!$J$111/INPUT!$I$111)-10*(INPUT!$J$111/INPUT!$I$111)*C369/20)))))</f>
        <v>1.4356057621201632</v>
      </c>
      <c r="H369" s="296">
        <f t="shared" si="219"/>
        <v>0.43467418906607563</v>
      </c>
      <c r="I369" s="294">
        <f t="shared" si="220"/>
        <v>0.64851113716295428</v>
      </c>
      <c r="J369" s="294">
        <f t="shared" si="221"/>
        <v>0.38055292107294469</v>
      </c>
      <c r="K369" s="294">
        <f t="shared" si="222"/>
        <v>0.95138230268236179</v>
      </c>
      <c r="L369" s="291">
        <f t="shared" si="206"/>
        <v>0.54195096192561454</v>
      </c>
      <c r="M369" s="444">
        <f t="shared" si="207"/>
        <v>10.108583675462949</v>
      </c>
      <c r="N369" s="441" t="str">
        <f t="shared" si="208"/>
        <v>OK</v>
      </c>
      <c r="O369" s="291" t="str">
        <f t="shared" si="209"/>
        <v>---</v>
      </c>
      <c r="P369" s="291">
        <f t="shared" si="210"/>
        <v>21</v>
      </c>
      <c r="Q369" s="294" t="str">
        <f t="shared" si="211"/>
        <v>---</v>
      </c>
      <c r="R369" s="294" t="str">
        <f>IF(A297="---","---",IF(AND(Geo_Face="y",Geo_Conn="f")=TRUE,INPUT!Q113,"---"))</f>
        <v>---</v>
      </c>
      <c r="S369" s="291" t="str">
        <f t="shared" si="212"/>
        <v>---</v>
      </c>
      <c r="T369" s="441" t="str">
        <f t="shared" si="213"/>
        <v>---</v>
      </c>
    </row>
    <row r="370" spans="1:20">
      <c r="A370" s="438">
        <f t="shared" ref="A370:B370" si="224">A241</f>
        <v>4</v>
      </c>
      <c r="B370" s="294">
        <f t="shared" si="224"/>
        <v>9</v>
      </c>
      <c r="C370" s="294">
        <f t="shared" si="215"/>
        <v>9</v>
      </c>
      <c r="D370" s="294">
        <f t="shared" si="216"/>
        <v>9</v>
      </c>
      <c r="E370" s="294">
        <f t="shared" si="217"/>
        <v>4.1820000000000004</v>
      </c>
      <c r="F370" s="294">
        <f t="shared" si="218"/>
        <v>16.817999999999998</v>
      </c>
      <c r="G370" s="291">
        <f>IF(A370="---","---",IF(Type_Reinf="g",$I$352,IF(AND(Type_Reinf="s",Type_Steel_Strip="s")=TRUE,$I$354,IF(C370&gt;=20,IF(Type_Reinf="s",$F$353,10*INPUT!$J$111/INPUT!$I$111),IF(Type_Reinf="s",MIN(1.2+LOG(Cu),2)-C370*((MIN(1.2+LOG(Cu),2)-TAN(RADIANS(PHI_reinf)))/20),20*(INPUT!$J$111/INPUT!$I$111)-10*(INPUT!$J$111/INPUT!$I$111)*C370/20)))))</f>
        <v>1.2946618278094713</v>
      </c>
      <c r="H370" s="296">
        <f t="shared" si="219"/>
        <v>0.4170045065837148</v>
      </c>
      <c r="I370" s="294">
        <f t="shared" si="220"/>
        <v>0.78080777096114518</v>
      </c>
      <c r="J370" s="294">
        <f t="shared" si="221"/>
        <v>0.43956048500961648</v>
      </c>
      <c r="K370" s="294">
        <f t="shared" si="222"/>
        <v>1.0989012125240412</v>
      </c>
      <c r="L370" s="291">
        <f t="shared" si="206"/>
        <v>0.70021179104771625</v>
      </c>
      <c r="M370" s="444">
        <f t="shared" si="207"/>
        <v>10.020821258348303</v>
      </c>
      <c r="N370" s="441" t="str">
        <f t="shared" si="208"/>
        <v>OK</v>
      </c>
      <c r="O370" s="291" t="str">
        <f t="shared" si="209"/>
        <v>---</v>
      </c>
      <c r="P370" s="291">
        <f t="shared" si="210"/>
        <v>21</v>
      </c>
      <c r="Q370" s="294" t="str">
        <f t="shared" si="211"/>
        <v>---</v>
      </c>
      <c r="R370" s="294" t="str">
        <f>IF(A298="---","---",IF(AND(Geo_Face="y",Geo_Conn="f")=TRUE,INPUT!Q114,"---"))</f>
        <v>---</v>
      </c>
      <c r="S370" s="291" t="str">
        <f t="shared" si="212"/>
        <v>---</v>
      </c>
      <c r="T370" s="441" t="str">
        <f t="shared" si="213"/>
        <v>---</v>
      </c>
    </row>
    <row r="371" spans="1:20">
      <c r="A371" s="438">
        <f t="shared" ref="A371:B371" si="225">A242</f>
        <v>5</v>
      </c>
      <c r="B371" s="294">
        <f t="shared" si="225"/>
        <v>11.5</v>
      </c>
      <c r="C371" s="294">
        <f t="shared" si="215"/>
        <v>11.5</v>
      </c>
      <c r="D371" s="294">
        <f t="shared" si="216"/>
        <v>11.5</v>
      </c>
      <c r="E371" s="294">
        <f t="shared" si="217"/>
        <v>2.6820000000000004</v>
      </c>
      <c r="F371" s="294">
        <f t="shared" si="218"/>
        <v>18.317999999999998</v>
      </c>
      <c r="G371" s="291">
        <f>IF(A371="---","---",IF(Type_Reinf="g",$I$352,IF(AND(Type_Reinf="s",Type_Steel_Strip="s")=TRUE,$I$354,IF(C371&gt;=20,IF(Type_Reinf="s",$F$353,10*INPUT!$J$111/INPUT!$I$111),IF(Type_Reinf="s",MIN(1.2+LOG(Cu),2)-C371*((MIN(1.2+LOG(Cu),2)-TAN(RADIANS(PHI_reinf)))/20),20*(INPUT!$J$111/INPUT!$I$111)-10*(INPUT!$J$111/INPUT!$I$111)*C371/20)))))</f>
        <v>1.1537178934987793</v>
      </c>
      <c r="H371" s="296">
        <f t="shared" si="219"/>
        <v>0.39933482410135396</v>
      </c>
      <c r="I371" s="294">
        <f t="shared" si="220"/>
        <v>0.91711695376246594</v>
      </c>
      <c r="J371" s="294">
        <f t="shared" si="221"/>
        <v>0.49441959550499032</v>
      </c>
      <c r="K371" s="294">
        <f t="shared" si="222"/>
        <v>1.2360489887624757</v>
      </c>
      <c r="L371" s="291">
        <f t="shared" si="206"/>
        <v>0.85881604596621164</v>
      </c>
      <c r="M371" s="444">
        <f t="shared" si="207"/>
        <v>10.312556270306912</v>
      </c>
      <c r="N371" s="441" t="str">
        <f t="shared" si="208"/>
        <v>OK</v>
      </c>
      <c r="O371" s="291" t="str">
        <f t="shared" si="209"/>
        <v>---</v>
      </c>
      <c r="P371" s="291">
        <f t="shared" si="210"/>
        <v>21</v>
      </c>
      <c r="Q371" s="294" t="str">
        <f t="shared" si="211"/>
        <v>---</v>
      </c>
      <c r="R371" s="294" t="str">
        <f>IF(A299="---","---",IF(AND(Geo_Face="y",Geo_Conn="f")=TRUE,INPUT!Q115,"---"))</f>
        <v>---</v>
      </c>
      <c r="S371" s="291" t="str">
        <f t="shared" si="212"/>
        <v>---</v>
      </c>
      <c r="T371" s="441" t="str">
        <f t="shared" si="213"/>
        <v>---</v>
      </c>
    </row>
    <row r="372" spans="1:20">
      <c r="A372" s="438">
        <f t="shared" ref="A372:B372" si="226">A243</f>
        <v>6</v>
      </c>
      <c r="B372" s="294">
        <f t="shared" si="226"/>
        <v>14</v>
      </c>
      <c r="C372" s="294">
        <f t="shared" si="215"/>
        <v>14</v>
      </c>
      <c r="D372" s="294">
        <f t="shared" si="216"/>
        <v>14</v>
      </c>
      <c r="E372" s="294">
        <f t="shared" si="217"/>
        <v>1.1820000000000004</v>
      </c>
      <c r="F372" s="294">
        <f t="shared" si="218"/>
        <v>19.817999999999998</v>
      </c>
      <c r="G372" s="291">
        <f>IF(A372="---","---",IF(Type_Reinf="g",$I$352,IF(AND(Type_Reinf="s",Type_Steel_Strip="s")=TRUE,$I$354,IF(C372&gt;=20,IF(Type_Reinf="s",$F$353,10*INPUT!$J$111/INPUT!$I$111),IF(Type_Reinf="s",MIN(1.2+LOG(Cu),2)-C372*((MIN(1.2+LOG(Cu),2)-TAN(RADIANS(PHI_reinf)))/20),20*(INPUT!$J$111/INPUT!$I$111)-10*(INPUT!$J$111/INPUT!$I$111)*C372/20)))))</f>
        <v>1.0127739591880873</v>
      </c>
      <c r="H372" s="296">
        <f t="shared" si="219"/>
        <v>0.38166514161899318</v>
      </c>
      <c r="I372" s="294">
        <f t="shared" si="220"/>
        <v>1.0562133550488599</v>
      </c>
      <c r="J372" s="294">
        <f t="shared" si="221"/>
        <v>0.54421175664170329</v>
      </c>
      <c r="K372" s="294">
        <f t="shared" si="222"/>
        <v>1.7523618563862851</v>
      </c>
      <c r="L372" s="291">
        <f t="shared" si="206"/>
        <v>1.0138790904396129</v>
      </c>
      <c r="M372" s="444">
        <f t="shared" si="207"/>
        <v>14.107677552837439</v>
      </c>
      <c r="N372" s="441" t="str">
        <f t="shared" si="208"/>
        <v>OK</v>
      </c>
      <c r="O372" s="291" t="str">
        <f t="shared" si="209"/>
        <v>---</v>
      </c>
      <c r="P372" s="291">
        <f t="shared" si="210"/>
        <v>21</v>
      </c>
      <c r="Q372" s="294" t="str">
        <f t="shared" si="211"/>
        <v>---</v>
      </c>
      <c r="R372" s="294" t="str">
        <f>IF(A300="---","---",IF(AND(Geo_Face="y",Geo_Conn="f")=TRUE,INPUT!Q116,"---"))</f>
        <v>---</v>
      </c>
      <c r="S372" s="291" t="str">
        <f t="shared" si="212"/>
        <v>---</v>
      </c>
      <c r="T372" s="441" t="str">
        <f t="shared" si="213"/>
        <v>---</v>
      </c>
    </row>
    <row r="373" spans="1:20">
      <c r="A373" s="438" t="str">
        <f t="shared" ref="A373:B373" si="227">A244</f>
        <v>---</v>
      </c>
      <c r="B373" s="294" t="str">
        <f t="shared" si="227"/>
        <v>---</v>
      </c>
      <c r="C373" s="294" t="str">
        <f t="shared" si="215"/>
        <v>---</v>
      </c>
      <c r="D373" s="294" t="str">
        <f t="shared" si="216"/>
        <v>---</v>
      </c>
      <c r="E373" s="294" t="str">
        <f t="shared" si="217"/>
        <v>---</v>
      </c>
      <c r="F373" s="294" t="str">
        <f t="shared" si="218"/>
        <v>---</v>
      </c>
      <c r="G373" s="291" t="str">
        <f>IF(A373="---","---",IF(Type_Reinf="g",$I$352,IF(AND(Type_Reinf="s",Type_Steel_Strip="s")=TRUE,$I$354,IF(C373&gt;=20,IF(Type_Reinf="s",$F$353,10*INPUT!$J$111/INPUT!$I$111),IF(Type_Reinf="s",MIN(1.2+LOG(Cu),2)-C373*((MIN(1.2+LOG(Cu),2)-TAN(RADIANS(PHI_reinf)))/20),20*(INPUT!$J$111/INPUT!$I$111)-10*(INPUT!$J$111/INPUT!$I$111)*C373/20)))))</f>
        <v>---</v>
      </c>
      <c r="H373" s="296" t="str">
        <f t="shared" si="219"/>
        <v>---</v>
      </c>
      <c r="I373" s="294" t="str">
        <f t="shared" si="220"/>
        <v>---</v>
      </c>
      <c r="J373" s="294" t="str">
        <f t="shared" si="221"/>
        <v>---</v>
      </c>
      <c r="K373" s="294" t="str">
        <f t="shared" si="222"/>
        <v>---</v>
      </c>
      <c r="L373" s="291" t="str">
        <f t="shared" si="206"/>
        <v>---</v>
      </c>
      <c r="M373" s="444" t="str">
        <f t="shared" si="207"/>
        <v>---</v>
      </c>
      <c r="N373" s="441" t="str">
        <f t="shared" si="208"/>
        <v>---</v>
      </c>
      <c r="O373" s="291" t="str">
        <f t="shared" si="209"/>
        <v>---</v>
      </c>
      <c r="P373" s="291" t="str">
        <f t="shared" si="210"/>
        <v>---</v>
      </c>
      <c r="Q373" s="294" t="str">
        <f t="shared" si="211"/>
        <v>---</v>
      </c>
      <c r="R373" s="294" t="str">
        <f>IF(A301="---","---",IF(AND(Geo_Face="y",Geo_Conn="f")=TRUE,INPUT!Q117,"---"))</f>
        <v>---</v>
      </c>
      <c r="S373" s="291" t="str">
        <f t="shared" si="212"/>
        <v>---</v>
      </c>
      <c r="T373" s="441" t="str">
        <f t="shared" si="213"/>
        <v>---</v>
      </c>
    </row>
    <row r="374" spans="1:20">
      <c r="A374" s="438" t="str">
        <f t="shared" ref="A374:B374" si="228">A245</f>
        <v>---</v>
      </c>
      <c r="B374" s="294" t="str">
        <f t="shared" si="228"/>
        <v>---</v>
      </c>
      <c r="C374" s="294" t="str">
        <f t="shared" si="215"/>
        <v>---</v>
      </c>
      <c r="D374" s="294" t="str">
        <f t="shared" si="216"/>
        <v>---</v>
      </c>
      <c r="E374" s="294" t="str">
        <f t="shared" si="217"/>
        <v>---</v>
      </c>
      <c r="F374" s="294" t="str">
        <f t="shared" si="218"/>
        <v>---</v>
      </c>
      <c r="G374" s="291" t="str">
        <f>IF(A374="---","---",IF(Type_Reinf="g",$I$352,IF(AND(Type_Reinf="s",Type_Steel_Strip="s")=TRUE,$I$354,IF(C374&gt;=20,IF(Type_Reinf="s",$F$353,10*INPUT!$J$111/INPUT!$I$111),IF(Type_Reinf="s",MIN(1.2+LOG(Cu),2)-C374*((MIN(1.2+LOG(Cu),2)-TAN(RADIANS(PHI_reinf)))/20),20*(INPUT!$J$111/INPUT!$I$111)-10*(INPUT!$J$111/INPUT!$I$111)*C374/20)))))</f>
        <v>---</v>
      </c>
      <c r="H374" s="296" t="str">
        <f t="shared" si="219"/>
        <v>---</v>
      </c>
      <c r="I374" s="294" t="str">
        <f t="shared" si="220"/>
        <v>---</v>
      </c>
      <c r="J374" s="294" t="str">
        <f t="shared" si="221"/>
        <v>---</v>
      </c>
      <c r="K374" s="294" t="str">
        <f t="shared" si="222"/>
        <v>---</v>
      </c>
      <c r="L374" s="291" t="str">
        <f t="shared" si="206"/>
        <v>---</v>
      </c>
      <c r="M374" s="444" t="str">
        <f t="shared" si="207"/>
        <v>---</v>
      </c>
      <c r="N374" s="441" t="str">
        <f t="shared" si="208"/>
        <v>---</v>
      </c>
      <c r="O374" s="291" t="str">
        <f t="shared" si="209"/>
        <v>---</v>
      </c>
      <c r="P374" s="291" t="str">
        <f t="shared" si="210"/>
        <v>---</v>
      </c>
      <c r="Q374" s="294" t="str">
        <f t="shared" si="211"/>
        <v>---</v>
      </c>
      <c r="R374" s="294" t="str">
        <f>IF(A302="---","---",IF(AND(Geo_Face="y",Geo_Conn="f")=TRUE,INPUT!Q118,"---"))</f>
        <v>---</v>
      </c>
      <c r="S374" s="291" t="str">
        <f t="shared" si="212"/>
        <v>---</v>
      </c>
      <c r="T374" s="441" t="str">
        <f t="shared" si="213"/>
        <v>---</v>
      </c>
    </row>
    <row r="375" spans="1:20">
      <c r="A375" s="438" t="str">
        <f t="shared" ref="A375:B375" si="229">A246</f>
        <v>---</v>
      </c>
      <c r="B375" s="294" t="str">
        <f t="shared" si="229"/>
        <v>---</v>
      </c>
      <c r="C375" s="294" t="str">
        <f t="shared" si="215"/>
        <v>---</v>
      </c>
      <c r="D375" s="294" t="str">
        <f t="shared" si="216"/>
        <v>---</v>
      </c>
      <c r="E375" s="294" t="str">
        <f t="shared" si="217"/>
        <v>---</v>
      </c>
      <c r="F375" s="294" t="str">
        <f t="shared" si="218"/>
        <v>---</v>
      </c>
      <c r="G375" s="291" t="str">
        <f>IF(A375="---","---",IF(Type_Reinf="g",$I$352,IF(AND(Type_Reinf="s",Type_Steel_Strip="s")=TRUE,$I$354,IF(C375&gt;=20,IF(Type_Reinf="s",$F$353,10*INPUT!$J$111/INPUT!$I$111),IF(Type_Reinf="s",MIN(1.2+LOG(Cu),2)-C375*((MIN(1.2+LOG(Cu),2)-TAN(RADIANS(PHI_reinf)))/20),20*(INPUT!$J$111/INPUT!$I$111)-10*(INPUT!$J$111/INPUT!$I$111)*C375/20)))))</f>
        <v>---</v>
      </c>
      <c r="H375" s="296" t="str">
        <f t="shared" si="219"/>
        <v>---</v>
      </c>
      <c r="I375" s="294" t="str">
        <f t="shared" si="220"/>
        <v>---</v>
      </c>
      <c r="J375" s="294" t="str">
        <f t="shared" si="221"/>
        <v>---</v>
      </c>
      <c r="K375" s="294" t="str">
        <f t="shared" si="222"/>
        <v>---</v>
      </c>
      <c r="L375" s="291" t="str">
        <f t="shared" si="206"/>
        <v>---</v>
      </c>
      <c r="M375" s="444" t="str">
        <f t="shared" si="207"/>
        <v>---</v>
      </c>
      <c r="N375" s="441" t="str">
        <f t="shared" si="208"/>
        <v>---</v>
      </c>
      <c r="O375" s="291" t="str">
        <f t="shared" si="209"/>
        <v>---</v>
      </c>
      <c r="P375" s="291" t="str">
        <f t="shared" si="210"/>
        <v>---</v>
      </c>
      <c r="Q375" s="294" t="str">
        <f t="shared" si="211"/>
        <v>---</v>
      </c>
      <c r="R375" s="294" t="str">
        <f>IF(A303="---","---",IF(AND(Geo_Face="y",Geo_Conn="f")=TRUE,INPUT!Q119,"---"))</f>
        <v>---</v>
      </c>
      <c r="S375" s="291" t="str">
        <f t="shared" si="212"/>
        <v>---</v>
      </c>
      <c r="T375" s="441" t="str">
        <f t="shared" si="213"/>
        <v>---</v>
      </c>
    </row>
    <row r="376" spans="1:20">
      <c r="A376" s="438" t="str">
        <f t="shared" ref="A376:B376" si="230">A247</f>
        <v>---</v>
      </c>
      <c r="B376" s="294" t="str">
        <f t="shared" si="230"/>
        <v>---</v>
      </c>
      <c r="C376" s="294" t="str">
        <f t="shared" si="215"/>
        <v>---</v>
      </c>
      <c r="D376" s="294" t="str">
        <f t="shared" si="216"/>
        <v>---</v>
      </c>
      <c r="E376" s="294" t="str">
        <f t="shared" si="217"/>
        <v>---</v>
      </c>
      <c r="F376" s="294" t="str">
        <f t="shared" si="218"/>
        <v>---</v>
      </c>
      <c r="G376" s="291" t="str">
        <f>IF(A376="---","---",IF(Type_Reinf="g",$I$352,IF(AND(Type_Reinf="s",Type_Steel_Strip="s")=TRUE,$I$354,IF(C376&gt;=20,IF(Type_Reinf="s",$F$353,10*INPUT!$J$111/INPUT!$I$111),IF(Type_Reinf="s",MIN(1.2+LOG(Cu),2)-C376*((MIN(1.2+LOG(Cu),2)-TAN(RADIANS(PHI_reinf)))/20),20*(INPUT!$J$111/INPUT!$I$111)-10*(INPUT!$J$111/INPUT!$I$111)*C376/20)))))</f>
        <v>---</v>
      </c>
      <c r="H376" s="296" t="str">
        <f t="shared" si="219"/>
        <v>---</v>
      </c>
      <c r="I376" s="294" t="str">
        <f t="shared" si="220"/>
        <v>---</v>
      </c>
      <c r="J376" s="294" t="str">
        <f t="shared" si="221"/>
        <v>---</v>
      </c>
      <c r="K376" s="294" t="str">
        <f t="shared" si="222"/>
        <v>---</v>
      </c>
      <c r="L376" s="291" t="str">
        <f t="shared" si="206"/>
        <v>---</v>
      </c>
      <c r="M376" s="444" t="str">
        <f t="shared" si="207"/>
        <v>---</v>
      </c>
      <c r="N376" s="441" t="str">
        <f t="shared" si="208"/>
        <v>---</v>
      </c>
      <c r="O376" s="291" t="str">
        <f t="shared" si="209"/>
        <v>---</v>
      </c>
      <c r="P376" s="291" t="str">
        <f t="shared" si="210"/>
        <v>---</v>
      </c>
      <c r="Q376" s="294" t="str">
        <f t="shared" si="211"/>
        <v>---</v>
      </c>
      <c r="R376" s="294" t="str">
        <f>IF(A304="---","---",IF(AND(Geo_Face="y",Geo_Conn="f")=TRUE,INPUT!Q120,"---"))</f>
        <v>---</v>
      </c>
      <c r="S376" s="291" t="str">
        <f t="shared" si="212"/>
        <v>---</v>
      </c>
      <c r="T376" s="441" t="str">
        <f t="shared" si="213"/>
        <v>---</v>
      </c>
    </row>
    <row r="377" spans="1:20">
      <c r="A377" s="438" t="str">
        <f t="shared" ref="A377:B377" si="231">A248</f>
        <v>---</v>
      </c>
      <c r="B377" s="294" t="str">
        <f t="shared" si="231"/>
        <v>---</v>
      </c>
      <c r="C377" s="294" t="str">
        <f t="shared" si="215"/>
        <v>---</v>
      </c>
      <c r="D377" s="294" t="str">
        <f t="shared" si="216"/>
        <v>---</v>
      </c>
      <c r="E377" s="294" t="str">
        <f t="shared" si="217"/>
        <v>---</v>
      </c>
      <c r="F377" s="294" t="str">
        <f t="shared" si="218"/>
        <v>---</v>
      </c>
      <c r="G377" s="291" t="str">
        <f>IF(A377="---","---",IF(Type_Reinf="g",$I$352,IF(AND(Type_Reinf="s",Type_Steel_Strip="s")=TRUE,$I$354,IF(C377&gt;=20,IF(Type_Reinf="s",$F$353,10*INPUT!$J$111/INPUT!$I$111),IF(Type_Reinf="s",MIN(1.2+LOG(Cu),2)-C377*((MIN(1.2+LOG(Cu),2)-TAN(RADIANS(PHI_reinf)))/20),20*(INPUT!$J$111/INPUT!$I$111)-10*(INPUT!$J$111/INPUT!$I$111)*C377/20)))))</f>
        <v>---</v>
      </c>
      <c r="H377" s="296" t="str">
        <f t="shared" si="219"/>
        <v>---</v>
      </c>
      <c r="I377" s="294" t="str">
        <f t="shared" si="220"/>
        <v>---</v>
      </c>
      <c r="J377" s="294" t="str">
        <f t="shared" si="221"/>
        <v>---</v>
      </c>
      <c r="K377" s="294" t="str">
        <f t="shared" si="222"/>
        <v>---</v>
      </c>
      <c r="L377" s="291" t="str">
        <f t="shared" si="206"/>
        <v>---</v>
      </c>
      <c r="M377" s="444" t="str">
        <f t="shared" si="207"/>
        <v>---</v>
      </c>
      <c r="N377" s="441" t="str">
        <f t="shared" si="208"/>
        <v>---</v>
      </c>
      <c r="O377" s="291" t="str">
        <f t="shared" si="209"/>
        <v>---</v>
      </c>
      <c r="P377" s="291" t="str">
        <f t="shared" si="210"/>
        <v>---</v>
      </c>
      <c r="Q377" s="294" t="str">
        <f t="shared" si="211"/>
        <v>---</v>
      </c>
      <c r="R377" s="294" t="str">
        <f>IF(A305="---","---",IF(AND(Geo_Face="y",Geo_Conn="f")=TRUE,INPUT!Q121,"---"))</f>
        <v>---</v>
      </c>
      <c r="S377" s="291" t="str">
        <f t="shared" si="212"/>
        <v>---</v>
      </c>
      <c r="T377" s="441" t="str">
        <f t="shared" si="213"/>
        <v>---</v>
      </c>
    </row>
    <row r="378" spans="1:20">
      <c r="A378" s="438" t="str">
        <f t="shared" ref="A378:B378" si="232">A249</f>
        <v>---</v>
      </c>
      <c r="B378" s="294" t="str">
        <f t="shared" si="232"/>
        <v>---</v>
      </c>
      <c r="C378" s="294" t="str">
        <f t="shared" si="215"/>
        <v>---</v>
      </c>
      <c r="D378" s="294" t="str">
        <f t="shared" si="216"/>
        <v>---</v>
      </c>
      <c r="E378" s="294" t="str">
        <f t="shared" si="217"/>
        <v>---</v>
      </c>
      <c r="F378" s="294" t="str">
        <f t="shared" si="218"/>
        <v>---</v>
      </c>
      <c r="G378" s="291" t="str">
        <f>IF(A378="---","---",IF(Type_Reinf="g",$I$352,IF(AND(Type_Reinf="s",Type_Steel_Strip="s")=TRUE,$I$354,IF(C378&gt;=20,IF(Type_Reinf="s",$F$353,10*INPUT!$J$111/INPUT!$I$111),IF(Type_Reinf="s",MIN(1.2+LOG(Cu),2)-C378*((MIN(1.2+LOG(Cu),2)-TAN(RADIANS(PHI_reinf)))/20),20*(INPUT!$J$111/INPUT!$I$111)-10*(INPUT!$J$111/INPUT!$I$111)*C378/20)))))</f>
        <v>---</v>
      </c>
      <c r="H378" s="296" t="str">
        <f t="shared" si="219"/>
        <v>---</v>
      </c>
      <c r="I378" s="294" t="str">
        <f t="shared" si="220"/>
        <v>---</v>
      </c>
      <c r="J378" s="294" t="str">
        <f t="shared" si="221"/>
        <v>---</v>
      </c>
      <c r="K378" s="294" t="str">
        <f t="shared" si="222"/>
        <v>---</v>
      </c>
      <c r="L378" s="291" t="str">
        <f t="shared" si="206"/>
        <v>---</v>
      </c>
      <c r="M378" s="444" t="str">
        <f t="shared" si="207"/>
        <v>---</v>
      </c>
      <c r="N378" s="441" t="str">
        <f t="shared" si="208"/>
        <v>---</v>
      </c>
      <c r="O378" s="291" t="str">
        <f t="shared" si="209"/>
        <v>---</v>
      </c>
      <c r="P378" s="291" t="str">
        <f t="shared" si="210"/>
        <v>---</v>
      </c>
      <c r="Q378" s="294" t="str">
        <f t="shared" si="211"/>
        <v>---</v>
      </c>
      <c r="R378" s="294" t="str">
        <f>IF(A306="---","---",IF(AND(Geo_Face="y",Geo_Conn="f")=TRUE,INPUT!Q122,"---"))</f>
        <v>---</v>
      </c>
      <c r="S378" s="291" t="str">
        <f t="shared" si="212"/>
        <v>---</v>
      </c>
      <c r="T378" s="441" t="str">
        <f t="shared" si="213"/>
        <v>---</v>
      </c>
    </row>
    <row r="379" spans="1:20">
      <c r="A379" s="438" t="str">
        <f t="shared" ref="A379:B379" si="233">A250</f>
        <v>---</v>
      </c>
      <c r="B379" s="294" t="str">
        <f t="shared" si="233"/>
        <v>---</v>
      </c>
      <c r="C379" s="294" t="str">
        <f t="shared" si="215"/>
        <v>---</v>
      </c>
      <c r="D379" s="294" t="str">
        <f t="shared" si="216"/>
        <v>---</v>
      </c>
      <c r="E379" s="294" t="str">
        <f t="shared" si="217"/>
        <v>---</v>
      </c>
      <c r="F379" s="294" t="str">
        <f t="shared" si="218"/>
        <v>---</v>
      </c>
      <c r="G379" s="291" t="str">
        <f>IF(A379="---","---",IF(Type_Reinf="g",$I$352,IF(AND(Type_Reinf="s",Type_Steel_Strip="s")=TRUE,$I$354,IF(C379&gt;=20,IF(Type_Reinf="s",$F$353,10*INPUT!$J$111/INPUT!$I$111),IF(Type_Reinf="s",MIN(1.2+LOG(Cu),2)-C379*((MIN(1.2+LOG(Cu),2)-TAN(RADIANS(PHI_reinf)))/20),20*(INPUT!$J$111/INPUT!$I$111)-10*(INPUT!$J$111/INPUT!$I$111)*C379/20)))))</f>
        <v>---</v>
      </c>
      <c r="H379" s="296" t="str">
        <f t="shared" si="219"/>
        <v>---</v>
      </c>
      <c r="I379" s="294" t="str">
        <f t="shared" si="220"/>
        <v>---</v>
      </c>
      <c r="J379" s="294" t="str">
        <f t="shared" si="221"/>
        <v>---</v>
      </c>
      <c r="K379" s="294" t="str">
        <f t="shared" si="222"/>
        <v>---</v>
      </c>
      <c r="L379" s="291" t="str">
        <f t="shared" si="206"/>
        <v>---</v>
      </c>
      <c r="M379" s="444" t="str">
        <f t="shared" si="207"/>
        <v>---</v>
      </c>
      <c r="N379" s="441" t="str">
        <f t="shared" si="208"/>
        <v>---</v>
      </c>
      <c r="O379" s="291" t="str">
        <f t="shared" si="209"/>
        <v>---</v>
      </c>
      <c r="P379" s="291" t="str">
        <f t="shared" si="210"/>
        <v>---</v>
      </c>
      <c r="Q379" s="294" t="str">
        <f t="shared" si="211"/>
        <v>---</v>
      </c>
      <c r="R379" s="294" t="str">
        <f>IF(A307="---","---",IF(AND(Geo_Face="y",Geo_Conn="f")=TRUE,INPUT!Q123,"---"))</f>
        <v>---</v>
      </c>
      <c r="S379" s="291" t="str">
        <f t="shared" si="212"/>
        <v>---</v>
      </c>
      <c r="T379" s="441" t="str">
        <f t="shared" si="213"/>
        <v>---</v>
      </c>
    </row>
    <row r="380" spans="1:20">
      <c r="A380" s="438" t="str">
        <f t="shared" ref="A380:B380" si="234">A251</f>
        <v>---</v>
      </c>
      <c r="B380" s="294" t="str">
        <f t="shared" si="234"/>
        <v>---</v>
      </c>
      <c r="C380" s="294" t="str">
        <f t="shared" si="215"/>
        <v>---</v>
      </c>
      <c r="D380" s="294" t="str">
        <f t="shared" si="216"/>
        <v>---</v>
      </c>
      <c r="E380" s="294" t="str">
        <f t="shared" si="217"/>
        <v>---</v>
      </c>
      <c r="F380" s="294" t="str">
        <f t="shared" si="218"/>
        <v>---</v>
      </c>
      <c r="G380" s="291" t="str">
        <f>IF(A380="---","---",IF(Type_Reinf="g",$I$352,IF(AND(Type_Reinf="s",Type_Steel_Strip="s")=TRUE,$I$354,IF(C380&gt;=20,IF(Type_Reinf="s",$F$353,10*INPUT!$J$111/INPUT!$I$111),IF(Type_Reinf="s",MIN(1.2+LOG(Cu),2)-C380*((MIN(1.2+LOG(Cu),2)-TAN(RADIANS(PHI_reinf)))/20),20*(INPUT!$J$111/INPUT!$I$111)-10*(INPUT!$J$111/INPUT!$I$111)*C380/20)))))</f>
        <v>---</v>
      </c>
      <c r="H380" s="296" t="str">
        <f t="shared" si="219"/>
        <v>---</v>
      </c>
      <c r="I380" s="294" t="str">
        <f t="shared" si="220"/>
        <v>---</v>
      </c>
      <c r="J380" s="294" t="str">
        <f t="shared" si="221"/>
        <v>---</v>
      </c>
      <c r="K380" s="294" t="str">
        <f t="shared" si="222"/>
        <v>---</v>
      </c>
      <c r="L380" s="291" t="str">
        <f t="shared" si="206"/>
        <v>---</v>
      </c>
      <c r="M380" s="444" t="str">
        <f t="shared" si="207"/>
        <v>---</v>
      </c>
      <c r="N380" s="441" t="str">
        <f t="shared" si="208"/>
        <v>---</v>
      </c>
      <c r="O380" s="291" t="str">
        <f t="shared" si="209"/>
        <v>---</v>
      </c>
      <c r="P380" s="291" t="str">
        <f t="shared" si="210"/>
        <v>---</v>
      </c>
      <c r="Q380" s="294" t="str">
        <f t="shared" si="211"/>
        <v>---</v>
      </c>
      <c r="R380" s="294" t="str">
        <f>IF(A308="---","---",IF(AND(Geo_Face="y",Geo_Conn="f")=TRUE,INPUT!Q124,"---"))</f>
        <v>---</v>
      </c>
      <c r="S380" s="291" t="str">
        <f t="shared" si="212"/>
        <v>---</v>
      </c>
      <c r="T380" s="441" t="str">
        <f t="shared" si="213"/>
        <v>---</v>
      </c>
    </row>
    <row r="381" spans="1:20">
      <c r="A381" s="438" t="str">
        <f t="shared" ref="A381:B381" si="235">A252</f>
        <v>---</v>
      </c>
      <c r="B381" s="294" t="str">
        <f t="shared" si="235"/>
        <v>---</v>
      </c>
      <c r="C381" s="294" t="str">
        <f t="shared" si="215"/>
        <v>---</v>
      </c>
      <c r="D381" s="294" t="str">
        <f t="shared" si="216"/>
        <v>---</v>
      </c>
      <c r="E381" s="294" t="str">
        <f t="shared" si="217"/>
        <v>---</v>
      </c>
      <c r="F381" s="294" t="str">
        <f t="shared" si="218"/>
        <v>---</v>
      </c>
      <c r="G381" s="291" t="str">
        <f>IF(A381="---","---",IF(Type_Reinf="g",$I$352,IF(AND(Type_Reinf="s",Type_Steel_Strip="s")=TRUE,$I$354,IF(C381&gt;=20,IF(Type_Reinf="s",$F$353,10*INPUT!$J$111/INPUT!$I$111),IF(Type_Reinf="s",MIN(1.2+LOG(Cu),2)-C381*((MIN(1.2+LOG(Cu),2)-TAN(RADIANS(PHI_reinf)))/20),20*(INPUT!$J$111/INPUT!$I$111)-10*(INPUT!$J$111/INPUT!$I$111)*C381/20)))))</f>
        <v>---</v>
      </c>
      <c r="H381" s="296" t="str">
        <f t="shared" si="219"/>
        <v>---</v>
      </c>
      <c r="I381" s="294" t="str">
        <f t="shared" si="220"/>
        <v>---</v>
      </c>
      <c r="J381" s="294" t="str">
        <f t="shared" si="221"/>
        <v>---</v>
      </c>
      <c r="K381" s="294" t="str">
        <f t="shared" si="222"/>
        <v>---</v>
      </c>
      <c r="L381" s="291" t="str">
        <f t="shared" si="206"/>
        <v>---</v>
      </c>
      <c r="M381" s="444" t="str">
        <f t="shared" si="207"/>
        <v>---</v>
      </c>
      <c r="N381" s="441" t="str">
        <f t="shared" si="208"/>
        <v>---</v>
      </c>
      <c r="O381" s="291" t="str">
        <f t="shared" si="209"/>
        <v>---</v>
      </c>
      <c r="P381" s="291" t="str">
        <f t="shared" si="210"/>
        <v>---</v>
      </c>
      <c r="Q381" s="294" t="str">
        <f t="shared" si="211"/>
        <v>---</v>
      </c>
      <c r="R381" s="294" t="str">
        <f>IF(A309="---","---",IF(AND(Geo_Face="y",Geo_Conn="f")=TRUE,INPUT!Q125,"---"))</f>
        <v>---</v>
      </c>
      <c r="S381" s="291" t="str">
        <f t="shared" si="212"/>
        <v>---</v>
      </c>
      <c r="T381" s="441" t="str">
        <f t="shared" si="213"/>
        <v>---</v>
      </c>
    </row>
    <row r="382" spans="1:20">
      <c r="A382" s="438" t="str">
        <f t="shared" ref="A382:B382" si="236">A253</f>
        <v>---</v>
      </c>
      <c r="B382" s="294" t="str">
        <f t="shared" si="236"/>
        <v>---</v>
      </c>
      <c r="C382" s="294" t="str">
        <f t="shared" si="215"/>
        <v>---</v>
      </c>
      <c r="D382" s="294" t="str">
        <f t="shared" si="216"/>
        <v>---</v>
      </c>
      <c r="E382" s="294" t="str">
        <f t="shared" si="217"/>
        <v>---</v>
      </c>
      <c r="F382" s="294" t="str">
        <f t="shared" si="218"/>
        <v>---</v>
      </c>
      <c r="G382" s="291" t="str">
        <f>IF(A382="---","---",IF(Type_Reinf="g",$I$352,IF(AND(Type_Reinf="s",Type_Steel_Strip="s")=TRUE,$I$354,IF(C382&gt;=20,IF(Type_Reinf="s",$F$353,10*INPUT!$J$111/INPUT!$I$111),IF(Type_Reinf="s",MIN(1.2+LOG(Cu),2)-C382*((MIN(1.2+LOG(Cu),2)-TAN(RADIANS(PHI_reinf)))/20),20*(INPUT!$J$111/INPUT!$I$111)-10*(INPUT!$J$111/INPUT!$I$111)*C382/20)))))</f>
        <v>---</v>
      </c>
      <c r="H382" s="296" t="str">
        <f t="shared" si="219"/>
        <v>---</v>
      </c>
      <c r="I382" s="294" t="str">
        <f t="shared" si="220"/>
        <v>---</v>
      </c>
      <c r="J382" s="294" t="str">
        <f t="shared" si="221"/>
        <v>---</v>
      </c>
      <c r="K382" s="294" t="str">
        <f t="shared" si="222"/>
        <v>---</v>
      </c>
      <c r="L382" s="291" t="str">
        <f t="shared" si="206"/>
        <v>---</v>
      </c>
      <c r="M382" s="444" t="str">
        <f t="shared" si="207"/>
        <v>---</v>
      </c>
      <c r="N382" s="441" t="str">
        <f t="shared" si="208"/>
        <v>---</v>
      </c>
      <c r="O382" s="291" t="str">
        <f t="shared" si="209"/>
        <v>---</v>
      </c>
      <c r="P382" s="291" t="str">
        <f t="shared" si="210"/>
        <v>---</v>
      </c>
      <c r="Q382" s="294" t="str">
        <f t="shared" si="211"/>
        <v>---</v>
      </c>
      <c r="R382" s="294" t="str">
        <f>IF(A310="---","---",IF(AND(Geo_Face="y",Geo_Conn="f")=TRUE,INPUT!Q126,"---"))</f>
        <v>---</v>
      </c>
      <c r="S382" s="291" t="str">
        <f t="shared" si="212"/>
        <v>---</v>
      </c>
      <c r="T382" s="441" t="str">
        <f t="shared" si="213"/>
        <v>---</v>
      </c>
    </row>
    <row r="383" spans="1:20">
      <c r="A383" s="438" t="str">
        <f t="shared" ref="A383:B383" si="237">A254</f>
        <v>---</v>
      </c>
      <c r="B383" s="294" t="str">
        <f t="shared" si="237"/>
        <v>---</v>
      </c>
      <c r="C383" s="294" t="str">
        <f t="shared" si="215"/>
        <v>---</v>
      </c>
      <c r="D383" s="294" t="str">
        <f t="shared" si="216"/>
        <v>---</v>
      </c>
      <c r="E383" s="294" t="str">
        <f t="shared" si="217"/>
        <v>---</v>
      </c>
      <c r="F383" s="294" t="str">
        <f t="shared" si="218"/>
        <v>---</v>
      </c>
      <c r="G383" s="291" t="str">
        <f>IF(A383="---","---",IF(Type_Reinf="g",$I$352,IF(AND(Type_Reinf="s",Type_Steel_Strip="s")=TRUE,$I$354,IF(C383&gt;=20,IF(Type_Reinf="s",$F$353,10*INPUT!$J$111/INPUT!$I$111),IF(Type_Reinf="s",MIN(1.2+LOG(Cu),2)-C383*((MIN(1.2+LOG(Cu),2)-TAN(RADIANS(PHI_reinf)))/20),20*(INPUT!$J$111/INPUT!$I$111)-10*(INPUT!$J$111/INPUT!$I$111)*C383/20)))))</f>
        <v>---</v>
      </c>
      <c r="H383" s="296" t="str">
        <f t="shared" si="219"/>
        <v>---</v>
      </c>
      <c r="I383" s="294" t="str">
        <f t="shared" si="220"/>
        <v>---</v>
      </c>
      <c r="J383" s="294" t="str">
        <f t="shared" si="221"/>
        <v>---</v>
      </c>
      <c r="K383" s="294" t="str">
        <f t="shared" si="222"/>
        <v>---</v>
      </c>
      <c r="L383" s="291" t="str">
        <f t="shared" si="206"/>
        <v>---</v>
      </c>
      <c r="M383" s="444" t="str">
        <f t="shared" si="207"/>
        <v>---</v>
      </c>
      <c r="N383" s="441" t="str">
        <f t="shared" si="208"/>
        <v>---</v>
      </c>
      <c r="O383" s="291" t="str">
        <f t="shared" si="209"/>
        <v>---</v>
      </c>
      <c r="P383" s="291" t="str">
        <f t="shared" si="210"/>
        <v>---</v>
      </c>
      <c r="Q383" s="294" t="str">
        <f t="shared" si="211"/>
        <v>---</v>
      </c>
      <c r="R383" s="294" t="str">
        <f>IF(A311="---","---",IF(AND(Geo_Face="y",Geo_Conn="f")=TRUE,INPUT!Q127,"---"))</f>
        <v>---</v>
      </c>
      <c r="S383" s="291" t="str">
        <f t="shared" si="212"/>
        <v>---</v>
      </c>
      <c r="T383" s="441" t="str">
        <f t="shared" si="213"/>
        <v>---</v>
      </c>
    </row>
    <row r="384" spans="1:20">
      <c r="A384" s="438" t="str">
        <f t="shared" ref="A384:B384" si="238">A255</f>
        <v>---</v>
      </c>
      <c r="B384" s="294" t="str">
        <f t="shared" si="238"/>
        <v>---</v>
      </c>
      <c r="C384" s="294" t="str">
        <f t="shared" si="215"/>
        <v>---</v>
      </c>
      <c r="D384" s="294" t="str">
        <f t="shared" si="216"/>
        <v>---</v>
      </c>
      <c r="E384" s="294" t="str">
        <f t="shared" si="217"/>
        <v>---</v>
      </c>
      <c r="F384" s="294" t="str">
        <f t="shared" si="218"/>
        <v>---</v>
      </c>
      <c r="G384" s="291" t="str">
        <f>IF(A384="---","---",IF(Type_Reinf="g",$I$352,IF(AND(Type_Reinf="s",Type_Steel_Strip="s")=TRUE,$I$354,IF(C384&gt;=20,IF(Type_Reinf="s",$F$353,10*INPUT!$J$111/INPUT!$I$111),IF(Type_Reinf="s",MIN(1.2+LOG(Cu),2)-C384*((MIN(1.2+LOG(Cu),2)-TAN(RADIANS(PHI_reinf)))/20),20*(INPUT!$J$111/INPUT!$I$111)-10*(INPUT!$J$111/INPUT!$I$111)*C384/20)))))</f>
        <v>---</v>
      </c>
      <c r="H384" s="296" t="str">
        <f t="shared" si="219"/>
        <v>---</v>
      </c>
      <c r="I384" s="294" t="str">
        <f t="shared" si="220"/>
        <v>---</v>
      </c>
      <c r="J384" s="294" t="str">
        <f t="shared" si="221"/>
        <v>---</v>
      </c>
      <c r="K384" s="294" t="str">
        <f t="shared" si="222"/>
        <v>---</v>
      </c>
      <c r="L384" s="291" t="str">
        <f t="shared" si="206"/>
        <v>---</v>
      </c>
      <c r="M384" s="444" t="str">
        <f t="shared" si="207"/>
        <v>---</v>
      </c>
      <c r="N384" s="441" t="str">
        <f t="shared" si="208"/>
        <v>---</v>
      </c>
      <c r="O384" s="291" t="str">
        <f t="shared" si="209"/>
        <v>---</v>
      </c>
      <c r="P384" s="291" t="str">
        <f t="shared" si="210"/>
        <v>---</v>
      </c>
      <c r="Q384" s="294" t="str">
        <f t="shared" si="211"/>
        <v>---</v>
      </c>
      <c r="R384" s="294" t="str">
        <f>IF(A312="---","---",IF(AND(Geo_Face="y",Geo_Conn="f")=TRUE,INPUT!Q128,"---"))</f>
        <v>---</v>
      </c>
      <c r="S384" s="291" t="str">
        <f t="shared" si="212"/>
        <v>---</v>
      </c>
      <c r="T384" s="441" t="str">
        <f t="shared" si="213"/>
        <v>---</v>
      </c>
    </row>
    <row r="385" spans="1:20">
      <c r="A385" s="438" t="str">
        <f t="shared" ref="A385:B385" si="239">A256</f>
        <v>---</v>
      </c>
      <c r="B385" s="294" t="str">
        <f t="shared" si="239"/>
        <v>---</v>
      </c>
      <c r="C385" s="294" t="str">
        <f t="shared" si="215"/>
        <v>---</v>
      </c>
      <c r="D385" s="294" t="str">
        <f t="shared" si="216"/>
        <v>---</v>
      </c>
      <c r="E385" s="294" t="str">
        <f t="shared" si="217"/>
        <v>---</v>
      </c>
      <c r="F385" s="294" t="str">
        <f t="shared" si="218"/>
        <v>---</v>
      </c>
      <c r="G385" s="291" t="str">
        <f>IF(A385="---","---",IF(Type_Reinf="g",$I$352,IF(AND(Type_Reinf="s",Type_Steel_Strip="s")=TRUE,$I$354,IF(C385&gt;=20,IF(Type_Reinf="s",$F$353,10*INPUT!$J$111/INPUT!$I$111),IF(Type_Reinf="s",MIN(1.2+LOG(Cu),2)-C385*((MIN(1.2+LOG(Cu),2)-TAN(RADIANS(PHI_reinf)))/20),20*(INPUT!$J$111/INPUT!$I$111)-10*(INPUT!$J$111/INPUT!$I$111)*C385/20)))))</f>
        <v>---</v>
      </c>
      <c r="H385" s="296" t="str">
        <f t="shared" si="219"/>
        <v>---</v>
      </c>
      <c r="I385" s="294" t="str">
        <f t="shared" si="220"/>
        <v>---</v>
      </c>
      <c r="J385" s="294" t="str">
        <f t="shared" si="221"/>
        <v>---</v>
      </c>
      <c r="K385" s="294" t="str">
        <f t="shared" si="222"/>
        <v>---</v>
      </c>
      <c r="L385" s="291" t="str">
        <f t="shared" si="206"/>
        <v>---</v>
      </c>
      <c r="M385" s="444" t="str">
        <f t="shared" si="207"/>
        <v>---</v>
      </c>
      <c r="N385" s="441" t="str">
        <f t="shared" si="208"/>
        <v>---</v>
      </c>
      <c r="O385" s="291" t="str">
        <f t="shared" si="209"/>
        <v>---</v>
      </c>
      <c r="P385" s="291" t="str">
        <f t="shared" si="210"/>
        <v>---</v>
      </c>
      <c r="Q385" s="294" t="str">
        <f t="shared" si="211"/>
        <v>---</v>
      </c>
      <c r="R385" s="294" t="str">
        <f>IF(A313="---","---",IF(AND(Geo_Face="y",Geo_Conn="f")=TRUE,INPUT!Q129,"---"))</f>
        <v>---</v>
      </c>
      <c r="S385" s="291" t="str">
        <f t="shared" si="212"/>
        <v>---</v>
      </c>
      <c r="T385" s="441" t="str">
        <f t="shared" si="213"/>
        <v>---</v>
      </c>
    </row>
    <row r="386" spans="1:20">
      <c r="A386" s="438" t="str">
        <f t="shared" ref="A386:B386" si="240">A257</f>
        <v>---</v>
      </c>
      <c r="B386" s="294" t="str">
        <f t="shared" si="240"/>
        <v>---</v>
      </c>
      <c r="C386" s="294" t="str">
        <f t="shared" si="215"/>
        <v>---</v>
      </c>
      <c r="D386" s="294" t="str">
        <f t="shared" si="216"/>
        <v>---</v>
      </c>
      <c r="E386" s="294" t="str">
        <f t="shared" si="217"/>
        <v>---</v>
      </c>
      <c r="F386" s="294" t="str">
        <f t="shared" si="218"/>
        <v>---</v>
      </c>
      <c r="G386" s="291" t="str">
        <f>IF(A386="---","---",IF(Type_Reinf="g",$I$352,IF(AND(Type_Reinf="s",Type_Steel_Strip="s")=TRUE,$I$354,IF(C386&gt;=20,IF(Type_Reinf="s",$F$353,10*INPUT!$J$111/INPUT!$I$111),IF(Type_Reinf="s",MIN(1.2+LOG(Cu),2)-C386*((MIN(1.2+LOG(Cu),2)-TAN(RADIANS(PHI_reinf)))/20),20*(INPUT!$J$111/INPUT!$I$111)-10*(INPUT!$J$111/INPUT!$I$111)*C386/20)))))</f>
        <v>---</v>
      </c>
      <c r="H386" s="296" t="str">
        <f t="shared" si="219"/>
        <v>---</v>
      </c>
      <c r="I386" s="294" t="str">
        <f t="shared" si="220"/>
        <v>---</v>
      </c>
      <c r="J386" s="294" t="str">
        <f t="shared" si="221"/>
        <v>---</v>
      </c>
      <c r="K386" s="294" t="str">
        <f t="shared" si="222"/>
        <v>---</v>
      </c>
      <c r="L386" s="291" t="str">
        <f t="shared" si="206"/>
        <v>---</v>
      </c>
      <c r="M386" s="444" t="str">
        <f t="shared" si="207"/>
        <v>---</v>
      </c>
      <c r="N386" s="441" t="str">
        <f t="shared" si="208"/>
        <v>---</v>
      </c>
      <c r="O386" s="291" t="str">
        <f t="shared" si="209"/>
        <v>---</v>
      </c>
      <c r="P386" s="291" t="str">
        <f t="shared" si="210"/>
        <v>---</v>
      </c>
      <c r="Q386" s="294" t="str">
        <f t="shared" si="211"/>
        <v>---</v>
      </c>
      <c r="R386" s="294" t="str">
        <f>IF(A314="---","---",IF(AND(Geo_Face="y",Geo_Conn="f")=TRUE,INPUT!Q130,"---"))</f>
        <v>---</v>
      </c>
      <c r="S386" s="291" t="str">
        <f t="shared" si="212"/>
        <v>---</v>
      </c>
      <c r="T386" s="441" t="str">
        <f t="shared" si="213"/>
        <v>---</v>
      </c>
    </row>
    <row r="387" spans="1:20">
      <c r="A387" s="438" t="str">
        <f t="shared" ref="A387:B387" si="241">A258</f>
        <v>---</v>
      </c>
      <c r="B387" s="294" t="str">
        <f t="shared" si="241"/>
        <v>---</v>
      </c>
      <c r="C387" s="294" t="str">
        <f t="shared" si="215"/>
        <v>---</v>
      </c>
      <c r="D387" s="294" t="str">
        <f t="shared" si="216"/>
        <v>---</v>
      </c>
      <c r="E387" s="294" t="str">
        <f t="shared" si="217"/>
        <v>---</v>
      </c>
      <c r="F387" s="294" t="str">
        <f t="shared" si="218"/>
        <v>---</v>
      </c>
      <c r="G387" s="291" t="str">
        <f>IF(A387="---","---",IF(Type_Reinf="g",$I$352,IF(AND(Type_Reinf="s",Type_Steel_Strip="s")=TRUE,$I$354,IF(C387&gt;=20,IF(Type_Reinf="s",$F$353,10*INPUT!$J$111/INPUT!$I$111),IF(Type_Reinf="s",MIN(1.2+LOG(Cu),2)-C387*((MIN(1.2+LOG(Cu),2)-TAN(RADIANS(PHI_reinf)))/20),20*(INPUT!$J$111/INPUT!$I$111)-10*(INPUT!$J$111/INPUT!$I$111)*C387/20)))))</f>
        <v>---</v>
      </c>
      <c r="H387" s="296" t="str">
        <f t="shared" si="219"/>
        <v>---</v>
      </c>
      <c r="I387" s="294" t="str">
        <f t="shared" si="220"/>
        <v>---</v>
      </c>
      <c r="J387" s="294" t="str">
        <f t="shared" si="221"/>
        <v>---</v>
      </c>
      <c r="K387" s="294" t="str">
        <f t="shared" si="222"/>
        <v>---</v>
      </c>
      <c r="L387" s="291" t="str">
        <f t="shared" si="206"/>
        <v>---</v>
      </c>
      <c r="M387" s="444" t="str">
        <f t="shared" si="207"/>
        <v>---</v>
      </c>
      <c r="N387" s="441" t="str">
        <f t="shared" si="208"/>
        <v>---</v>
      </c>
      <c r="O387" s="291" t="str">
        <f t="shared" si="209"/>
        <v>---</v>
      </c>
      <c r="P387" s="291" t="str">
        <f t="shared" si="210"/>
        <v>---</v>
      </c>
      <c r="Q387" s="294" t="str">
        <f t="shared" si="211"/>
        <v>---</v>
      </c>
      <c r="R387" s="294" t="str">
        <f>IF(A315="---","---",IF(AND(Geo_Face="y",Geo_Conn="f")=TRUE,INPUT!Q131,"---"))</f>
        <v>---</v>
      </c>
      <c r="S387" s="291" t="str">
        <f t="shared" si="212"/>
        <v>---</v>
      </c>
      <c r="T387" s="441" t="str">
        <f t="shared" si="213"/>
        <v>---</v>
      </c>
    </row>
    <row r="388" spans="1:20">
      <c r="A388" s="438" t="str">
        <f t="shared" ref="A388:B388" si="242">A259</f>
        <v>---</v>
      </c>
      <c r="B388" s="294" t="str">
        <f t="shared" si="242"/>
        <v>---</v>
      </c>
      <c r="C388" s="294" t="str">
        <f t="shared" si="215"/>
        <v>---</v>
      </c>
      <c r="D388" s="294" t="str">
        <f t="shared" si="216"/>
        <v>---</v>
      </c>
      <c r="E388" s="294" t="str">
        <f t="shared" si="217"/>
        <v>---</v>
      </c>
      <c r="F388" s="294" t="str">
        <f t="shared" si="218"/>
        <v>---</v>
      </c>
      <c r="G388" s="291" t="str">
        <f>IF(A388="---","---",IF(Type_Reinf="g",$I$352,IF(AND(Type_Reinf="s",Type_Steel_Strip="s")=TRUE,$I$354,IF(C388&gt;=20,IF(Type_Reinf="s",$F$353,10*INPUT!$J$111/INPUT!$I$111),IF(Type_Reinf="s",MIN(1.2+LOG(Cu),2)-C388*((MIN(1.2+LOG(Cu),2)-TAN(RADIANS(PHI_reinf)))/20),20*(INPUT!$J$111/INPUT!$I$111)-10*(INPUT!$J$111/INPUT!$I$111)*C388/20)))))</f>
        <v>---</v>
      </c>
      <c r="H388" s="296" t="str">
        <f t="shared" si="219"/>
        <v>---</v>
      </c>
      <c r="I388" s="294" t="str">
        <f t="shared" si="220"/>
        <v>---</v>
      </c>
      <c r="J388" s="294" t="str">
        <f t="shared" si="221"/>
        <v>---</v>
      </c>
      <c r="K388" s="294" t="str">
        <f t="shared" si="222"/>
        <v>---</v>
      </c>
      <c r="L388" s="291" t="str">
        <f t="shared" si="206"/>
        <v>---</v>
      </c>
      <c r="M388" s="444" t="str">
        <f t="shared" si="207"/>
        <v>---</v>
      </c>
      <c r="N388" s="441" t="str">
        <f t="shared" si="208"/>
        <v>---</v>
      </c>
      <c r="O388" s="291" t="str">
        <f t="shared" si="209"/>
        <v>---</v>
      </c>
      <c r="P388" s="291" t="str">
        <f t="shared" si="210"/>
        <v>---</v>
      </c>
      <c r="Q388" s="294" t="str">
        <f t="shared" si="211"/>
        <v>---</v>
      </c>
      <c r="R388" s="294" t="str">
        <f>IF(A316="---","---",IF(AND(Geo_Face="y",Geo_Conn="f")=TRUE,INPUT!Q132,"---"))</f>
        <v>---</v>
      </c>
      <c r="S388" s="291" t="str">
        <f t="shared" si="212"/>
        <v>---</v>
      </c>
      <c r="T388" s="441" t="str">
        <f t="shared" si="213"/>
        <v>---</v>
      </c>
    </row>
    <row r="389" spans="1:20">
      <c r="A389" s="438" t="str">
        <f t="shared" ref="A389:B389" si="243">A260</f>
        <v>---</v>
      </c>
      <c r="B389" s="294" t="str">
        <f t="shared" si="243"/>
        <v>---</v>
      </c>
      <c r="C389" s="294" t="str">
        <f t="shared" si="215"/>
        <v>---</v>
      </c>
      <c r="D389" s="294" t="str">
        <f t="shared" si="216"/>
        <v>---</v>
      </c>
      <c r="E389" s="294" t="str">
        <f t="shared" si="217"/>
        <v>---</v>
      </c>
      <c r="F389" s="294" t="str">
        <f t="shared" si="218"/>
        <v>---</v>
      </c>
      <c r="G389" s="291" t="str">
        <f>IF(A389="---","---",IF(Type_Reinf="g",$I$352,IF(AND(Type_Reinf="s",Type_Steel_Strip="s")=TRUE,$I$354,IF(C389&gt;=20,IF(Type_Reinf="s",$F$353,10*INPUT!$J$111/INPUT!$I$111),IF(Type_Reinf="s",MIN(1.2+LOG(Cu),2)-C389*((MIN(1.2+LOG(Cu),2)-TAN(RADIANS(PHI_reinf)))/20),20*(INPUT!$J$111/INPUT!$I$111)-10*(INPUT!$J$111/INPUT!$I$111)*C389/20)))))</f>
        <v>---</v>
      </c>
      <c r="H389" s="296" t="str">
        <f t="shared" si="219"/>
        <v>---</v>
      </c>
      <c r="I389" s="294" t="str">
        <f t="shared" si="220"/>
        <v>---</v>
      </c>
      <c r="J389" s="294" t="str">
        <f t="shared" si="221"/>
        <v>---</v>
      </c>
      <c r="K389" s="294" t="str">
        <f t="shared" si="222"/>
        <v>---</v>
      </c>
      <c r="L389" s="291" t="str">
        <f t="shared" si="206"/>
        <v>---</v>
      </c>
      <c r="M389" s="444" t="str">
        <f t="shared" si="207"/>
        <v>---</v>
      </c>
      <c r="N389" s="441" t="str">
        <f t="shared" si="208"/>
        <v>---</v>
      </c>
      <c r="O389" s="291" t="str">
        <f t="shared" si="209"/>
        <v>---</v>
      </c>
      <c r="P389" s="291" t="str">
        <f t="shared" si="210"/>
        <v>---</v>
      </c>
      <c r="Q389" s="294" t="str">
        <f t="shared" si="211"/>
        <v>---</v>
      </c>
      <c r="R389" s="294" t="str">
        <f>IF(A317="---","---",IF(AND(Geo_Face="y",Geo_Conn="f")=TRUE,INPUT!Q133,"---"))</f>
        <v>---</v>
      </c>
      <c r="S389" s="291" t="str">
        <f t="shared" si="212"/>
        <v>---</v>
      </c>
      <c r="T389" s="441" t="str">
        <f t="shared" si="213"/>
        <v>---</v>
      </c>
    </row>
    <row r="390" spans="1:20">
      <c r="A390" s="438" t="str">
        <f t="shared" ref="A390:B390" si="244">A261</f>
        <v>---</v>
      </c>
      <c r="B390" s="294" t="str">
        <f t="shared" si="244"/>
        <v>---</v>
      </c>
      <c r="C390" s="294" t="str">
        <f t="shared" si="215"/>
        <v>---</v>
      </c>
      <c r="D390" s="294" t="str">
        <f t="shared" si="216"/>
        <v>---</v>
      </c>
      <c r="E390" s="294" t="str">
        <f t="shared" si="217"/>
        <v>---</v>
      </c>
      <c r="F390" s="294" t="str">
        <f t="shared" si="218"/>
        <v>---</v>
      </c>
      <c r="G390" s="291" t="str">
        <f>IF(A390="---","---",IF(Type_Reinf="g",$I$352,IF(AND(Type_Reinf="s",Type_Steel_Strip="s")=TRUE,$I$354,IF(C390&gt;=20,IF(Type_Reinf="s",$F$353,10*INPUT!$J$111/INPUT!$I$111),IF(Type_Reinf="s",MIN(1.2+LOG(Cu),2)-C390*((MIN(1.2+LOG(Cu),2)-TAN(RADIANS(PHI_reinf)))/20),20*(INPUT!$J$111/INPUT!$I$111)-10*(INPUT!$J$111/INPUT!$I$111)*C390/20)))))</f>
        <v>---</v>
      </c>
      <c r="H390" s="296" t="str">
        <f t="shared" si="219"/>
        <v>---</v>
      </c>
      <c r="I390" s="294" t="str">
        <f t="shared" si="220"/>
        <v>---</v>
      </c>
      <c r="J390" s="294" t="str">
        <f t="shared" si="221"/>
        <v>---</v>
      </c>
      <c r="K390" s="294" t="str">
        <f t="shared" si="222"/>
        <v>---</v>
      </c>
      <c r="L390" s="291" t="str">
        <f t="shared" si="206"/>
        <v>---</v>
      </c>
      <c r="M390" s="444" t="str">
        <f t="shared" si="207"/>
        <v>---</v>
      </c>
      <c r="N390" s="441" t="str">
        <f t="shared" si="208"/>
        <v>---</v>
      </c>
      <c r="O390" s="291" t="str">
        <f t="shared" si="209"/>
        <v>---</v>
      </c>
      <c r="P390" s="291" t="str">
        <f t="shared" si="210"/>
        <v>---</v>
      </c>
      <c r="Q390" s="294" t="str">
        <f t="shared" si="211"/>
        <v>---</v>
      </c>
      <c r="R390" s="294" t="str">
        <f>IF(A318="---","---",IF(AND(Geo_Face="y",Geo_Conn="f")=TRUE,INPUT!Q134,"---"))</f>
        <v>---</v>
      </c>
      <c r="S390" s="291" t="str">
        <f t="shared" si="212"/>
        <v>---</v>
      </c>
      <c r="T390" s="441" t="str">
        <f t="shared" si="213"/>
        <v>---</v>
      </c>
    </row>
    <row r="391" spans="1:20">
      <c r="A391" s="438" t="str">
        <f t="shared" ref="A391:B391" si="245">A262</f>
        <v>---</v>
      </c>
      <c r="B391" s="294" t="str">
        <f t="shared" si="245"/>
        <v>---</v>
      </c>
      <c r="C391" s="294" t="str">
        <f t="shared" si="215"/>
        <v>---</v>
      </c>
      <c r="D391" s="294" t="str">
        <f t="shared" si="216"/>
        <v>---</v>
      </c>
      <c r="E391" s="294" t="str">
        <f t="shared" si="217"/>
        <v>---</v>
      </c>
      <c r="F391" s="294" t="str">
        <f t="shared" si="218"/>
        <v>---</v>
      </c>
      <c r="G391" s="291" t="str">
        <f>IF(A391="---","---",IF(Type_Reinf="g",$I$352,IF(AND(Type_Reinf="s",Type_Steel_Strip="s")=TRUE,$I$354,IF(C391&gt;=20,IF(Type_Reinf="s",$F$353,10*INPUT!$J$111/INPUT!$I$111),IF(Type_Reinf="s",MIN(1.2+LOG(Cu),2)-C391*((MIN(1.2+LOG(Cu),2)-TAN(RADIANS(PHI_reinf)))/20),20*(INPUT!$J$111/INPUT!$I$111)-10*(INPUT!$J$111/INPUT!$I$111)*C391/20)))))</f>
        <v>---</v>
      </c>
      <c r="H391" s="296" t="str">
        <f t="shared" si="219"/>
        <v>---</v>
      </c>
      <c r="I391" s="294" t="str">
        <f t="shared" si="220"/>
        <v>---</v>
      </c>
      <c r="J391" s="294" t="str">
        <f t="shared" si="221"/>
        <v>---</v>
      </c>
      <c r="K391" s="294" t="str">
        <f t="shared" si="222"/>
        <v>---</v>
      </c>
      <c r="L391" s="291" t="str">
        <f t="shared" si="206"/>
        <v>---</v>
      </c>
      <c r="M391" s="444" t="str">
        <f t="shared" si="207"/>
        <v>---</v>
      </c>
      <c r="N391" s="441" t="str">
        <f t="shared" si="208"/>
        <v>---</v>
      </c>
      <c r="O391" s="291" t="str">
        <f t="shared" si="209"/>
        <v>---</v>
      </c>
      <c r="P391" s="291" t="str">
        <f t="shared" si="210"/>
        <v>---</v>
      </c>
      <c r="Q391" s="294" t="str">
        <f t="shared" si="211"/>
        <v>---</v>
      </c>
      <c r="R391" s="294" t="str">
        <f>IF(A319="---","---",IF(AND(Geo_Face="y",Geo_Conn="f")=TRUE,INPUT!Q135,"---"))</f>
        <v>---</v>
      </c>
      <c r="S391" s="291" t="str">
        <f t="shared" si="212"/>
        <v>---</v>
      </c>
      <c r="T391" s="441" t="str">
        <f t="shared" si="213"/>
        <v>---</v>
      </c>
    </row>
    <row r="392" spans="1:20">
      <c r="A392" s="438" t="str">
        <f t="shared" ref="A392:B392" si="246">A263</f>
        <v>---</v>
      </c>
      <c r="B392" s="294" t="str">
        <f t="shared" si="246"/>
        <v>---</v>
      </c>
      <c r="C392" s="294" t="str">
        <f t="shared" si="215"/>
        <v>---</v>
      </c>
      <c r="D392" s="294" t="str">
        <f t="shared" si="216"/>
        <v>---</v>
      </c>
      <c r="E392" s="294" t="str">
        <f t="shared" si="217"/>
        <v>---</v>
      </c>
      <c r="F392" s="294" t="str">
        <f t="shared" si="218"/>
        <v>---</v>
      </c>
      <c r="G392" s="291" t="str">
        <f>IF(A392="---","---",IF(Type_Reinf="g",$I$352,IF(AND(Type_Reinf="s",Type_Steel_Strip="s")=TRUE,$I$354,IF(C392&gt;=20,IF(Type_Reinf="s",$F$353,10*INPUT!$J$111/INPUT!$I$111),IF(Type_Reinf="s",MIN(1.2+LOG(Cu),2)-C392*((MIN(1.2+LOG(Cu),2)-TAN(RADIANS(PHI_reinf)))/20),20*(INPUT!$J$111/INPUT!$I$111)-10*(INPUT!$J$111/INPUT!$I$111)*C392/20)))))</f>
        <v>---</v>
      </c>
      <c r="H392" s="296" t="str">
        <f t="shared" si="219"/>
        <v>---</v>
      </c>
      <c r="I392" s="294" t="str">
        <f t="shared" si="220"/>
        <v>---</v>
      </c>
      <c r="J392" s="294" t="str">
        <f t="shared" si="221"/>
        <v>---</v>
      </c>
      <c r="K392" s="294" t="str">
        <f t="shared" si="222"/>
        <v>---</v>
      </c>
      <c r="L392" s="291" t="str">
        <f t="shared" si="206"/>
        <v>---</v>
      </c>
      <c r="M392" s="444" t="str">
        <f t="shared" si="207"/>
        <v>---</v>
      </c>
      <c r="N392" s="441" t="str">
        <f t="shared" si="208"/>
        <v>---</v>
      </c>
      <c r="O392" s="291" t="str">
        <f t="shared" si="209"/>
        <v>---</v>
      </c>
      <c r="P392" s="291" t="str">
        <f t="shared" si="210"/>
        <v>---</v>
      </c>
      <c r="Q392" s="294" t="str">
        <f t="shared" si="211"/>
        <v>---</v>
      </c>
      <c r="R392" s="294" t="str">
        <f>IF(A320="---","---",IF(AND(Geo_Face="y",Geo_Conn="f")=TRUE,INPUT!Q136,"---"))</f>
        <v>---</v>
      </c>
      <c r="S392" s="291" t="str">
        <f t="shared" si="212"/>
        <v>---</v>
      </c>
      <c r="T392" s="441" t="str">
        <f t="shared" si="213"/>
        <v>---</v>
      </c>
    </row>
    <row r="393" spans="1:20">
      <c r="A393" s="438" t="str">
        <f t="shared" ref="A393:B393" si="247">A264</f>
        <v>---</v>
      </c>
      <c r="B393" s="294" t="str">
        <f t="shared" si="247"/>
        <v>---</v>
      </c>
      <c r="C393" s="294" t="str">
        <f t="shared" si="215"/>
        <v>---</v>
      </c>
      <c r="D393" s="294" t="str">
        <f t="shared" si="216"/>
        <v>---</v>
      </c>
      <c r="E393" s="294" t="str">
        <f t="shared" si="217"/>
        <v>---</v>
      </c>
      <c r="F393" s="294" t="str">
        <f t="shared" si="218"/>
        <v>---</v>
      </c>
      <c r="G393" s="291" t="str">
        <f>IF(A393="---","---",IF(Type_Reinf="g",$I$352,IF(AND(Type_Reinf="s",Type_Steel_Strip="s")=TRUE,$I$354,IF(C393&gt;=20,IF(Type_Reinf="s",$F$353,10*INPUT!$J$111/INPUT!$I$111),IF(Type_Reinf="s",MIN(1.2+LOG(Cu),2)-C393*((MIN(1.2+LOG(Cu),2)-TAN(RADIANS(PHI_reinf)))/20),20*(INPUT!$J$111/INPUT!$I$111)-10*(INPUT!$J$111/INPUT!$I$111)*C393/20)))))</f>
        <v>---</v>
      </c>
      <c r="H393" s="296" t="str">
        <f t="shared" si="219"/>
        <v>---</v>
      </c>
      <c r="I393" s="294" t="str">
        <f t="shared" si="220"/>
        <v>---</v>
      </c>
      <c r="J393" s="294" t="str">
        <f t="shared" si="221"/>
        <v>---</v>
      </c>
      <c r="K393" s="294" t="str">
        <f t="shared" si="222"/>
        <v>---</v>
      </c>
      <c r="L393" s="291" t="str">
        <f t="shared" si="206"/>
        <v>---</v>
      </c>
      <c r="M393" s="444" t="str">
        <f t="shared" si="207"/>
        <v>---</v>
      </c>
      <c r="N393" s="441" t="str">
        <f t="shared" si="208"/>
        <v>---</v>
      </c>
      <c r="O393" s="291" t="str">
        <f t="shared" si="209"/>
        <v>---</v>
      </c>
      <c r="P393" s="291" t="str">
        <f t="shared" si="210"/>
        <v>---</v>
      </c>
      <c r="Q393" s="294" t="str">
        <f t="shared" si="211"/>
        <v>---</v>
      </c>
      <c r="R393" s="294" t="str">
        <f>IF(A321="---","---",IF(AND(Geo_Face="y",Geo_Conn="f")=TRUE,INPUT!Q137,"---"))</f>
        <v>---</v>
      </c>
      <c r="S393" s="291" t="str">
        <f t="shared" si="212"/>
        <v>---</v>
      </c>
      <c r="T393" s="441" t="str">
        <f t="shared" si="213"/>
        <v>---</v>
      </c>
    </row>
    <row r="394" spans="1:20">
      <c r="A394" s="438" t="str">
        <f t="shared" ref="A394:B394" si="248">A265</f>
        <v>---</v>
      </c>
      <c r="B394" s="294" t="str">
        <f t="shared" si="248"/>
        <v>---</v>
      </c>
      <c r="C394" s="294" t="str">
        <f t="shared" si="215"/>
        <v>---</v>
      </c>
      <c r="D394" s="294" t="str">
        <f t="shared" si="216"/>
        <v>---</v>
      </c>
      <c r="E394" s="294" t="str">
        <f t="shared" si="217"/>
        <v>---</v>
      </c>
      <c r="F394" s="294" t="str">
        <f t="shared" si="218"/>
        <v>---</v>
      </c>
      <c r="G394" s="291" t="str">
        <f>IF(A394="---","---",IF(Type_Reinf="g",$I$352,IF(AND(Type_Reinf="s",Type_Steel_Strip="s")=TRUE,$I$354,IF(C394&gt;=20,IF(Type_Reinf="s",$F$353,10*INPUT!$J$111/INPUT!$I$111),IF(Type_Reinf="s",MIN(1.2+LOG(Cu),2)-C394*((MIN(1.2+LOG(Cu),2)-TAN(RADIANS(PHI_reinf)))/20),20*(INPUT!$J$111/INPUT!$I$111)-10*(INPUT!$J$111/INPUT!$I$111)*C394/20)))))</f>
        <v>---</v>
      </c>
      <c r="H394" s="296" t="str">
        <f t="shared" si="219"/>
        <v>---</v>
      </c>
      <c r="I394" s="294" t="str">
        <f t="shared" si="220"/>
        <v>---</v>
      </c>
      <c r="J394" s="294" t="str">
        <f t="shared" si="221"/>
        <v>---</v>
      </c>
      <c r="K394" s="294" t="str">
        <f t="shared" si="222"/>
        <v>---</v>
      </c>
      <c r="L394" s="291" t="str">
        <f t="shared" si="206"/>
        <v>---</v>
      </c>
      <c r="M394" s="444" t="str">
        <f t="shared" si="207"/>
        <v>---</v>
      </c>
      <c r="N394" s="441" t="str">
        <f t="shared" si="208"/>
        <v>---</v>
      </c>
      <c r="O394" s="291" t="str">
        <f t="shared" si="209"/>
        <v>---</v>
      </c>
      <c r="P394" s="291" t="str">
        <f t="shared" si="210"/>
        <v>---</v>
      </c>
      <c r="Q394" s="294" t="str">
        <f t="shared" si="211"/>
        <v>---</v>
      </c>
      <c r="R394" s="294" t="str">
        <f>IF(A322="---","---",IF(AND(Geo_Face="y",Geo_Conn="f")=TRUE,INPUT!Q138,"---"))</f>
        <v>---</v>
      </c>
      <c r="S394" s="291" t="str">
        <f t="shared" si="212"/>
        <v>---</v>
      </c>
      <c r="T394" s="441" t="str">
        <f t="shared" si="213"/>
        <v>---</v>
      </c>
    </row>
    <row r="395" spans="1:20">
      <c r="A395" s="438" t="str">
        <f t="shared" ref="A395:B395" si="249">A266</f>
        <v>---</v>
      </c>
      <c r="B395" s="294" t="str">
        <f t="shared" si="249"/>
        <v>---</v>
      </c>
      <c r="C395" s="294" t="str">
        <f t="shared" si="215"/>
        <v>---</v>
      </c>
      <c r="D395" s="294" t="str">
        <f t="shared" si="216"/>
        <v>---</v>
      </c>
      <c r="E395" s="294" t="str">
        <f t="shared" si="217"/>
        <v>---</v>
      </c>
      <c r="F395" s="294" t="str">
        <f t="shared" si="218"/>
        <v>---</v>
      </c>
      <c r="G395" s="291" t="str">
        <f>IF(A395="---","---",IF(Type_Reinf="g",$I$352,IF(AND(Type_Reinf="s",Type_Steel_Strip="s")=TRUE,$I$354,IF(C395&gt;=20,IF(Type_Reinf="s",$F$353,10*INPUT!$J$111/INPUT!$I$111),IF(Type_Reinf="s",MIN(1.2+LOG(Cu),2)-C395*((MIN(1.2+LOG(Cu),2)-TAN(RADIANS(PHI_reinf)))/20),20*(INPUT!$J$111/INPUT!$I$111)-10*(INPUT!$J$111/INPUT!$I$111)*C395/20)))))</f>
        <v>---</v>
      </c>
      <c r="H395" s="296" t="str">
        <f t="shared" si="219"/>
        <v>---</v>
      </c>
      <c r="I395" s="294" t="str">
        <f t="shared" si="220"/>
        <v>---</v>
      </c>
      <c r="J395" s="294" t="str">
        <f t="shared" si="221"/>
        <v>---</v>
      </c>
      <c r="K395" s="294" t="str">
        <f t="shared" si="222"/>
        <v>---</v>
      </c>
      <c r="L395" s="291" t="str">
        <f t="shared" si="206"/>
        <v>---</v>
      </c>
      <c r="M395" s="444" t="str">
        <f t="shared" si="207"/>
        <v>---</v>
      </c>
      <c r="N395" s="441" t="str">
        <f t="shared" si="208"/>
        <v>---</v>
      </c>
      <c r="O395" s="291" t="str">
        <f t="shared" si="209"/>
        <v>---</v>
      </c>
      <c r="P395" s="291" t="str">
        <f t="shared" si="210"/>
        <v>---</v>
      </c>
      <c r="Q395" s="294" t="str">
        <f t="shared" si="211"/>
        <v>---</v>
      </c>
      <c r="R395" s="294" t="str">
        <f>IF(A323="---","---",IF(AND(Geo_Face="y",Geo_Conn="f")=TRUE,INPUT!Q139,"---"))</f>
        <v>---</v>
      </c>
      <c r="S395" s="291" t="str">
        <f t="shared" si="212"/>
        <v>---</v>
      </c>
      <c r="T395" s="441" t="str">
        <f t="shared" si="213"/>
        <v>---</v>
      </c>
    </row>
    <row r="396" spans="1:20">
      <c r="A396" s="438" t="str">
        <f t="shared" ref="A396:B396" si="250">A267</f>
        <v>---</v>
      </c>
      <c r="B396" s="294" t="str">
        <f t="shared" si="250"/>
        <v>---</v>
      </c>
      <c r="C396" s="294" t="str">
        <f t="shared" si="215"/>
        <v>---</v>
      </c>
      <c r="D396" s="294" t="str">
        <f t="shared" si="216"/>
        <v>---</v>
      </c>
      <c r="E396" s="294" t="str">
        <f t="shared" si="217"/>
        <v>---</v>
      </c>
      <c r="F396" s="294" t="str">
        <f t="shared" si="218"/>
        <v>---</v>
      </c>
      <c r="G396" s="291" t="str">
        <f>IF(A396="---","---",IF(Type_Reinf="g",$I$352,IF(AND(Type_Reinf="s",Type_Steel_Strip="s")=TRUE,$I$354,IF(C396&gt;=20,IF(Type_Reinf="s",$F$353,10*INPUT!$J$111/INPUT!$I$111),IF(Type_Reinf="s",MIN(1.2+LOG(Cu),2)-C396*((MIN(1.2+LOG(Cu),2)-TAN(RADIANS(PHI_reinf)))/20),20*(INPUT!$J$111/INPUT!$I$111)-10*(INPUT!$J$111/INPUT!$I$111)*C396/20)))))</f>
        <v>---</v>
      </c>
      <c r="H396" s="296" t="str">
        <f t="shared" si="219"/>
        <v>---</v>
      </c>
      <c r="I396" s="294" t="str">
        <f t="shared" si="220"/>
        <v>---</v>
      </c>
      <c r="J396" s="294" t="str">
        <f t="shared" si="221"/>
        <v>---</v>
      </c>
      <c r="K396" s="294" t="str">
        <f t="shared" si="222"/>
        <v>---</v>
      </c>
      <c r="L396" s="291" t="str">
        <f t="shared" si="206"/>
        <v>---</v>
      </c>
      <c r="M396" s="444" t="str">
        <f t="shared" si="207"/>
        <v>---</v>
      </c>
      <c r="N396" s="441" t="str">
        <f t="shared" si="208"/>
        <v>---</v>
      </c>
      <c r="O396" s="291" t="str">
        <f t="shared" si="209"/>
        <v>---</v>
      </c>
      <c r="P396" s="291" t="str">
        <f t="shared" si="210"/>
        <v>---</v>
      </c>
      <c r="Q396" s="294" t="str">
        <f t="shared" si="211"/>
        <v>---</v>
      </c>
      <c r="R396" s="294" t="str">
        <f>IF(A324="---","---",IF(AND(Geo_Face="y",Geo_Conn="f")=TRUE,INPUT!Q140,"---"))</f>
        <v>---</v>
      </c>
      <c r="S396" s="291" t="str">
        <f t="shared" si="212"/>
        <v>---</v>
      </c>
      <c r="T396" s="441" t="str">
        <f t="shared" si="213"/>
        <v>---</v>
      </c>
    </row>
    <row r="397" spans="1:20">
      <c r="A397" s="438" t="str">
        <f t="shared" ref="A397:B397" si="251">A268</f>
        <v>---</v>
      </c>
      <c r="B397" s="294" t="str">
        <f t="shared" si="251"/>
        <v>---</v>
      </c>
      <c r="C397" s="294" t="str">
        <f t="shared" si="215"/>
        <v>---</v>
      </c>
      <c r="D397" s="294" t="str">
        <f t="shared" si="216"/>
        <v>---</v>
      </c>
      <c r="E397" s="294" t="str">
        <f t="shared" si="217"/>
        <v>---</v>
      </c>
      <c r="F397" s="294" t="str">
        <f t="shared" si="218"/>
        <v>---</v>
      </c>
      <c r="G397" s="291" t="str">
        <f>IF(A397="---","---",IF(Type_Reinf="g",$I$352,IF(AND(Type_Reinf="s",Type_Steel_Strip="s")=TRUE,$I$354,IF(C397&gt;=20,IF(Type_Reinf="s",$F$353,10*INPUT!$J$111/INPUT!$I$111),IF(Type_Reinf="s",MIN(1.2+LOG(Cu),2)-C397*((MIN(1.2+LOG(Cu),2)-TAN(RADIANS(PHI_reinf)))/20),20*(INPUT!$J$111/INPUT!$I$111)-10*(INPUT!$J$111/INPUT!$I$111)*C397/20)))))</f>
        <v>---</v>
      </c>
      <c r="H397" s="296" t="str">
        <f t="shared" si="219"/>
        <v>---</v>
      </c>
      <c r="I397" s="294" t="str">
        <f t="shared" si="220"/>
        <v>---</v>
      </c>
      <c r="J397" s="294" t="str">
        <f t="shared" si="221"/>
        <v>---</v>
      </c>
      <c r="K397" s="294" t="str">
        <f t="shared" si="222"/>
        <v>---</v>
      </c>
      <c r="L397" s="291" t="str">
        <f t="shared" si="206"/>
        <v>---</v>
      </c>
      <c r="M397" s="444" t="str">
        <f t="shared" si="207"/>
        <v>---</v>
      </c>
      <c r="N397" s="441" t="str">
        <f t="shared" si="208"/>
        <v>---</v>
      </c>
      <c r="O397" s="291" t="str">
        <f t="shared" si="209"/>
        <v>---</v>
      </c>
      <c r="P397" s="291" t="str">
        <f t="shared" si="210"/>
        <v>---</v>
      </c>
      <c r="Q397" s="294" t="str">
        <f t="shared" si="211"/>
        <v>---</v>
      </c>
      <c r="R397" s="294" t="str">
        <f>IF(A325="---","---",IF(AND(Geo_Face="y",Geo_Conn="f")=TRUE,INPUT!Q141,"---"))</f>
        <v>---</v>
      </c>
      <c r="S397" s="291" t="str">
        <f t="shared" si="212"/>
        <v>---</v>
      </c>
      <c r="T397" s="441" t="str">
        <f t="shared" si="213"/>
        <v>---</v>
      </c>
    </row>
    <row r="398" spans="1:20">
      <c r="A398" s="438" t="str">
        <f t="shared" ref="A398:B398" si="252">A269</f>
        <v>---</v>
      </c>
      <c r="B398" s="294" t="str">
        <f t="shared" si="252"/>
        <v>---</v>
      </c>
      <c r="C398" s="294" t="str">
        <f t="shared" si="215"/>
        <v>---</v>
      </c>
      <c r="D398" s="294" t="str">
        <f t="shared" si="216"/>
        <v>---</v>
      </c>
      <c r="E398" s="294" t="str">
        <f t="shared" si="217"/>
        <v>---</v>
      </c>
      <c r="F398" s="294" t="str">
        <f t="shared" si="218"/>
        <v>---</v>
      </c>
      <c r="G398" s="291" t="str">
        <f>IF(A398="---","---",IF(Type_Reinf="g",$I$352,IF(AND(Type_Reinf="s",Type_Steel_Strip="s")=TRUE,$I$354,IF(C398&gt;=20,IF(Type_Reinf="s",$F$353,10*INPUT!$J$111/INPUT!$I$111),IF(Type_Reinf="s",MIN(1.2+LOG(Cu),2)-C398*((MIN(1.2+LOG(Cu),2)-TAN(RADIANS(PHI_reinf)))/20),20*(INPUT!$J$111/INPUT!$I$111)-10*(INPUT!$J$111/INPUT!$I$111)*C398/20)))))</f>
        <v>---</v>
      </c>
      <c r="H398" s="296" t="str">
        <f t="shared" si="219"/>
        <v>---</v>
      </c>
      <c r="I398" s="294" t="str">
        <f t="shared" si="220"/>
        <v>---</v>
      </c>
      <c r="J398" s="294" t="str">
        <f t="shared" si="221"/>
        <v>---</v>
      </c>
      <c r="K398" s="294" t="str">
        <f t="shared" si="222"/>
        <v>---</v>
      </c>
      <c r="L398" s="291" t="str">
        <f t="shared" si="206"/>
        <v>---</v>
      </c>
      <c r="M398" s="444" t="str">
        <f t="shared" si="207"/>
        <v>---</v>
      </c>
      <c r="N398" s="441" t="str">
        <f t="shared" si="208"/>
        <v>---</v>
      </c>
      <c r="O398" s="291" t="str">
        <f t="shared" si="209"/>
        <v>---</v>
      </c>
      <c r="P398" s="291" t="str">
        <f t="shared" si="210"/>
        <v>---</v>
      </c>
      <c r="Q398" s="294" t="str">
        <f t="shared" si="211"/>
        <v>---</v>
      </c>
      <c r="R398" s="294" t="str">
        <f>IF(A326="---","---",IF(AND(Geo_Face="y",Geo_Conn="f")=TRUE,INPUT!Q142,"---"))</f>
        <v>---</v>
      </c>
      <c r="S398" s="291" t="str">
        <f t="shared" si="212"/>
        <v>---</v>
      </c>
      <c r="T398" s="441" t="str">
        <f t="shared" si="213"/>
        <v>---</v>
      </c>
    </row>
    <row r="399" spans="1:20">
      <c r="A399" s="438" t="str">
        <f t="shared" ref="A399:B399" si="253">A270</f>
        <v>---</v>
      </c>
      <c r="B399" s="294" t="str">
        <f t="shared" si="253"/>
        <v>---</v>
      </c>
      <c r="C399" s="294" t="str">
        <f t="shared" si="215"/>
        <v>---</v>
      </c>
      <c r="D399" s="294" t="str">
        <f t="shared" si="216"/>
        <v>---</v>
      </c>
      <c r="E399" s="294" t="str">
        <f t="shared" si="217"/>
        <v>---</v>
      </c>
      <c r="F399" s="294" t="str">
        <f t="shared" si="218"/>
        <v>---</v>
      </c>
      <c r="G399" s="291" t="str">
        <f>IF(A399="---","---",IF(Type_Reinf="g",$I$352,IF(AND(Type_Reinf="s",Type_Steel_Strip="s")=TRUE,$I$354,IF(C399&gt;=20,IF(Type_Reinf="s",$F$353,10*INPUT!$J$111/INPUT!$I$111),IF(Type_Reinf="s",MIN(1.2+LOG(Cu),2)-C399*((MIN(1.2+LOG(Cu),2)-TAN(RADIANS(PHI_reinf)))/20),20*(INPUT!$J$111/INPUT!$I$111)-10*(INPUT!$J$111/INPUT!$I$111)*C399/20)))))</f>
        <v>---</v>
      </c>
      <c r="H399" s="296" t="str">
        <f t="shared" si="219"/>
        <v>---</v>
      </c>
      <c r="I399" s="294" t="str">
        <f t="shared" ref="I399:I416" si="254">IF(A399="---","---",M270)</f>
        <v>---</v>
      </c>
      <c r="J399" s="294" t="str">
        <f t="shared" si="221"/>
        <v>---</v>
      </c>
      <c r="K399" s="294" t="str">
        <f t="shared" si="222"/>
        <v>---</v>
      </c>
      <c r="L399" s="291" t="str">
        <f t="shared" ref="L399:L416" si="255">IF($A399="---","---",IF(Abut_on_Piles="y",gamma_reinf*C399+$I$23+IF(cf+bf+0.5*(B399-Ad)&lt;E399,0,IF(cf-0.5*(B399-Ad)&gt;E399,G270*IF(D270&gt;F399,F399,D270)/F399,G270*MAX(0,(cf+bf+0.5*(B399-Ad)-E399))/F399)),I399))</f>
        <v>---</v>
      </c>
      <c r="M399" s="444" t="str">
        <f t="shared" ref="M399:M416" si="256">IF(A399="---","---",MAX(3,K399/(phi_Pullout_Static*G399*$D$362*L399*C_surf_geo*I210)))</f>
        <v>---</v>
      </c>
      <c r="N399" s="441" t="str">
        <f t="shared" ref="N399:N416" si="257">IF(A399="---","---",IF(M399&gt;F399,"NG!","OK"))</f>
        <v>---</v>
      </c>
      <c r="O399" s="291" t="str">
        <f t="shared" ref="O399:O416" si="258">IF(M399&gt;F399,M399-F399,"---")</f>
        <v>---</v>
      </c>
      <c r="P399" s="291" t="str">
        <f t="shared" ref="P399:P416" si="259">IF($A399="---","---",IF(N399="OK",L_reinf,CEILING(E399+M399,1/12)))</f>
        <v>---</v>
      </c>
      <c r="Q399" s="294" t="str">
        <f t="shared" ref="Q399:Q416" si="260">IF(A327="---","---",IF(AND(Geo_Face="y",Geo_Conn="f")=TRUE,IF(rho="",TAN(2/3*RADIANS(PHI_reinf)),IF(rho_experimental="y",0.7*TAN(RADIANS(rho)),TAN(RADIANS(PHI_reinf)))),"---"))</f>
        <v>---</v>
      </c>
      <c r="R399" s="294" t="str">
        <f>IF(A327="---","---",IF(AND(Geo_Face="y",Geo_Conn="f")=TRUE,INPUT!Q143,"---"))</f>
        <v>---</v>
      </c>
      <c r="S399" s="291" t="str">
        <f t="shared" ref="S399:S416" si="261">IF(A327="---","---",IF(AND(Geo_Face="y",Geo_Conn="f")=TRUE,MAX(3,($K399/(phi_Pullout_Static*Q399*$D$362*I399*C_surf_geo*$I210))/2),"---"))</f>
        <v>---</v>
      </c>
      <c r="T399" s="441" t="str">
        <f t="shared" ref="T399:T416" si="262">IF(A327="---","---",IF(AND(Geo_Face="y",Geo_Conn="f")=TRUE,IF(R399&lt;S399,"NG!","OK"),"---"))</f>
        <v>---</v>
      </c>
    </row>
    <row r="400" spans="1:20">
      <c r="A400" s="438" t="str">
        <f t="shared" ref="A400:B400" si="263">A271</f>
        <v>---</v>
      </c>
      <c r="B400" s="294" t="str">
        <f t="shared" si="263"/>
        <v>---</v>
      </c>
      <c r="C400" s="294" t="str">
        <f t="shared" si="215"/>
        <v>---</v>
      </c>
      <c r="D400" s="294" t="str">
        <f t="shared" si="216"/>
        <v>---</v>
      </c>
      <c r="E400" s="294" t="str">
        <f t="shared" si="217"/>
        <v>---</v>
      </c>
      <c r="F400" s="294" t="str">
        <f t="shared" si="218"/>
        <v>---</v>
      </c>
      <c r="G400" s="291" t="str">
        <f>IF(A400="---","---",IF(Type_Reinf="g",$I$352,IF(AND(Type_Reinf="s",Type_Steel_Strip="s")=TRUE,$I$354,IF(C400&gt;=20,IF(Type_Reinf="s",$F$353,10*INPUT!$J$111/INPUT!$I$111),IF(Type_Reinf="s",MIN(1.2+LOG(Cu),2)-C400*((MIN(1.2+LOG(Cu),2)-TAN(RADIANS(PHI_reinf)))/20),20*(INPUT!$J$111/INPUT!$I$111)-10*(INPUT!$J$111/INPUT!$I$111)*C400/20)))))</f>
        <v>---</v>
      </c>
      <c r="H400" s="296" t="str">
        <f t="shared" si="219"/>
        <v>---</v>
      </c>
      <c r="I400" s="294" t="str">
        <f t="shared" si="254"/>
        <v>---</v>
      </c>
      <c r="J400" s="294" t="str">
        <f t="shared" si="221"/>
        <v>---</v>
      </c>
      <c r="K400" s="294" t="str">
        <f t="shared" si="222"/>
        <v>---</v>
      </c>
      <c r="L400" s="291" t="str">
        <f t="shared" si="255"/>
        <v>---</v>
      </c>
      <c r="M400" s="444" t="str">
        <f t="shared" si="256"/>
        <v>---</v>
      </c>
      <c r="N400" s="441" t="str">
        <f t="shared" si="257"/>
        <v>---</v>
      </c>
      <c r="O400" s="291" t="str">
        <f t="shared" si="258"/>
        <v>---</v>
      </c>
      <c r="P400" s="291" t="str">
        <f t="shared" si="259"/>
        <v>---</v>
      </c>
      <c r="Q400" s="294" t="str">
        <f t="shared" si="260"/>
        <v>---</v>
      </c>
      <c r="R400" s="294" t="str">
        <f>IF(A328="---","---",IF(AND(Geo_Face="y",Geo_Conn="f")=TRUE,INPUT!Q144,"---"))</f>
        <v>---</v>
      </c>
      <c r="S400" s="291" t="str">
        <f t="shared" si="261"/>
        <v>---</v>
      </c>
      <c r="T400" s="441" t="str">
        <f t="shared" si="262"/>
        <v>---</v>
      </c>
    </row>
    <row r="401" spans="1:20">
      <c r="A401" s="438" t="str">
        <f t="shared" ref="A401:B401" si="264">A272</f>
        <v>---</v>
      </c>
      <c r="B401" s="294" t="str">
        <f t="shared" si="264"/>
        <v>---</v>
      </c>
      <c r="C401" s="294" t="str">
        <f t="shared" si="215"/>
        <v>---</v>
      </c>
      <c r="D401" s="294" t="str">
        <f t="shared" si="216"/>
        <v>---</v>
      </c>
      <c r="E401" s="294" t="str">
        <f t="shared" si="217"/>
        <v>---</v>
      </c>
      <c r="F401" s="294" t="str">
        <f t="shared" si="218"/>
        <v>---</v>
      </c>
      <c r="G401" s="291" t="str">
        <f>IF(A401="---","---",IF(Type_Reinf="g",$I$352,IF(AND(Type_Reinf="s",Type_Steel_Strip="s")=TRUE,$I$354,IF(C401&gt;=20,IF(Type_Reinf="s",$F$353,10*INPUT!$J$111/INPUT!$I$111),IF(Type_Reinf="s",MIN(1.2+LOG(Cu),2)-C401*((MIN(1.2+LOG(Cu),2)-TAN(RADIANS(PHI_reinf)))/20),20*(INPUT!$J$111/INPUT!$I$111)-10*(INPUT!$J$111/INPUT!$I$111)*C401/20)))))</f>
        <v>---</v>
      </c>
      <c r="H401" s="296" t="str">
        <f t="shared" si="219"/>
        <v>---</v>
      </c>
      <c r="I401" s="294" t="str">
        <f t="shared" si="254"/>
        <v>---</v>
      </c>
      <c r="J401" s="294" t="str">
        <f t="shared" si="221"/>
        <v>---</v>
      </c>
      <c r="K401" s="294" t="str">
        <f t="shared" si="222"/>
        <v>---</v>
      </c>
      <c r="L401" s="291" t="str">
        <f t="shared" si="255"/>
        <v>---</v>
      </c>
      <c r="M401" s="444" t="str">
        <f t="shared" si="256"/>
        <v>---</v>
      </c>
      <c r="N401" s="441" t="str">
        <f t="shared" si="257"/>
        <v>---</v>
      </c>
      <c r="O401" s="291" t="str">
        <f t="shared" si="258"/>
        <v>---</v>
      </c>
      <c r="P401" s="291" t="str">
        <f t="shared" si="259"/>
        <v>---</v>
      </c>
      <c r="Q401" s="294" t="str">
        <f t="shared" si="260"/>
        <v>---</v>
      </c>
      <c r="R401" s="294" t="str">
        <f>IF(A329="---","---",IF(AND(Geo_Face="y",Geo_Conn="f")=TRUE,INPUT!Q145,"---"))</f>
        <v>---</v>
      </c>
      <c r="S401" s="291" t="str">
        <f t="shared" si="261"/>
        <v>---</v>
      </c>
      <c r="T401" s="441" t="str">
        <f t="shared" si="262"/>
        <v>---</v>
      </c>
    </row>
    <row r="402" spans="1:20">
      <c r="A402" s="438" t="str">
        <f t="shared" ref="A402:B402" si="265">A273</f>
        <v>---</v>
      </c>
      <c r="B402" s="294" t="str">
        <f t="shared" si="265"/>
        <v>---</v>
      </c>
      <c r="C402" s="294" t="str">
        <f t="shared" si="215"/>
        <v>---</v>
      </c>
      <c r="D402" s="294" t="str">
        <f t="shared" si="216"/>
        <v>---</v>
      </c>
      <c r="E402" s="294" t="str">
        <f t="shared" si="217"/>
        <v>---</v>
      </c>
      <c r="F402" s="294" t="str">
        <f t="shared" si="218"/>
        <v>---</v>
      </c>
      <c r="G402" s="291" t="str">
        <f>IF(A402="---","---",IF(Type_Reinf="g",$I$352,IF(AND(Type_Reinf="s",Type_Steel_Strip="s")=TRUE,$I$354,IF(C402&gt;=20,IF(Type_Reinf="s",$F$353,10*INPUT!$J$111/INPUT!$I$111),IF(Type_Reinf="s",MIN(1.2+LOG(Cu),2)-C402*((MIN(1.2+LOG(Cu),2)-TAN(RADIANS(PHI_reinf)))/20),20*(INPUT!$J$111/INPUT!$I$111)-10*(INPUT!$J$111/INPUT!$I$111)*C402/20)))))</f>
        <v>---</v>
      </c>
      <c r="H402" s="296" t="str">
        <f t="shared" si="219"/>
        <v>---</v>
      </c>
      <c r="I402" s="294" t="str">
        <f t="shared" si="254"/>
        <v>---</v>
      </c>
      <c r="J402" s="294" t="str">
        <f t="shared" si="221"/>
        <v>---</v>
      </c>
      <c r="K402" s="294" t="str">
        <f t="shared" si="222"/>
        <v>---</v>
      </c>
      <c r="L402" s="291" t="str">
        <f t="shared" si="255"/>
        <v>---</v>
      </c>
      <c r="M402" s="444" t="str">
        <f t="shared" si="256"/>
        <v>---</v>
      </c>
      <c r="N402" s="441" t="str">
        <f t="shared" si="257"/>
        <v>---</v>
      </c>
      <c r="O402" s="291" t="str">
        <f t="shared" si="258"/>
        <v>---</v>
      </c>
      <c r="P402" s="291" t="str">
        <f t="shared" si="259"/>
        <v>---</v>
      </c>
      <c r="Q402" s="294" t="str">
        <f t="shared" si="260"/>
        <v>---</v>
      </c>
      <c r="R402" s="294" t="str">
        <f>IF(A330="---","---",IF(AND(Geo_Face="y",Geo_Conn="f")=TRUE,INPUT!Q146,"---"))</f>
        <v>---</v>
      </c>
      <c r="S402" s="291" t="str">
        <f t="shared" si="261"/>
        <v>---</v>
      </c>
      <c r="T402" s="441" t="str">
        <f t="shared" si="262"/>
        <v>---</v>
      </c>
    </row>
    <row r="403" spans="1:20">
      <c r="A403" s="438" t="str">
        <f t="shared" ref="A403:B403" si="266">A274</f>
        <v>---</v>
      </c>
      <c r="B403" s="294" t="str">
        <f t="shared" si="266"/>
        <v>---</v>
      </c>
      <c r="C403" s="294" t="str">
        <f t="shared" si="215"/>
        <v>---</v>
      </c>
      <c r="D403" s="294" t="str">
        <f t="shared" si="216"/>
        <v>---</v>
      </c>
      <c r="E403" s="294" t="str">
        <f t="shared" si="217"/>
        <v>---</v>
      </c>
      <c r="F403" s="294" t="str">
        <f t="shared" si="218"/>
        <v>---</v>
      </c>
      <c r="G403" s="291" t="str">
        <f>IF(A403="---","---",IF(Type_Reinf="g",$I$352,IF(AND(Type_Reinf="s",Type_Steel_Strip="s")=TRUE,$I$354,IF(C403&gt;=20,IF(Type_Reinf="s",$F$353,10*INPUT!$J$111/INPUT!$I$111),IF(Type_Reinf="s",MIN(1.2+LOG(Cu),2)-C403*((MIN(1.2+LOG(Cu),2)-TAN(RADIANS(PHI_reinf)))/20),20*(INPUT!$J$111/INPUT!$I$111)-10*(INPUT!$J$111/INPUT!$I$111)*C403/20)))))</f>
        <v>---</v>
      </c>
      <c r="H403" s="296" t="str">
        <f t="shared" si="219"/>
        <v>---</v>
      </c>
      <c r="I403" s="294" t="str">
        <f t="shared" si="254"/>
        <v>---</v>
      </c>
      <c r="J403" s="294" t="str">
        <f t="shared" si="221"/>
        <v>---</v>
      </c>
      <c r="K403" s="294" t="str">
        <f t="shared" si="222"/>
        <v>---</v>
      </c>
      <c r="L403" s="291" t="str">
        <f t="shared" si="255"/>
        <v>---</v>
      </c>
      <c r="M403" s="444" t="str">
        <f t="shared" si="256"/>
        <v>---</v>
      </c>
      <c r="N403" s="441" t="str">
        <f t="shared" si="257"/>
        <v>---</v>
      </c>
      <c r="O403" s="291" t="str">
        <f t="shared" si="258"/>
        <v>---</v>
      </c>
      <c r="P403" s="291" t="str">
        <f t="shared" si="259"/>
        <v>---</v>
      </c>
      <c r="Q403" s="294" t="str">
        <f t="shared" si="260"/>
        <v>---</v>
      </c>
      <c r="R403" s="294" t="str">
        <f>IF(A331="---","---",IF(AND(Geo_Face="y",Geo_Conn="f")=TRUE,INPUT!Q147,"---"))</f>
        <v>---</v>
      </c>
      <c r="S403" s="291" t="str">
        <f t="shared" si="261"/>
        <v>---</v>
      </c>
      <c r="T403" s="441" t="str">
        <f t="shared" si="262"/>
        <v>---</v>
      </c>
    </row>
    <row r="404" spans="1:20">
      <c r="A404" s="438" t="str">
        <f t="shared" ref="A404:B404" si="267">A275</f>
        <v>---</v>
      </c>
      <c r="B404" s="294" t="str">
        <f t="shared" si="267"/>
        <v>---</v>
      </c>
      <c r="C404" s="294" t="str">
        <f t="shared" si="215"/>
        <v>---</v>
      </c>
      <c r="D404" s="294" t="str">
        <f t="shared" si="216"/>
        <v>---</v>
      </c>
      <c r="E404" s="294" t="str">
        <f t="shared" si="217"/>
        <v>---</v>
      </c>
      <c r="F404" s="294" t="str">
        <f t="shared" si="218"/>
        <v>---</v>
      </c>
      <c r="G404" s="291" t="str">
        <f>IF(A404="---","---",IF(Type_Reinf="g",$I$352,IF(AND(Type_Reinf="s",Type_Steel_Strip="s")=TRUE,$I$354,IF(C404&gt;=20,IF(Type_Reinf="s",$F$353,10*INPUT!$J$111/INPUT!$I$111),IF(Type_Reinf="s",MIN(1.2+LOG(Cu),2)-C404*((MIN(1.2+LOG(Cu),2)-TAN(RADIANS(PHI_reinf)))/20),20*(INPUT!$J$111/INPUT!$I$111)-10*(INPUT!$J$111/INPUT!$I$111)*C404/20)))))</f>
        <v>---</v>
      </c>
      <c r="H404" s="296" t="str">
        <f t="shared" si="219"/>
        <v>---</v>
      </c>
      <c r="I404" s="294" t="str">
        <f t="shared" si="254"/>
        <v>---</v>
      </c>
      <c r="J404" s="294" t="str">
        <f t="shared" si="221"/>
        <v>---</v>
      </c>
      <c r="K404" s="294" t="str">
        <f t="shared" si="222"/>
        <v>---</v>
      </c>
      <c r="L404" s="291" t="str">
        <f t="shared" si="255"/>
        <v>---</v>
      </c>
      <c r="M404" s="444" t="str">
        <f t="shared" si="256"/>
        <v>---</v>
      </c>
      <c r="N404" s="441" t="str">
        <f t="shared" si="257"/>
        <v>---</v>
      </c>
      <c r="O404" s="291" t="str">
        <f t="shared" si="258"/>
        <v>---</v>
      </c>
      <c r="P404" s="291" t="str">
        <f t="shared" si="259"/>
        <v>---</v>
      </c>
      <c r="Q404" s="294" t="str">
        <f t="shared" si="260"/>
        <v>---</v>
      </c>
      <c r="R404" s="294" t="str">
        <f>IF(A332="---","---",IF(AND(Geo_Face="y",Geo_Conn="f")=TRUE,INPUT!Q148,"---"))</f>
        <v>---</v>
      </c>
      <c r="S404" s="291" t="str">
        <f t="shared" si="261"/>
        <v>---</v>
      </c>
      <c r="T404" s="441" t="str">
        <f t="shared" si="262"/>
        <v>---</v>
      </c>
    </row>
    <row r="405" spans="1:20">
      <c r="A405" s="438" t="str">
        <f t="shared" ref="A405:B405" si="268">A276</f>
        <v>---</v>
      </c>
      <c r="B405" s="294" t="str">
        <f t="shared" si="268"/>
        <v>---</v>
      </c>
      <c r="C405" s="294" t="str">
        <f t="shared" si="215"/>
        <v>---</v>
      </c>
      <c r="D405" s="294" t="str">
        <f t="shared" si="216"/>
        <v>---</v>
      </c>
      <c r="E405" s="294" t="str">
        <f t="shared" si="217"/>
        <v>---</v>
      </c>
      <c r="F405" s="294" t="str">
        <f t="shared" si="218"/>
        <v>---</v>
      </c>
      <c r="G405" s="291" t="str">
        <f>IF(A405="---","---",IF(Type_Reinf="g",$I$352,IF(AND(Type_Reinf="s",Type_Steel_Strip="s")=TRUE,$I$354,IF(C405&gt;=20,IF(Type_Reinf="s",$F$353,10*INPUT!$J$111/INPUT!$I$111),IF(Type_Reinf="s",MIN(1.2+LOG(Cu),2)-C405*((MIN(1.2+LOG(Cu),2)-TAN(RADIANS(PHI_reinf)))/20),20*(INPUT!$J$111/INPUT!$I$111)-10*(INPUT!$J$111/INPUT!$I$111)*C405/20)))))</f>
        <v>---</v>
      </c>
      <c r="H405" s="296" t="str">
        <f t="shared" si="219"/>
        <v>---</v>
      </c>
      <c r="I405" s="294" t="str">
        <f t="shared" si="254"/>
        <v>---</v>
      </c>
      <c r="J405" s="294" t="str">
        <f t="shared" si="221"/>
        <v>---</v>
      </c>
      <c r="K405" s="294" t="str">
        <f t="shared" si="222"/>
        <v>---</v>
      </c>
      <c r="L405" s="291" t="str">
        <f t="shared" si="255"/>
        <v>---</v>
      </c>
      <c r="M405" s="444" t="str">
        <f t="shared" si="256"/>
        <v>---</v>
      </c>
      <c r="N405" s="441" t="str">
        <f t="shared" si="257"/>
        <v>---</v>
      </c>
      <c r="O405" s="291" t="str">
        <f t="shared" si="258"/>
        <v>---</v>
      </c>
      <c r="P405" s="291" t="str">
        <f t="shared" si="259"/>
        <v>---</v>
      </c>
      <c r="Q405" s="294" t="str">
        <f t="shared" si="260"/>
        <v>---</v>
      </c>
      <c r="R405" s="294" t="str">
        <f>IF(A333="---","---",IF(AND(Geo_Face="y",Geo_Conn="f")=TRUE,INPUT!Q149,"---"))</f>
        <v>---</v>
      </c>
      <c r="S405" s="291" t="str">
        <f t="shared" si="261"/>
        <v>---</v>
      </c>
      <c r="T405" s="441" t="str">
        <f t="shared" si="262"/>
        <v>---</v>
      </c>
    </row>
    <row r="406" spans="1:20">
      <c r="A406" s="438" t="str">
        <f t="shared" ref="A406:B406" si="269">A277</f>
        <v>---</v>
      </c>
      <c r="B406" s="294" t="str">
        <f t="shared" si="269"/>
        <v>---</v>
      </c>
      <c r="C406" s="294" t="str">
        <f t="shared" si="215"/>
        <v>---</v>
      </c>
      <c r="D406" s="294" t="str">
        <f t="shared" si="216"/>
        <v>---</v>
      </c>
      <c r="E406" s="294" t="str">
        <f t="shared" si="217"/>
        <v>---</v>
      </c>
      <c r="F406" s="294" t="str">
        <f t="shared" si="218"/>
        <v>---</v>
      </c>
      <c r="G406" s="291" t="str">
        <f>IF(A406="---","---",IF(Type_Reinf="g",$I$352,IF(AND(Type_Reinf="s",Type_Steel_Strip="s")=TRUE,$I$354,IF(C406&gt;=20,IF(Type_Reinf="s",$F$353,10*INPUT!$J$111/INPUT!$I$111),IF(Type_Reinf="s",MIN(1.2+LOG(Cu),2)-C406*((MIN(1.2+LOG(Cu),2)-TAN(RADIANS(PHI_reinf)))/20),20*(INPUT!$J$111/INPUT!$I$111)-10*(INPUT!$J$111/INPUT!$I$111)*C406/20)))))</f>
        <v>---</v>
      </c>
      <c r="H406" s="296" t="str">
        <f t="shared" si="219"/>
        <v>---</v>
      </c>
      <c r="I406" s="294" t="str">
        <f t="shared" si="254"/>
        <v>---</v>
      </c>
      <c r="J406" s="294" t="str">
        <f t="shared" si="221"/>
        <v>---</v>
      </c>
      <c r="K406" s="294" t="str">
        <f t="shared" si="222"/>
        <v>---</v>
      </c>
      <c r="L406" s="291" t="str">
        <f t="shared" si="255"/>
        <v>---</v>
      </c>
      <c r="M406" s="444" t="str">
        <f t="shared" si="256"/>
        <v>---</v>
      </c>
      <c r="N406" s="441" t="str">
        <f t="shared" si="257"/>
        <v>---</v>
      </c>
      <c r="O406" s="291" t="str">
        <f t="shared" si="258"/>
        <v>---</v>
      </c>
      <c r="P406" s="291" t="str">
        <f t="shared" si="259"/>
        <v>---</v>
      </c>
      <c r="Q406" s="294" t="str">
        <f t="shared" si="260"/>
        <v>---</v>
      </c>
      <c r="R406" s="294" t="str">
        <f>IF(A334="---","---",IF(AND(Geo_Face="y",Geo_Conn="f")=TRUE,INPUT!Q150,"---"))</f>
        <v>---</v>
      </c>
      <c r="S406" s="291" t="str">
        <f t="shared" si="261"/>
        <v>---</v>
      </c>
      <c r="T406" s="441" t="str">
        <f t="shared" si="262"/>
        <v>---</v>
      </c>
    </row>
    <row r="407" spans="1:20">
      <c r="A407" s="438" t="str">
        <f t="shared" ref="A407:B407" si="270">A278</f>
        <v>---</v>
      </c>
      <c r="B407" s="294" t="str">
        <f t="shared" si="270"/>
        <v>---</v>
      </c>
      <c r="C407" s="294" t="str">
        <f t="shared" si="215"/>
        <v>---</v>
      </c>
      <c r="D407" s="294" t="str">
        <f t="shared" si="216"/>
        <v>---</v>
      </c>
      <c r="E407" s="294" t="str">
        <f t="shared" si="217"/>
        <v>---</v>
      </c>
      <c r="F407" s="294" t="str">
        <f t="shared" si="218"/>
        <v>---</v>
      </c>
      <c r="G407" s="291" t="str">
        <f>IF(A407="---","---",IF(Type_Reinf="g",$I$352,IF(AND(Type_Reinf="s",Type_Steel_Strip="s")=TRUE,$I$354,IF(C407&gt;=20,IF(Type_Reinf="s",$F$353,10*INPUT!$J$111/INPUT!$I$111),IF(Type_Reinf="s",MIN(1.2+LOG(Cu),2)-C407*((MIN(1.2+LOG(Cu),2)-TAN(RADIANS(PHI_reinf)))/20),20*(INPUT!$J$111/INPUT!$I$111)-10*(INPUT!$J$111/INPUT!$I$111)*C407/20)))))</f>
        <v>---</v>
      </c>
      <c r="H407" s="296" t="str">
        <f t="shared" si="219"/>
        <v>---</v>
      </c>
      <c r="I407" s="294" t="str">
        <f t="shared" si="254"/>
        <v>---</v>
      </c>
      <c r="J407" s="294" t="str">
        <f t="shared" si="221"/>
        <v>---</v>
      </c>
      <c r="K407" s="294" t="str">
        <f t="shared" si="222"/>
        <v>---</v>
      </c>
      <c r="L407" s="291" t="str">
        <f t="shared" si="255"/>
        <v>---</v>
      </c>
      <c r="M407" s="444" t="str">
        <f t="shared" si="256"/>
        <v>---</v>
      </c>
      <c r="N407" s="441" t="str">
        <f t="shared" si="257"/>
        <v>---</v>
      </c>
      <c r="O407" s="291" t="str">
        <f t="shared" si="258"/>
        <v>---</v>
      </c>
      <c r="P407" s="291" t="str">
        <f t="shared" si="259"/>
        <v>---</v>
      </c>
      <c r="Q407" s="294" t="str">
        <f t="shared" si="260"/>
        <v>---</v>
      </c>
      <c r="R407" s="294" t="str">
        <f>IF(A335="---","---",IF(AND(Geo_Face="y",Geo_Conn="f")=TRUE,INPUT!Q151,"---"))</f>
        <v>---</v>
      </c>
      <c r="S407" s="291" t="str">
        <f t="shared" si="261"/>
        <v>---</v>
      </c>
      <c r="T407" s="441" t="str">
        <f t="shared" si="262"/>
        <v>---</v>
      </c>
    </row>
    <row r="408" spans="1:20">
      <c r="A408" s="438" t="str">
        <f t="shared" ref="A408:B408" si="271">A279</f>
        <v>---</v>
      </c>
      <c r="B408" s="294" t="str">
        <f t="shared" si="271"/>
        <v>---</v>
      </c>
      <c r="C408" s="294" t="str">
        <f t="shared" si="215"/>
        <v>---</v>
      </c>
      <c r="D408" s="294" t="str">
        <f t="shared" si="216"/>
        <v>---</v>
      </c>
      <c r="E408" s="294" t="str">
        <f t="shared" si="217"/>
        <v>---</v>
      </c>
      <c r="F408" s="294" t="str">
        <f t="shared" si="218"/>
        <v>---</v>
      </c>
      <c r="G408" s="291" t="str">
        <f>IF(A408="---","---",IF(Type_Reinf="g",$I$352,IF(AND(Type_Reinf="s",Type_Steel_Strip="s")=TRUE,$I$354,IF(C408&gt;=20,IF(Type_Reinf="s",$F$353,10*INPUT!$J$111/INPUT!$I$111),IF(Type_Reinf="s",MIN(1.2+LOG(Cu),2)-C408*((MIN(1.2+LOG(Cu),2)-TAN(RADIANS(PHI_reinf)))/20),20*(INPUT!$J$111/INPUT!$I$111)-10*(INPUT!$J$111/INPUT!$I$111)*C408/20)))))</f>
        <v>---</v>
      </c>
      <c r="H408" s="296" t="str">
        <f t="shared" si="219"/>
        <v>---</v>
      </c>
      <c r="I408" s="294" t="str">
        <f t="shared" si="254"/>
        <v>---</v>
      </c>
      <c r="J408" s="294" t="str">
        <f t="shared" si="221"/>
        <v>---</v>
      </c>
      <c r="K408" s="294" t="str">
        <f t="shared" si="222"/>
        <v>---</v>
      </c>
      <c r="L408" s="291" t="str">
        <f t="shared" si="255"/>
        <v>---</v>
      </c>
      <c r="M408" s="444" t="str">
        <f t="shared" si="256"/>
        <v>---</v>
      </c>
      <c r="N408" s="441" t="str">
        <f t="shared" si="257"/>
        <v>---</v>
      </c>
      <c r="O408" s="291" t="str">
        <f t="shared" si="258"/>
        <v>---</v>
      </c>
      <c r="P408" s="291" t="str">
        <f t="shared" si="259"/>
        <v>---</v>
      </c>
      <c r="Q408" s="294" t="str">
        <f t="shared" si="260"/>
        <v>---</v>
      </c>
      <c r="R408" s="294" t="str">
        <f>IF(A336="---","---",IF(AND(Geo_Face="y",Geo_Conn="f")=TRUE,INPUT!Q152,"---"))</f>
        <v>---</v>
      </c>
      <c r="S408" s="291" t="str">
        <f t="shared" si="261"/>
        <v>---</v>
      </c>
      <c r="T408" s="441" t="str">
        <f t="shared" si="262"/>
        <v>---</v>
      </c>
    </row>
    <row r="409" spans="1:20">
      <c r="A409" s="438" t="str">
        <f t="shared" ref="A409:B409" si="272">A280</f>
        <v>---</v>
      </c>
      <c r="B409" s="294" t="str">
        <f t="shared" si="272"/>
        <v>---</v>
      </c>
      <c r="C409" s="294" t="str">
        <f t="shared" si="215"/>
        <v>---</v>
      </c>
      <c r="D409" s="294" t="str">
        <f t="shared" si="216"/>
        <v>---</v>
      </c>
      <c r="E409" s="294" t="str">
        <f t="shared" si="217"/>
        <v>---</v>
      </c>
      <c r="F409" s="294" t="str">
        <f t="shared" si="218"/>
        <v>---</v>
      </c>
      <c r="G409" s="291" t="str">
        <f>IF(A409="---","---",IF(Type_Reinf="g",$I$352,IF(AND(Type_Reinf="s",Type_Steel_Strip="s")=TRUE,$I$354,IF(C409&gt;=20,IF(Type_Reinf="s",$F$353,10*INPUT!$J$111/INPUT!$I$111),IF(Type_Reinf="s",MIN(1.2+LOG(Cu),2)-C409*((MIN(1.2+LOG(Cu),2)-TAN(RADIANS(PHI_reinf)))/20),20*(INPUT!$J$111/INPUT!$I$111)-10*(INPUT!$J$111/INPUT!$I$111)*C409/20)))))</f>
        <v>---</v>
      </c>
      <c r="H409" s="296" t="str">
        <f t="shared" si="219"/>
        <v>---</v>
      </c>
      <c r="I409" s="294" t="str">
        <f t="shared" si="254"/>
        <v>---</v>
      </c>
      <c r="J409" s="294" t="str">
        <f t="shared" si="221"/>
        <v>---</v>
      </c>
      <c r="K409" s="294" t="str">
        <f t="shared" si="222"/>
        <v>---</v>
      </c>
      <c r="L409" s="291" t="str">
        <f t="shared" si="255"/>
        <v>---</v>
      </c>
      <c r="M409" s="444" t="str">
        <f t="shared" si="256"/>
        <v>---</v>
      </c>
      <c r="N409" s="441" t="str">
        <f t="shared" si="257"/>
        <v>---</v>
      </c>
      <c r="O409" s="291" t="str">
        <f t="shared" si="258"/>
        <v>---</v>
      </c>
      <c r="P409" s="291" t="str">
        <f t="shared" si="259"/>
        <v>---</v>
      </c>
      <c r="Q409" s="294" t="str">
        <f t="shared" si="260"/>
        <v>---</v>
      </c>
      <c r="R409" s="294" t="str">
        <f>IF(A337="---","---",IF(AND(Geo_Face="y",Geo_Conn="f")=TRUE,INPUT!Q153,"---"))</f>
        <v>---</v>
      </c>
      <c r="S409" s="291" t="str">
        <f t="shared" si="261"/>
        <v>---</v>
      </c>
      <c r="T409" s="441" t="str">
        <f t="shared" si="262"/>
        <v>---</v>
      </c>
    </row>
    <row r="410" spans="1:20">
      <c r="A410" s="438" t="str">
        <f t="shared" ref="A410:B410" si="273">A281</f>
        <v>---</v>
      </c>
      <c r="B410" s="294" t="str">
        <f t="shared" si="273"/>
        <v>---</v>
      </c>
      <c r="C410" s="294" t="str">
        <f t="shared" si="215"/>
        <v>---</v>
      </c>
      <c r="D410" s="294" t="str">
        <f t="shared" si="216"/>
        <v>---</v>
      </c>
      <c r="E410" s="294" t="str">
        <f t="shared" si="217"/>
        <v>---</v>
      </c>
      <c r="F410" s="294" t="str">
        <f t="shared" si="218"/>
        <v>---</v>
      </c>
      <c r="G410" s="291" t="str">
        <f>IF(A410="---","---",IF(Type_Reinf="g",$I$352,IF(AND(Type_Reinf="s",Type_Steel_Strip="s")=TRUE,$I$354,IF(C410&gt;=20,IF(Type_Reinf="s",$F$353,10*INPUT!$J$111/INPUT!$I$111),IF(Type_Reinf="s",MIN(1.2+LOG(Cu),2)-C410*((MIN(1.2+LOG(Cu),2)-TAN(RADIANS(PHI_reinf)))/20),20*(INPUT!$J$111/INPUT!$I$111)-10*(INPUT!$J$111/INPUT!$I$111)*C410/20)))))</f>
        <v>---</v>
      </c>
      <c r="H410" s="296" t="str">
        <f t="shared" si="219"/>
        <v>---</v>
      </c>
      <c r="I410" s="294" t="str">
        <f t="shared" si="254"/>
        <v>---</v>
      </c>
      <c r="J410" s="294" t="str">
        <f t="shared" si="221"/>
        <v>---</v>
      </c>
      <c r="K410" s="294" t="str">
        <f t="shared" si="222"/>
        <v>---</v>
      </c>
      <c r="L410" s="291" t="str">
        <f t="shared" si="255"/>
        <v>---</v>
      </c>
      <c r="M410" s="444" t="str">
        <f t="shared" si="256"/>
        <v>---</v>
      </c>
      <c r="N410" s="441" t="str">
        <f t="shared" si="257"/>
        <v>---</v>
      </c>
      <c r="O410" s="291" t="str">
        <f t="shared" si="258"/>
        <v>---</v>
      </c>
      <c r="P410" s="291" t="str">
        <f t="shared" si="259"/>
        <v>---</v>
      </c>
      <c r="Q410" s="294" t="str">
        <f t="shared" si="260"/>
        <v>---</v>
      </c>
      <c r="R410" s="294" t="str">
        <f>IF(A338="---","---",IF(AND(Geo_Face="y",Geo_Conn="f")=TRUE,INPUT!Q154,"---"))</f>
        <v>---</v>
      </c>
      <c r="S410" s="291" t="str">
        <f t="shared" si="261"/>
        <v>---</v>
      </c>
      <c r="T410" s="441" t="str">
        <f t="shared" si="262"/>
        <v>---</v>
      </c>
    </row>
    <row r="411" spans="1:20">
      <c r="A411" s="438" t="str">
        <f t="shared" ref="A411:B411" si="274">A282</f>
        <v>---</v>
      </c>
      <c r="B411" s="294" t="str">
        <f t="shared" si="274"/>
        <v>---</v>
      </c>
      <c r="C411" s="294" t="str">
        <f t="shared" si="215"/>
        <v>---</v>
      </c>
      <c r="D411" s="294" t="str">
        <f t="shared" si="216"/>
        <v>---</v>
      </c>
      <c r="E411" s="294" t="str">
        <f t="shared" si="217"/>
        <v>---</v>
      </c>
      <c r="F411" s="294" t="str">
        <f t="shared" si="218"/>
        <v>---</v>
      </c>
      <c r="G411" s="291" t="str">
        <f>IF(A411="---","---",IF(Type_Reinf="g",$I$352,IF(AND(Type_Reinf="s",Type_Steel_Strip="s")=TRUE,$I$354,IF(C411&gt;=20,IF(Type_Reinf="s",$F$353,10*INPUT!$J$111/INPUT!$I$111),IF(Type_Reinf="s",MIN(1.2+LOG(Cu),2)-C411*((MIN(1.2+LOG(Cu),2)-TAN(RADIANS(PHI_reinf)))/20),20*(INPUT!$J$111/INPUT!$I$111)-10*(INPUT!$J$111/INPUT!$I$111)*C411/20)))))</f>
        <v>---</v>
      </c>
      <c r="H411" s="296" t="str">
        <f t="shared" si="219"/>
        <v>---</v>
      </c>
      <c r="I411" s="294" t="str">
        <f t="shared" si="254"/>
        <v>---</v>
      </c>
      <c r="J411" s="294" t="str">
        <f t="shared" si="221"/>
        <v>---</v>
      </c>
      <c r="K411" s="294" t="str">
        <f t="shared" si="222"/>
        <v>---</v>
      </c>
      <c r="L411" s="291" t="str">
        <f t="shared" si="255"/>
        <v>---</v>
      </c>
      <c r="M411" s="444" t="str">
        <f t="shared" si="256"/>
        <v>---</v>
      </c>
      <c r="N411" s="441" t="str">
        <f t="shared" si="257"/>
        <v>---</v>
      </c>
      <c r="O411" s="291" t="str">
        <f t="shared" si="258"/>
        <v>---</v>
      </c>
      <c r="P411" s="291" t="str">
        <f t="shared" si="259"/>
        <v>---</v>
      </c>
      <c r="Q411" s="294" t="str">
        <f t="shared" si="260"/>
        <v>---</v>
      </c>
      <c r="R411" s="294" t="str">
        <f>IF(A339="---","---",IF(AND(Geo_Face="y",Geo_Conn="f")=TRUE,INPUT!Q155,"---"))</f>
        <v>---</v>
      </c>
      <c r="S411" s="291" t="str">
        <f t="shared" si="261"/>
        <v>---</v>
      </c>
      <c r="T411" s="441" t="str">
        <f t="shared" si="262"/>
        <v>---</v>
      </c>
    </row>
    <row r="412" spans="1:20">
      <c r="A412" s="438" t="str">
        <f t="shared" ref="A412:B412" si="275">A283</f>
        <v>---</v>
      </c>
      <c r="B412" s="294" t="str">
        <f t="shared" si="275"/>
        <v>---</v>
      </c>
      <c r="C412" s="294" t="str">
        <f t="shared" si="215"/>
        <v>---</v>
      </c>
      <c r="D412" s="294" t="str">
        <f t="shared" si="216"/>
        <v>---</v>
      </c>
      <c r="E412" s="294" t="str">
        <f t="shared" si="217"/>
        <v>---</v>
      </c>
      <c r="F412" s="294" t="str">
        <f t="shared" si="218"/>
        <v>---</v>
      </c>
      <c r="G412" s="291" t="str">
        <f>IF(A412="---","---",IF(Type_Reinf="g",$I$352,IF(AND(Type_Reinf="s",Type_Steel_Strip="s")=TRUE,$I$354,IF(C412&gt;=20,IF(Type_Reinf="s",$F$353,10*INPUT!$J$111/INPUT!$I$111),IF(Type_Reinf="s",MIN(1.2+LOG(Cu),2)-C412*((MIN(1.2+LOG(Cu),2)-TAN(RADIANS(PHI_reinf)))/20),20*(INPUT!$J$111/INPUT!$I$111)-10*(INPUT!$J$111/INPUT!$I$111)*C412/20)))))</f>
        <v>---</v>
      </c>
      <c r="H412" s="296" t="str">
        <f t="shared" si="219"/>
        <v>---</v>
      </c>
      <c r="I412" s="294" t="str">
        <f t="shared" si="254"/>
        <v>---</v>
      </c>
      <c r="J412" s="294" t="str">
        <f t="shared" si="221"/>
        <v>---</v>
      </c>
      <c r="K412" s="294" t="str">
        <f t="shared" si="222"/>
        <v>---</v>
      </c>
      <c r="L412" s="291" t="str">
        <f t="shared" si="255"/>
        <v>---</v>
      </c>
      <c r="M412" s="444" t="str">
        <f t="shared" si="256"/>
        <v>---</v>
      </c>
      <c r="N412" s="441" t="str">
        <f t="shared" si="257"/>
        <v>---</v>
      </c>
      <c r="O412" s="291" t="str">
        <f t="shared" si="258"/>
        <v>---</v>
      </c>
      <c r="P412" s="291" t="str">
        <f t="shared" si="259"/>
        <v>---</v>
      </c>
      <c r="Q412" s="294" t="str">
        <f t="shared" si="260"/>
        <v>---</v>
      </c>
      <c r="R412" s="294" t="str">
        <f>IF(A340="---","---",IF(AND(Geo_Face="y",Geo_Conn="f")=TRUE,INPUT!Q156,"---"))</f>
        <v>---</v>
      </c>
      <c r="S412" s="291" t="str">
        <f t="shared" si="261"/>
        <v>---</v>
      </c>
      <c r="T412" s="441" t="str">
        <f t="shared" si="262"/>
        <v>---</v>
      </c>
    </row>
    <row r="413" spans="1:20">
      <c r="A413" s="438" t="str">
        <f t="shared" ref="A413:B413" si="276">A284</f>
        <v>---</v>
      </c>
      <c r="B413" s="294" t="str">
        <f t="shared" si="276"/>
        <v>---</v>
      </c>
      <c r="C413" s="294" t="str">
        <f t="shared" si="215"/>
        <v>---</v>
      </c>
      <c r="D413" s="294" t="str">
        <f t="shared" si="216"/>
        <v>---</v>
      </c>
      <c r="E413" s="294" t="str">
        <f t="shared" si="217"/>
        <v>---</v>
      </c>
      <c r="F413" s="294" t="str">
        <f t="shared" si="218"/>
        <v>---</v>
      </c>
      <c r="G413" s="291" t="str">
        <f>IF(A413="---","---",IF(Type_Reinf="g",$I$352,IF(AND(Type_Reinf="s",Type_Steel_Strip="s")=TRUE,$I$354,IF(C413&gt;=20,IF(Type_Reinf="s",$F$353,10*INPUT!$J$111/INPUT!$I$111),IF(Type_Reinf="s",MIN(1.2+LOG(Cu),2)-C413*((MIN(1.2+LOG(Cu),2)-TAN(RADIANS(PHI_reinf)))/20),20*(INPUT!$J$111/INPUT!$I$111)-10*(INPUT!$J$111/INPUT!$I$111)*C413/20)))))</f>
        <v>---</v>
      </c>
      <c r="H413" s="296" t="str">
        <f t="shared" si="219"/>
        <v>---</v>
      </c>
      <c r="I413" s="294" t="str">
        <f t="shared" si="254"/>
        <v>---</v>
      </c>
      <c r="J413" s="294" t="str">
        <f t="shared" si="221"/>
        <v>---</v>
      </c>
      <c r="K413" s="294" t="str">
        <f t="shared" si="222"/>
        <v>---</v>
      </c>
      <c r="L413" s="291" t="str">
        <f t="shared" si="255"/>
        <v>---</v>
      </c>
      <c r="M413" s="444" t="str">
        <f t="shared" si="256"/>
        <v>---</v>
      </c>
      <c r="N413" s="441" t="str">
        <f t="shared" si="257"/>
        <v>---</v>
      </c>
      <c r="O413" s="291" t="str">
        <f t="shared" si="258"/>
        <v>---</v>
      </c>
      <c r="P413" s="291" t="str">
        <f t="shared" si="259"/>
        <v>---</v>
      </c>
      <c r="Q413" s="294" t="str">
        <f t="shared" si="260"/>
        <v>---</v>
      </c>
      <c r="R413" s="294" t="str">
        <f>IF(A341="---","---",IF(AND(Geo_Face="y",Geo_Conn="f")=TRUE,INPUT!Q157,"---"))</f>
        <v>---</v>
      </c>
      <c r="S413" s="291" t="str">
        <f t="shared" si="261"/>
        <v>---</v>
      </c>
      <c r="T413" s="441" t="str">
        <f t="shared" si="262"/>
        <v>---</v>
      </c>
    </row>
    <row r="414" spans="1:20">
      <c r="A414" s="438" t="str">
        <f t="shared" ref="A414:B414" si="277">A285</f>
        <v>---</v>
      </c>
      <c r="B414" s="294" t="str">
        <f t="shared" si="277"/>
        <v>---</v>
      </c>
      <c r="C414" s="294" t="str">
        <f t="shared" si="215"/>
        <v>---</v>
      </c>
      <c r="D414" s="294" t="str">
        <f t="shared" si="216"/>
        <v>---</v>
      </c>
      <c r="E414" s="294" t="str">
        <f t="shared" si="217"/>
        <v>---</v>
      </c>
      <c r="F414" s="294" t="str">
        <f t="shared" si="218"/>
        <v>---</v>
      </c>
      <c r="G414" s="291" t="str">
        <f>IF(A414="---","---",IF(Type_Reinf="g",$I$352,IF(AND(Type_Reinf="s",Type_Steel_Strip="s")=TRUE,$I$354,IF(C414&gt;=20,IF(Type_Reinf="s",$F$353,10*INPUT!$J$111/INPUT!$I$111),IF(Type_Reinf="s",MIN(1.2+LOG(Cu),2)-C414*((MIN(1.2+LOG(Cu),2)-TAN(RADIANS(PHI_reinf)))/20),20*(INPUT!$J$111/INPUT!$I$111)-10*(INPUT!$J$111/INPUT!$I$111)*C414/20)))))</f>
        <v>---</v>
      </c>
      <c r="H414" s="296" t="str">
        <f t="shared" si="219"/>
        <v>---</v>
      </c>
      <c r="I414" s="294" t="str">
        <f t="shared" si="254"/>
        <v>---</v>
      </c>
      <c r="J414" s="294" t="str">
        <f t="shared" si="221"/>
        <v>---</v>
      </c>
      <c r="K414" s="294" t="str">
        <f t="shared" si="222"/>
        <v>---</v>
      </c>
      <c r="L414" s="291" t="str">
        <f t="shared" si="255"/>
        <v>---</v>
      </c>
      <c r="M414" s="444" t="str">
        <f t="shared" si="256"/>
        <v>---</v>
      </c>
      <c r="N414" s="441" t="str">
        <f t="shared" si="257"/>
        <v>---</v>
      </c>
      <c r="O414" s="291" t="str">
        <f t="shared" si="258"/>
        <v>---</v>
      </c>
      <c r="P414" s="291" t="str">
        <f t="shared" si="259"/>
        <v>---</v>
      </c>
      <c r="Q414" s="294" t="str">
        <f t="shared" si="260"/>
        <v>---</v>
      </c>
      <c r="R414" s="294" t="str">
        <f>IF(A342="---","---",IF(AND(Geo_Face="y",Geo_Conn="f")=TRUE,INPUT!Q158,"---"))</f>
        <v>---</v>
      </c>
      <c r="S414" s="291" t="str">
        <f t="shared" si="261"/>
        <v>---</v>
      </c>
      <c r="T414" s="441" t="str">
        <f t="shared" si="262"/>
        <v>---</v>
      </c>
    </row>
    <row r="415" spans="1:20">
      <c r="A415" s="438" t="str">
        <f t="shared" ref="A415:B415" si="278">A286</f>
        <v>---</v>
      </c>
      <c r="B415" s="294" t="str">
        <f t="shared" si="278"/>
        <v>---</v>
      </c>
      <c r="C415" s="294" t="str">
        <f t="shared" si="215"/>
        <v>---</v>
      </c>
      <c r="D415" s="294" t="str">
        <f t="shared" si="216"/>
        <v>---</v>
      </c>
      <c r="E415" s="294" t="str">
        <f t="shared" si="217"/>
        <v>---</v>
      </c>
      <c r="F415" s="294" t="str">
        <f t="shared" si="218"/>
        <v>---</v>
      </c>
      <c r="G415" s="291" t="str">
        <f>IF(A415="---","---",IF(Type_Reinf="g",$I$352,IF(AND(Type_Reinf="s",Type_Steel_Strip="s")=TRUE,$I$354,IF(C415&gt;=20,IF(Type_Reinf="s",$F$353,10*INPUT!$J$111/INPUT!$I$111),IF(Type_Reinf="s",MIN(1.2+LOG(Cu),2)-C415*((MIN(1.2+LOG(Cu),2)-TAN(RADIANS(PHI_reinf)))/20),20*(INPUT!$J$111/INPUT!$I$111)-10*(INPUT!$J$111/INPUT!$I$111)*C415/20)))))</f>
        <v>---</v>
      </c>
      <c r="H415" s="296" t="str">
        <f t="shared" si="219"/>
        <v>---</v>
      </c>
      <c r="I415" s="294" t="str">
        <f t="shared" si="254"/>
        <v>---</v>
      </c>
      <c r="J415" s="294" t="str">
        <f t="shared" si="221"/>
        <v>---</v>
      </c>
      <c r="K415" s="294" t="str">
        <f t="shared" si="222"/>
        <v>---</v>
      </c>
      <c r="L415" s="291" t="str">
        <f t="shared" si="255"/>
        <v>---</v>
      </c>
      <c r="M415" s="444" t="str">
        <f t="shared" si="256"/>
        <v>---</v>
      </c>
      <c r="N415" s="441" t="str">
        <f t="shared" si="257"/>
        <v>---</v>
      </c>
      <c r="O415" s="291" t="str">
        <f t="shared" si="258"/>
        <v>---</v>
      </c>
      <c r="P415" s="291" t="str">
        <f t="shared" si="259"/>
        <v>---</v>
      </c>
      <c r="Q415" s="294" t="str">
        <f t="shared" si="260"/>
        <v>---</v>
      </c>
      <c r="R415" s="294" t="str">
        <f>IF(A343="---","---",IF(AND(Geo_Face="y",Geo_Conn="f")=TRUE,INPUT!Q159,"---"))</f>
        <v>---</v>
      </c>
      <c r="S415" s="291" t="str">
        <f t="shared" si="261"/>
        <v>---</v>
      </c>
      <c r="T415" s="441" t="str">
        <f t="shared" si="262"/>
        <v>---</v>
      </c>
    </row>
    <row r="416" spans="1:20">
      <c r="A416" s="438" t="str">
        <f t="shared" ref="A416:B416" si="279">A287</f>
        <v>---</v>
      </c>
      <c r="B416" s="294" t="str">
        <f t="shared" si="279"/>
        <v>---</v>
      </c>
      <c r="C416" s="294" t="str">
        <f t="shared" si="215"/>
        <v>---</v>
      </c>
      <c r="D416" s="294" t="str">
        <f t="shared" si="216"/>
        <v>---</v>
      </c>
      <c r="E416" s="294" t="str">
        <f t="shared" si="217"/>
        <v>---</v>
      </c>
      <c r="F416" s="294" t="str">
        <f t="shared" si="218"/>
        <v>---</v>
      </c>
      <c r="G416" s="291" t="str">
        <f>IF(A416="---","---",IF(Type_Reinf="g",$I$352,IF(AND(Type_Reinf="s",Type_Steel_Strip="s")=TRUE,$I$354,IF(C416&gt;=20,IF(Type_Reinf="s",$F$353,10*INPUT!$J$111/INPUT!$I$111),IF(Type_Reinf="s",MIN(1.2+LOG(Cu),2)-C416*((MIN(1.2+LOG(Cu),2)-TAN(RADIANS(PHI_reinf)))/20),20*(INPUT!$J$111/INPUT!$I$111)-10*(INPUT!$J$111/INPUT!$I$111)*C416/20)))))</f>
        <v>---</v>
      </c>
      <c r="H416" s="296" t="str">
        <f t="shared" si="219"/>
        <v>---</v>
      </c>
      <c r="I416" s="294" t="str">
        <f t="shared" si="254"/>
        <v>---</v>
      </c>
      <c r="J416" s="294" t="str">
        <f t="shared" si="221"/>
        <v>---</v>
      </c>
      <c r="K416" s="294" t="str">
        <f t="shared" si="222"/>
        <v>---</v>
      </c>
      <c r="L416" s="291" t="str">
        <f t="shared" si="255"/>
        <v>---</v>
      </c>
      <c r="M416" s="444" t="str">
        <f t="shared" si="256"/>
        <v>---</v>
      </c>
      <c r="N416" s="441" t="str">
        <f t="shared" si="257"/>
        <v>---</v>
      </c>
      <c r="O416" s="291" t="str">
        <f t="shared" si="258"/>
        <v>---</v>
      </c>
      <c r="P416" s="291" t="str">
        <f t="shared" si="259"/>
        <v>---</v>
      </c>
      <c r="Q416" s="294" t="str">
        <f t="shared" si="260"/>
        <v>---</v>
      </c>
      <c r="R416" s="294" t="str">
        <f>IF(A344="---","---",IF(AND(Geo_Face="y",Geo_Conn="f")=TRUE,INPUT!Q160,"---"))</f>
        <v>---</v>
      </c>
      <c r="S416" s="291" t="str">
        <f t="shared" si="261"/>
        <v>---</v>
      </c>
      <c r="T416" s="441" t="str">
        <f t="shared" si="262"/>
        <v>---</v>
      </c>
    </row>
    <row r="417" spans="1:20">
      <c r="H417" s="9"/>
      <c r="I417" s="9"/>
    </row>
    <row r="418" spans="1:20">
      <c r="J418" s="9"/>
    </row>
    <row r="419" spans="1:20">
      <c r="A419" s="8" t="s">
        <v>611</v>
      </c>
      <c r="E419" s="37" t="s">
        <v>612</v>
      </c>
      <c r="J419" s="9"/>
    </row>
    <row r="420" spans="1:20">
      <c r="A420" s="8"/>
    </row>
    <row r="421" spans="1:20" s="37" customFormat="1" ht="15.75">
      <c r="B421" s="37" t="s">
        <v>482</v>
      </c>
      <c r="C421" s="291">
        <f>I28</f>
        <v>6.9999999999999993E-2</v>
      </c>
    </row>
    <row r="422" spans="1:20" s="37" customFormat="1" ht="15.75">
      <c r="B422" s="37" t="s">
        <v>483</v>
      </c>
      <c r="C422" s="291">
        <f>I31</f>
        <v>3.4430521499999998</v>
      </c>
      <c r="D422" s="37" t="s">
        <v>155</v>
      </c>
    </row>
    <row r="423" spans="1:20" ht="15.75">
      <c r="B423" s="51" t="s">
        <v>380</v>
      </c>
      <c r="C423" s="294">
        <f>I44</f>
        <v>1</v>
      </c>
    </row>
    <row r="424" spans="1:20" ht="15.75">
      <c r="B424" s="12" t="s">
        <v>484</v>
      </c>
      <c r="C424" s="294">
        <f>I32</f>
        <v>0.24101365049999995</v>
      </c>
      <c r="D424" t="s">
        <v>155</v>
      </c>
    </row>
    <row r="425" spans="1:20" ht="15.75">
      <c r="B425" s="51" t="s">
        <v>485</v>
      </c>
      <c r="C425" s="442">
        <f>SUM(F367:F416)</f>
        <v>103.58099999999999</v>
      </c>
      <c r="D425" t="s">
        <v>56</v>
      </c>
    </row>
    <row r="426" spans="1:20">
      <c r="H426" s="234"/>
      <c r="N426" s="9"/>
      <c r="O426" s="142"/>
      <c r="P426" s="37"/>
    </row>
    <row r="427" spans="1:20">
      <c r="B427" s="196"/>
      <c r="C427" s="227" t="s">
        <v>506</v>
      </c>
      <c r="D427" s="196"/>
      <c r="F427" s="187"/>
      <c r="G427" s="10"/>
      <c r="K427" s="195" t="s">
        <v>681</v>
      </c>
      <c r="L427" s="77"/>
      <c r="O427" s="37"/>
      <c r="P427" s="142"/>
      <c r="Q427" s="9"/>
      <c r="R427" s="301"/>
      <c r="S427" s="301"/>
      <c r="T427" s="301"/>
    </row>
    <row r="428" spans="1:20">
      <c r="C428" s="42"/>
      <c r="D428" s="43"/>
      <c r="F428" s="212"/>
      <c r="G428" s="186"/>
      <c r="H428" s="186"/>
      <c r="I428" s="618" t="s">
        <v>486</v>
      </c>
      <c r="J428" s="619"/>
      <c r="K428" s="61"/>
      <c r="L428" s="43"/>
      <c r="M428" s="234"/>
      <c r="N428" s="234"/>
      <c r="O428" s="646" t="s">
        <v>800</v>
      </c>
      <c r="P428" s="87" t="s">
        <v>534</v>
      </c>
      <c r="Q428" s="229"/>
      <c r="R428" s="301"/>
      <c r="S428" s="301"/>
      <c r="T428" s="301"/>
    </row>
    <row r="429" spans="1:20" ht="15.75">
      <c r="A429" s="234" t="s">
        <v>34</v>
      </c>
      <c r="B429" s="234" t="s">
        <v>35</v>
      </c>
      <c r="C429" s="61" t="s">
        <v>39</v>
      </c>
      <c r="D429" s="237" t="s">
        <v>610</v>
      </c>
      <c r="E429" s="234" t="s">
        <v>54</v>
      </c>
      <c r="F429" s="234" t="s">
        <v>40</v>
      </c>
      <c r="G429" s="237" t="s">
        <v>298</v>
      </c>
      <c r="H429" s="230" t="s">
        <v>30</v>
      </c>
      <c r="I429" s="234" t="s">
        <v>63</v>
      </c>
      <c r="J429" s="229" t="s">
        <v>65</v>
      </c>
      <c r="K429" s="485" t="s">
        <v>505</v>
      </c>
      <c r="L429" s="242" t="s">
        <v>609</v>
      </c>
      <c r="M429" s="234" t="s">
        <v>54</v>
      </c>
      <c r="N429" s="234" t="s">
        <v>40</v>
      </c>
      <c r="O429" s="646"/>
      <c r="P429" s="87" t="s">
        <v>513</v>
      </c>
      <c r="Q429" s="229" t="s">
        <v>30</v>
      </c>
      <c r="R429" s="301"/>
      <c r="S429" s="301"/>
      <c r="T429" s="301"/>
    </row>
    <row r="430" spans="1:20" ht="15.75">
      <c r="A430" s="229" t="s">
        <v>352</v>
      </c>
      <c r="B430" s="234" t="s">
        <v>42</v>
      </c>
      <c r="C430" s="239" t="s">
        <v>154</v>
      </c>
      <c r="D430" s="230" t="s">
        <v>41</v>
      </c>
      <c r="E430" s="229" t="s">
        <v>154</v>
      </c>
      <c r="F430" s="229" t="s">
        <v>154</v>
      </c>
      <c r="G430" s="232" t="s">
        <v>154</v>
      </c>
      <c r="H430" s="237" t="s">
        <v>298</v>
      </c>
      <c r="I430" s="229" t="s">
        <v>541</v>
      </c>
      <c r="J430" s="229" t="s">
        <v>542</v>
      </c>
      <c r="K430" s="483" t="s">
        <v>41</v>
      </c>
      <c r="L430" s="240" t="s">
        <v>41</v>
      </c>
      <c r="M430" s="229" t="s">
        <v>154</v>
      </c>
      <c r="N430" s="229" t="s">
        <v>154</v>
      </c>
      <c r="O430" s="87" t="s">
        <v>41</v>
      </c>
      <c r="P430" s="87" t="s">
        <v>42</v>
      </c>
      <c r="Q430" s="229" t="s">
        <v>358</v>
      </c>
      <c r="R430" s="301"/>
      <c r="S430" s="301"/>
      <c r="T430" s="301"/>
    </row>
    <row r="431" spans="1:20">
      <c r="A431" s="438">
        <f t="shared" ref="A431:B431" si="280">A238</f>
        <v>1</v>
      </c>
      <c r="B431" s="294">
        <f t="shared" si="280"/>
        <v>1.5</v>
      </c>
      <c r="C431" s="296">
        <f>IF(A238="---","---",$C$423*$C$424*F367/$C$425)</f>
        <v>3.7715317104049004E-2</v>
      </c>
      <c r="D431" s="294">
        <f t="shared" ref="D431:D462" si="281">IF(A431="---","---",gamma_P*(M238*$F238+0))</f>
        <v>0.2636285589186827</v>
      </c>
      <c r="E431" s="294">
        <f>IF(A431="---","---",D431*C238)</f>
        <v>0.72497853702637738</v>
      </c>
      <c r="F431" s="294">
        <f>IF(A431="---","---",E431+C431)</f>
        <v>0.76269385413042634</v>
      </c>
      <c r="G431" s="294">
        <f t="shared" ref="G431" si="282">IF(A178="---","---",phi_Tensile_Combined*I178*IF(Type_Reinf="g",L178,J178))</f>
        <v>2.0332258064516133</v>
      </c>
      <c r="H431" s="291" t="str">
        <f t="shared" ref="H431" si="283">IF(A238="---","---",IF(G431&gt;=F431,"OK","NG!"))</f>
        <v>OK</v>
      </c>
      <c r="I431" s="441" t="str">
        <f t="shared" ref="I431" si="284">IF(A238="---","---",IF(Type_Reinf="g",IF(Q178&gt;=E431,"OK","NG!"),"---"))</f>
        <v>---</v>
      </c>
      <c r="J431" s="441" t="str">
        <f t="shared" ref="J431" si="285">IF(A238="---","---",IF(Type_Reinf="g",IF(R178&gt;=C431,"OK","NG!"),"---"))</f>
        <v>---</v>
      </c>
      <c r="K431" s="291">
        <f t="shared" ref="K431:K462" si="286">M238</f>
        <v>0.41547826086956519</v>
      </c>
      <c r="L431" s="294">
        <f t="shared" ref="L431:L462" si="287">IF(A431="---","---",gamma_P*(M238*H367+0))</f>
        <v>0.2636285589186827</v>
      </c>
      <c r="M431" s="294">
        <f t="shared" ref="M431" si="288">IF(A431="---","---",L431*C238)</f>
        <v>0.72497853702637738</v>
      </c>
      <c r="N431" s="291">
        <f t="shared" ref="N431" si="289">IF(A431="---","---",C431+M431)</f>
        <v>0.76269385413042634</v>
      </c>
      <c r="O431" s="291">
        <f>L367</f>
        <v>0.22570655593913203</v>
      </c>
      <c r="P431" s="294">
        <f>IF(A367="---","---",MAX(3,N431/(phi_Pullout_Combined*0.8*G367*$D$362*O431*C_surf_geo*I178)))</f>
        <v>15.247991466426082</v>
      </c>
      <c r="Q431" s="441" t="str">
        <f t="shared" ref="Q431:Q462" si="290">IF(A367="---","---",IF(P431&gt;F367,"NG!","OK"))</f>
        <v>OK</v>
      </c>
      <c r="R431" s="102"/>
    </row>
    <row r="432" spans="1:20">
      <c r="A432" s="438">
        <f t="shared" ref="A432:B432" si="291">A239</f>
        <v>2</v>
      </c>
      <c r="B432" s="294">
        <f t="shared" si="291"/>
        <v>4</v>
      </c>
      <c r="C432" s="296">
        <f t="shared" ref="C432:C480" si="292">IF(A239="---","---",$C$423*$C$424*F368/$C$425)</f>
        <v>3.7715317104049004E-2</v>
      </c>
      <c r="D432" s="294">
        <f t="shared" si="281"/>
        <v>0.31894623472041711</v>
      </c>
      <c r="E432" s="294">
        <f t="shared" ref="E432:E480" si="293">IF(A432="---","---",D432*C239)</f>
        <v>0.79736558680104275</v>
      </c>
      <c r="F432" s="294">
        <f t="shared" ref="F432:F480" si="294">IF(A432="---","---",E432+C432)</f>
        <v>0.83508090390509171</v>
      </c>
      <c r="G432" s="294">
        <f t="shared" ref="G432:G480" si="295">IF(A179="---","---",phi_Tensile_Combined*I179*IF(Type_Reinf="g",L179,J179))</f>
        <v>2.0332258064516133</v>
      </c>
      <c r="H432" s="291" t="str">
        <f t="shared" ref="H432:H480" si="296">IF(A239="---","---",IF(G432&gt;=F432,"OK","NG!"))</f>
        <v>OK</v>
      </c>
      <c r="I432" s="441" t="str">
        <f t="shared" ref="I432:I480" si="297">IF(A239="---","---",IF(Type_Reinf="g",IF(Q179&gt;=E432,"OK","NG!"),"---"))</f>
        <v>---</v>
      </c>
      <c r="J432" s="441" t="str">
        <f t="shared" ref="J432:J480" si="298">IF(A239="---","---",IF(Type_Reinf="g",IF(R179&gt;=C432,"OK","NG!"),"---"))</f>
        <v>---</v>
      </c>
      <c r="K432" s="291">
        <f t="shared" si="286"/>
        <v>0.52229395604395601</v>
      </c>
      <c r="L432" s="294">
        <f t="shared" si="287"/>
        <v>0.31894623472041711</v>
      </c>
      <c r="M432" s="294">
        <f t="shared" ref="M432:M480" si="299">IF(A432="---","---",L432*C239)</f>
        <v>0.79736558680104275</v>
      </c>
      <c r="N432" s="291">
        <f t="shared" ref="N432:N480" si="300">IF(A432="---","---",C432+M432)</f>
        <v>0.83508090390509171</v>
      </c>
      <c r="O432" s="291">
        <f t="shared" ref="O432:O480" si="301">L368</f>
        <v>0.38492131881013059</v>
      </c>
      <c r="P432" s="294">
        <f t="shared" ref="P432:P462" si="302">IF(A368="---","---",MAX(3,N432/(phi_Pullout_Combined*0.8*G368*$D$362*O432*C_surf_geo*I179)))</f>
        <v>10.664748661492688</v>
      </c>
      <c r="Q432" s="441" t="str">
        <f t="shared" si="290"/>
        <v>OK</v>
      </c>
    </row>
    <row r="433" spans="1:17">
      <c r="A433" s="438">
        <f t="shared" ref="A433:B433" si="303">A240</f>
        <v>3</v>
      </c>
      <c r="B433" s="294">
        <f t="shared" si="303"/>
        <v>6.5</v>
      </c>
      <c r="C433" s="296">
        <f t="shared" si="292"/>
        <v>3.7715317104049004E-2</v>
      </c>
      <c r="D433" s="294">
        <f t="shared" si="281"/>
        <v>0.38055292107294469</v>
      </c>
      <c r="E433" s="294">
        <f t="shared" si="293"/>
        <v>0.95138230268236179</v>
      </c>
      <c r="F433" s="294">
        <f t="shared" si="294"/>
        <v>0.98909761978641075</v>
      </c>
      <c r="G433" s="294">
        <f t="shared" si="295"/>
        <v>2.0332258064516133</v>
      </c>
      <c r="H433" s="291" t="str">
        <f t="shared" si="296"/>
        <v>OK</v>
      </c>
      <c r="I433" s="441" t="str">
        <f t="shared" si="297"/>
        <v>---</v>
      </c>
      <c r="J433" s="441" t="str">
        <f t="shared" si="298"/>
        <v>---</v>
      </c>
      <c r="K433" s="291">
        <f t="shared" si="286"/>
        <v>0.64851113716295428</v>
      </c>
      <c r="L433" s="294">
        <f t="shared" si="287"/>
        <v>0.38055292107294469</v>
      </c>
      <c r="M433" s="294">
        <f t="shared" si="299"/>
        <v>0.95138230268236179</v>
      </c>
      <c r="N433" s="291">
        <f t="shared" si="300"/>
        <v>0.98909761978641075</v>
      </c>
      <c r="O433" s="291">
        <f t="shared" si="301"/>
        <v>0.54195096192561454</v>
      </c>
      <c r="P433" s="294">
        <f t="shared" si="302"/>
        <v>9.8524825646677332</v>
      </c>
      <c r="Q433" s="441" t="str">
        <f t="shared" si="290"/>
        <v>OK</v>
      </c>
    </row>
    <row r="434" spans="1:17">
      <c r="A434" s="438">
        <f t="shared" ref="A434:B434" si="304">A241</f>
        <v>4</v>
      </c>
      <c r="B434" s="294">
        <f t="shared" si="304"/>
        <v>9</v>
      </c>
      <c r="C434" s="296">
        <f t="shared" si="292"/>
        <v>3.913234641593534E-2</v>
      </c>
      <c r="D434" s="294">
        <f t="shared" si="281"/>
        <v>0.43956048500961648</v>
      </c>
      <c r="E434" s="294">
        <f t="shared" si="293"/>
        <v>1.0989012125240412</v>
      </c>
      <c r="F434" s="294">
        <f t="shared" si="294"/>
        <v>1.1380335589399766</v>
      </c>
      <c r="G434" s="294">
        <f t="shared" si="295"/>
        <v>2.0332258064516133</v>
      </c>
      <c r="H434" s="291" t="str">
        <f t="shared" si="296"/>
        <v>OK</v>
      </c>
      <c r="I434" s="441" t="str">
        <f t="shared" si="297"/>
        <v>---</v>
      </c>
      <c r="J434" s="441" t="str">
        <f t="shared" si="298"/>
        <v>---</v>
      </c>
      <c r="K434" s="291">
        <f t="shared" si="286"/>
        <v>0.78080777096114518</v>
      </c>
      <c r="L434" s="294">
        <f t="shared" si="287"/>
        <v>0.43956048500961648</v>
      </c>
      <c r="M434" s="294">
        <f t="shared" si="299"/>
        <v>1.0989012125240412</v>
      </c>
      <c r="N434" s="291">
        <f t="shared" si="300"/>
        <v>1.1380335589399766</v>
      </c>
      <c r="O434" s="291">
        <f t="shared" si="301"/>
        <v>0.70021179104771625</v>
      </c>
      <c r="P434" s="294">
        <f t="shared" si="302"/>
        <v>9.729062838664289</v>
      </c>
      <c r="Q434" s="441" t="str">
        <f t="shared" si="290"/>
        <v>OK</v>
      </c>
    </row>
    <row r="435" spans="1:17">
      <c r="A435" s="438">
        <f t="shared" ref="A435:B435" si="305">A242</f>
        <v>5</v>
      </c>
      <c r="B435" s="294">
        <f t="shared" si="305"/>
        <v>11.5</v>
      </c>
      <c r="C435" s="296">
        <f t="shared" si="292"/>
        <v>4.2622566395950988E-2</v>
      </c>
      <c r="D435" s="294">
        <f t="shared" si="281"/>
        <v>0.49441959550499032</v>
      </c>
      <c r="E435" s="294">
        <f t="shared" si="293"/>
        <v>1.2360489887624757</v>
      </c>
      <c r="F435" s="294">
        <f t="shared" si="294"/>
        <v>1.2786715551584267</v>
      </c>
      <c r="G435" s="294">
        <f t="shared" si="295"/>
        <v>2.0332258064516133</v>
      </c>
      <c r="H435" s="291" t="str">
        <f t="shared" si="296"/>
        <v>OK</v>
      </c>
      <c r="I435" s="441" t="str">
        <f t="shared" si="297"/>
        <v>---</v>
      </c>
      <c r="J435" s="441" t="str">
        <f t="shared" si="298"/>
        <v>---</v>
      </c>
      <c r="K435" s="291">
        <f t="shared" si="286"/>
        <v>0.91711695376246594</v>
      </c>
      <c r="L435" s="294">
        <f t="shared" si="287"/>
        <v>0.49441959550499032</v>
      </c>
      <c r="M435" s="294">
        <f t="shared" si="299"/>
        <v>1.2360489887624757</v>
      </c>
      <c r="N435" s="291">
        <f t="shared" si="300"/>
        <v>1.2786715551584267</v>
      </c>
      <c r="O435" s="291">
        <f t="shared" si="301"/>
        <v>0.85881604596621164</v>
      </c>
      <c r="P435" s="294">
        <f t="shared" si="302"/>
        <v>10.001403021615548</v>
      </c>
      <c r="Q435" s="441" t="str">
        <f t="shared" si="290"/>
        <v>OK</v>
      </c>
    </row>
    <row r="436" spans="1:17">
      <c r="A436" s="438">
        <f t="shared" ref="A436:B436" si="306">A243</f>
        <v>6</v>
      </c>
      <c r="B436" s="294">
        <f t="shared" si="306"/>
        <v>14</v>
      </c>
      <c r="C436" s="296">
        <f t="shared" si="292"/>
        <v>4.6112786375966629E-2</v>
      </c>
      <c r="D436" s="294">
        <f t="shared" si="281"/>
        <v>0.54421175664170329</v>
      </c>
      <c r="E436" s="294">
        <f t="shared" si="293"/>
        <v>1.7523618563862851</v>
      </c>
      <c r="F436" s="294">
        <f t="shared" si="294"/>
        <v>1.7984746427622518</v>
      </c>
      <c r="G436" s="294">
        <f t="shared" si="295"/>
        <v>2.0332258064516133</v>
      </c>
      <c r="H436" s="291" t="str">
        <f t="shared" si="296"/>
        <v>OK</v>
      </c>
      <c r="I436" s="441" t="str">
        <f t="shared" si="297"/>
        <v>---</v>
      </c>
      <c r="J436" s="441" t="str">
        <f t="shared" si="298"/>
        <v>---</v>
      </c>
      <c r="K436" s="291">
        <f t="shared" si="286"/>
        <v>1.0562133550488599</v>
      </c>
      <c r="L436" s="294">
        <f t="shared" si="287"/>
        <v>0.54421175664170329</v>
      </c>
      <c r="M436" s="294">
        <f t="shared" si="299"/>
        <v>1.7523618563862851</v>
      </c>
      <c r="N436" s="291">
        <f t="shared" si="300"/>
        <v>1.7984746427622518</v>
      </c>
      <c r="O436" s="291">
        <f t="shared" si="301"/>
        <v>1.0138790904396129</v>
      </c>
      <c r="P436" s="294">
        <f t="shared" si="302"/>
        <v>13.573983871348691</v>
      </c>
      <c r="Q436" s="441" t="str">
        <f t="shared" si="290"/>
        <v>OK</v>
      </c>
    </row>
    <row r="437" spans="1:17">
      <c r="A437" s="438" t="str">
        <f t="shared" ref="A437:B437" si="307">A244</f>
        <v>---</v>
      </c>
      <c r="B437" s="294" t="str">
        <f t="shared" si="307"/>
        <v>---</v>
      </c>
      <c r="C437" s="296" t="str">
        <f t="shared" si="292"/>
        <v>---</v>
      </c>
      <c r="D437" s="294" t="str">
        <f t="shared" si="281"/>
        <v>---</v>
      </c>
      <c r="E437" s="294" t="str">
        <f t="shared" si="293"/>
        <v>---</v>
      </c>
      <c r="F437" s="294" t="str">
        <f t="shared" si="294"/>
        <v>---</v>
      </c>
      <c r="G437" s="294" t="str">
        <f t="shared" si="295"/>
        <v>---</v>
      </c>
      <c r="H437" s="291" t="str">
        <f t="shared" si="296"/>
        <v>---</v>
      </c>
      <c r="I437" s="441" t="str">
        <f t="shared" si="297"/>
        <v>---</v>
      </c>
      <c r="J437" s="441" t="str">
        <f t="shared" si="298"/>
        <v>---</v>
      </c>
      <c r="K437" s="291" t="str">
        <f t="shared" si="286"/>
        <v>---</v>
      </c>
      <c r="L437" s="294" t="str">
        <f t="shared" si="287"/>
        <v>---</v>
      </c>
      <c r="M437" s="294" t="str">
        <f t="shared" si="299"/>
        <v>---</v>
      </c>
      <c r="N437" s="291" t="str">
        <f t="shared" si="300"/>
        <v>---</v>
      </c>
      <c r="O437" s="291" t="str">
        <f t="shared" si="301"/>
        <v>---</v>
      </c>
      <c r="P437" s="294" t="str">
        <f t="shared" si="302"/>
        <v>---</v>
      </c>
      <c r="Q437" s="441" t="str">
        <f t="shared" si="290"/>
        <v>---</v>
      </c>
    </row>
    <row r="438" spans="1:17">
      <c r="A438" s="438" t="str">
        <f t="shared" ref="A438:B438" si="308">A245</f>
        <v>---</v>
      </c>
      <c r="B438" s="294" t="str">
        <f t="shared" si="308"/>
        <v>---</v>
      </c>
      <c r="C438" s="296" t="str">
        <f t="shared" si="292"/>
        <v>---</v>
      </c>
      <c r="D438" s="294" t="str">
        <f t="shared" si="281"/>
        <v>---</v>
      </c>
      <c r="E438" s="294" t="str">
        <f t="shared" si="293"/>
        <v>---</v>
      </c>
      <c r="F438" s="294" t="str">
        <f t="shared" si="294"/>
        <v>---</v>
      </c>
      <c r="G438" s="294" t="str">
        <f t="shared" si="295"/>
        <v>---</v>
      </c>
      <c r="H438" s="291" t="str">
        <f t="shared" si="296"/>
        <v>---</v>
      </c>
      <c r="I438" s="441" t="str">
        <f t="shared" si="297"/>
        <v>---</v>
      </c>
      <c r="J438" s="441" t="str">
        <f t="shared" si="298"/>
        <v>---</v>
      </c>
      <c r="K438" s="291" t="str">
        <f t="shared" si="286"/>
        <v>---</v>
      </c>
      <c r="L438" s="294" t="str">
        <f t="shared" si="287"/>
        <v>---</v>
      </c>
      <c r="M438" s="294" t="str">
        <f t="shared" si="299"/>
        <v>---</v>
      </c>
      <c r="N438" s="291" t="str">
        <f t="shared" si="300"/>
        <v>---</v>
      </c>
      <c r="O438" s="291" t="str">
        <f t="shared" si="301"/>
        <v>---</v>
      </c>
      <c r="P438" s="294" t="str">
        <f t="shared" si="302"/>
        <v>---</v>
      </c>
      <c r="Q438" s="441" t="str">
        <f t="shared" si="290"/>
        <v>---</v>
      </c>
    </row>
    <row r="439" spans="1:17">
      <c r="A439" s="438" t="str">
        <f t="shared" ref="A439:B439" si="309">A246</f>
        <v>---</v>
      </c>
      <c r="B439" s="294" t="str">
        <f t="shared" si="309"/>
        <v>---</v>
      </c>
      <c r="C439" s="296" t="str">
        <f t="shared" si="292"/>
        <v>---</v>
      </c>
      <c r="D439" s="294" t="str">
        <f t="shared" si="281"/>
        <v>---</v>
      </c>
      <c r="E439" s="294" t="str">
        <f t="shared" si="293"/>
        <v>---</v>
      </c>
      <c r="F439" s="294" t="str">
        <f t="shared" si="294"/>
        <v>---</v>
      </c>
      <c r="G439" s="294" t="str">
        <f t="shared" si="295"/>
        <v>---</v>
      </c>
      <c r="H439" s="291" t="str">
        <f t="shared" si="296"/>
        <v>---</v>
      </c>
      <c r="I439" s="441" t="str">
        <f t="shared" si="297"/>
        <v>---</v>
      </c>
      <c r="J439" s="441" t="str">
        <f t="shared" si="298"/>
        <v>---</v>
      </c>
      <c r="K439" s="291" t="str">
        <f t="shared" si="286"/>
        <v>---</v>
      </c>
      <c r="L439" s="294" t="str">
        <f t="shared" si="287"/>
        <v>---</v>
      </c>
      <c r="M439" s="294" t="str">
        <f t="shared" si="299"/>
        <v>---</v>
      </c>
      <c r="N439" s="291" t="str">
        <f t="shared" si="300"/>
        <v>---</v>
      </c>
      <c r="O439" s="291" t="str">
        <f t="shared" si="301"/>
        <v>---</v>
      </c>
      <c r="P439" s="294" t="str">
        <f t="shared" si="302"/>
        <v>---</v>
      </c>
      <c r="Q439" s="441" t="str">
        <f t="shared" si="290"/>
        <v>---</v>
      </c>
    </row>
    <row r="440" spans="1:17">
      <c r="A440" s="438" t="str">
        <f t="shared" ref="A440:B440" si="310">A247</f>
        <v>---</v>
      </c>
      <c r="B440" s="294" t="str">
        <f t="shared" si="310"/>
        <v>---</v>
      </c>
      <c r="C440" s="296" t="str">
        <f t="shared" si="292"/>
        <v>---</v>
      </c>
      <c r="D440" s="294" t="str">
        <f t="shared" si="281"/>
        <v>---</v>
      </c>
      <c r="E440" s="294" t="str">
        <f t="shared" si="293"/>
        <v>---</v>
      </c>
      <c r="F440" s="294" t="str">
        <f t="shared" si="294"/>
        <v>---</v>
      </c>
      <c r="G440" s="294" t="str">
        <f t="shared" si="295"/>
        <v>---</v>
      </c>
      <c r="H440" s="291" t="str">
        <f t="shared" si="296"/>
        <v>---</v>
      </c>
      <c r="I440" s="441" t="str">
        <f t="shared" si="297"/>
        <v>---</v>
      </c>
      <c r="J440" s="441" t="str">
        <f t="shared" si="298"/>
        <v>---</v>
      </c>
      <c r="K440" s="291" t="str">
        <f t="shared" si="286"/>
        <v>---</v>
      </c>
      <c r="L440" s="294" t="str">
        <f t="shared" si="287"/>
        <v>---</v>
      </c>
      <c r="M440" s="294" t="str">
        <f t="shared" si="299"/>
        <v>---</v>
      </c>
      <c r="N440" s="291" t="str">
        <f t="shared" si="300"/>
        <v>---</v>
      </c>
      <c r="O440" s="291" t="str">
        <f t="shared" si="301"/>
        <v>---</v>
      </c>
      <c r="P440" s="294" t="str">
        <f t="shared" si="302"/>
        <v>---</v>
      </c>
      <c r="Q440" s="441" t="str">
        <f t="shared" si="290"/>
        <v>---</v>
      </c>
    </row>
    <row r="441" spans="1:17">
      <c r="A441" s="438" t="str">
        <f t="shared" ref="A441:B441" si="311">A248</f>
        <v>---</v>
      </c>
      <c r="B441" s="294" t="str">
        <f t="shared" si="311"/>
        <v>---</v>
      </c>
      <c r="C441" s="296" t="str">
        <f t="shared" si="292"/>
        <v>---</v>
      </c>
      <c r="D441" s="294" t="str">
        <f t="shared" si="281"/>
        <v>---</v>
      </c>
      <c r="E441" s="294" t="str">
        <f t="shared" si="293"/>
        <v>---</v>
      </c>
      <c r="F441" s="294" t="str">
        <f t="shared" si="294"/>
        <v>---</v>
      </c>
      <c r="G441" s="294" t="str">
        <f t="shared" si="295"/>
        <v>---</v>
      </c>
      <c r="H441" s="291" t="str">
        <f t="shared" si="296"/>
        <v>---</v>
      </c>
      <c r="I441" s="441" t="str">
        <f t="shared" si="297"/>
        <v>---</v>
      </c>
      <c r="J441" s="441" t="str">
        <f t="shared" si="298"/>
        <v>---</v>
      </c>
      <c r="K441" s="291" t="str">
        <f t="shared" si="286"/>
        <v>---</v>
      </c>
      <c r="L441" s="294" t="str">
        <f t="shared" si="287"/>
        <v>---</v>
      </c>
      <c r="M441" s="294" t="str">
        <f t="shared" si="299"/>
        <v>---</v>
      </c>
      <c r="N441" s="291" t="str">
        <f t="shared" si="300"/>
        <v>---</v>
      </c>
      <c r="O441" s="291" t="str">
        <f t="shared" si="301"/>
        <v>---</v>
      </c>
      <c r="P441" s="294" t="str">
        <f t="shared" si="302"/>
        <v>---</v>
      </c>
      <c r="Q441" s="441" t="str">
        <f t="shared" si="290"/>
        <v>---</v>
      </c>
    </row>
    <row r="442" spans="1:17">
      <c r="A442" s="438" t="str">
        <f t="shared" ref="A442:B442" si="312">A249</f>
        <v>---</v>
      </c>
      <c r="B442" s="294" t="str">
        <f t="shared" si="312"/>
        <v>---</v>
      </c>
      <c r="C442" s="296" t="str">
        <f t="shared" si="292"/>
        <v>---</v>
      </c>
      <c r="D442" s="294" t="str">
        <f t="shared" si="281"/>
        <v>---</v>
      </c>
      <c r="E442" s="294" t="str">
        <f t="shared" si="293"/>
        <v>---</v>
      </c>
      <c r="F442" s="294" t="str">
        <f t="shared" si="294"/>
        <v>---</v>
      </c>
      <c r="G442" s="294" t="str">
        <f t="shared" si="295"/>
        <v>---</v>
      </c>
      <c r="H442" s="291" t="str">
        <f t="shared" si="296"/>
        <v>---</v>
      </c>
      <c r="I442" s="441" t="str">
        <f t="shared" si="297"/>
        <v>---</v>
      </c>
      <c r="J442" s="441" t="str">
        <f t="shared" si="298"/>
        <v>---</v>
      </c>
      <c r="K442" s="291" t="str">
        <f t="shared" si="286"/>
        <v>---</v>
      </c>
      <c r="L442" s="294" t="str">
        <f t="shared" si="287"/>
        <v>---</v>
      </c>
      <c r="M442" s="294" t="str">
        <f t="shared" si="299"/>
        <v>---</v>
      </c>
      <c r="N442" s="291" t="str">
        <f t="shared" si="300"/>
        <v>---</v>
      </c>
      <c r="O442" s="291" t="str">
        <f t="shared" si="301"/>
        <v>---</v>
      </c>
      <c r="P442" s="294" t="str">
        <f t="shared" si="302"/>
        <v>---</v>
      </c>
      <c r="Q442" s="441" t="str">
        <f t="shared" si="290"/>
        <v>---</v>
      </c>
    </row>
    <row r="443" spans="1:17">
      <c r="A443" s="438" t="str">
        <f t="shared" ref="A443:B443" si="313">A250</f>
        <v>---</v>
      </c>
      <c r="B443" s="294" t="str">
        <f t="shared" si="313"/>
        <v>---</v>
      </c>
      <c r="C443" s="296" t="str">
        <f t="shared" si="292"/>
        <v>---</v>
      </c>
      <c r="D443" s="294" t="str">
        <f t="shared" si="281"/>
        <v>---</v>
      </c>
      <c r="E443" s="294" t="str">
        <f t="shared" si="293"/>
        <v>---</v>
      </c>
      <c r="F443" s="294" t="str">
        <f t="shared" si="294"/>
        <v>---</v>
      </c>
      <c r="G443" s="294" t="str">
        <f t="shared" si="295"/>
        <v>---</v>
      </c>
      <c r="H443" s="291" t="str">
        <f t="shared" si="296"/>
        <v>---</v>
      </c>
      <c r="I443" s="441" t="str">
        <f t="shared" si="297"/>
        <v>---</v>
      </c>
      <c r="J443" s="441" t="str">
        <f t="shared" si="298"/>
        <v>---</v>
      </c>
      <c r="K443" s="291" t="str">
        <f t="shared" si="286"/>
        <v>---</v>
      </c>
      <c r="L443" s="294" t="str">
        <f t="shared" si="287"/>
        <v>---</v>
      </c>
      <c r="M443" s="294" t="str">
        <f t="shared" si="299"/>
        <v>---</v>
      </c>
      <c r="N443" s="291" t="str">
        <f t="shared" si="300"/>
        <v>---</v>
      </c>
      <c r="O443" s="291" t="str">
        <f t="shared" si="301"/>
        <v>---</v>
      </c>
      <c r="P443" s="294" t="str">
        <f t="shared" si="302"/>
        <v>---</v>
      </c>
      <c r="Q443" s="441" t="str">
        <f t="shared" si="290"/>
        <v>---</v>
      </c>
    </row>
    <row r="444" spans="1:17">
      <c r="A444" s="438" t="str">
        <f t="shared" ref="A444:B444" si="314">A251</f>
        <v>---</v>
      </c>
      <c r="B444" s="294" t="str">
        <f t="shared" si="314"/>
        <v>---</v>
      </c>
      <c r="C444" s="296" t="str">
        <f t="shared" si="292"/>
        <v>---</v>
      </c>
      <c r="D444" s="294" t="str">
        <f t="shared" si="281"/>
        <v>---</v>
      </c>
      <c r="E444" s="294" t="str">
        <f t="shared" si="293"/>
        <v>---</v>
      </c>
      <c r="F444" s="294" t="str">
        <f t="shared" si="294"/>
        <v>---</v>
      </c>
      <c r="G444" s="294" t="str">
        <f t="shared" si="295"/>
        <v>---</v>
      </c>
      <c r="H444" s="291" t="str">
        <f t="shared" si="296"/>
        <v>---</v>
      </c>
      <c r="I444" s="441" t="str">
        <f t="shared" si="297"/>
        <v>---</v>
      </c>
      <c r="J444" s="441" t="str">
        <f t="shared" si="298"/>
        <v>---</v>
      </c>
      <c r="K444" s="291" t="str">
        <f t="shared" si="286"/>
        <v>---</v>
      </c>
      <c r="L444" s="294" t="str">
        <f t="shared" si="287"/>
        <v>---</v>
      </c>
      <c r="M444" s="294" t="str">
        <f t="shared" si="299"/>
        <v>---</v>
      </c>
      <c r="N444" s="291" t="str">
        <f t="shared" si="300"/>
        <v>---</v>
      </c>
      <c r="O444" s="291" t="str">
        <f t="shared" si="301"/>
        <v>---</v>
      </c>
      <c r="P444" s="294" t="str">
        <f t="shared" si="302"/>
        <v>---</v>
      </c>
      <c r="Q444" s="441" t="str">
        <f t="shared" si="290"/>
        <v>---</v>
      </c>
    </row>
    <row r="445" spans="1:17">
      <c r="A445" s="438" t="str">
        <f t="shared" ref="A445:B445" si="315">A252</f>
        <v>---</v>
      </c>
      <c r="B445" s="294" t="str">
        <f t="shared" si="315"/>
        <v>---</v>
      </c>
      <c r="C445" s="296" t="str">
        <f t="shared" si="292"/>
        <v>---</v>
      </c>
      <c r="D445" s="294" t="str">
        <f t="shared" si="281"/>
        <v>---</v>
      </c>
      <c r="E445" s="294" t="str">
        <f t="shared" si="293"/>
        <v>---</v>
      </c>
      <c r="F445" s="294" t="str">
        <f t="shared" si="294"/>
        <v>---</v>
      </c>
      <c r="G445" s="294" t="str">
        <f t="shared" si="295"/>
        <v>---</v>
      </c>
      <c r="H445" s="291" t="str">
        <f t="shared" si="296"/>
        <v>---</v>
      </c>
      <c r="I445" s="441" t="str">
        <f t="shared" si="297"/>
        <v>---</v>
      </c>
      <c r="J445" s="441" t="str">
        <f t="shared" si="298"/>
        <v>---</v>
      </c>
      <c r="K445" s="291" t="str">
        <f t="shared" si="286"/>
        <v>---</v>
      </c>
      <c r="L445" s="294" t="str">
        <f t="shared" si="287"/>
        <v>---</v>
      </c>
      <c r="M445" s="294" t="str">
        <f t="shared" si="299"/>
        <v>---</v>
      </c>
      <c r="N445" s="291" t="str">
        <f t="shared" si="300"/>
        <v>---</v>
      </c>
      <c r="O445" s="291" t="str">
        <f t="shared" si="301"/>
        <v>---</v>
      </c>
      <c r="P445" s="294" t="str">
        <f t="shared" si="302"/>
        <v>---</v>
      </c>
      <c r="Q445" s="441" t="str">
        <f t="shared" si="290"/>
        <v>---</v>
      </c>
    </row>
    <row r="446" spans="1:17">
      <c r="A446" s="438" t="str">
        <f t="shared" ref="A446:B446" si="316">A253</f>
        <v>---</v>
      </c>
      <c r="B446" s="294" t="str">
        <f t="shared" si="316"/>
        <v>---</v>
      </c>
      <c r="C446" s="296" t="str">
        <f t="shared" si="292"/>
        <v>---</v>
      </c>
      <c r="D446" s="294" t="str">
        <f t="shared" si="281"/>
        <v>---</v>
      </c>
      <c r="E446" s="294" t="str">
        <f t="shared" si="293"/>
        <v>---</v>
      </c>
      <c r="F446" s="294" t="str">
        <f t="shared" si="294"/>
        <v>---</v>
      </c>
      <c r="G446" s="294" t="str">
        <f t="shared" si="295"/>
        <v>---</v>
      </c>
      <c r="H446" s="291" t="str">
        <f t="shared" si="296"/>
        <v>---</v>
      </c>
      <c r="I446" s="441" t="str">
        <f t="shared" si="297"/>
        <v>---</v>
      </c>
      <c r="J446" s="441" t="str">
        <f t="shared" si="298"/>
        <v>---</v>
      </c>
      <c r="K446" s="291" t="str">
        <f t="shared" si="286"/>
        <v>---</v>
      </c>
      <c r="L446" s="294" t="str">
        <f t="shared" si="287"/>
        <v>---</v>
      </c>
      <c r="M446" s="294" t="str">
        <f t="shared" si="299"/>
        <v>---</v>
      </c>
      <c r="N446" s="291" t="str">
        <f t="shared" si="300"/>
        <v>---</v>
      </c>
      <c r="O446" s="291" t="str">
        <f t="shared" si="301"/>
        <v>---</v>
      </c>
      <c r="P446" s="294" t="str">
        <f t="shared" si="302"/>
        <v>---</v>
      </c>
      <c r="Q446" s="441" t="str">
        <f t="shared" si="290"/>
        <v>---</v>
      </c>
    </row>
    <row r="447" spans="1:17">
      <c r="A447" s="438" t="str">
        <f t="shared" ref="A447:B447" si="317">A254</f>
        <v>---</v>
      </c>
      <c r="B447" s="294" t="str">
        <f t="shared" si="317"/>
        <v>---</v>
      </c>
      <c r="C447" s="296" t="str">
        <f t="shared" si="292"/>
        <v>---</v>
      </c>
      <c r="D447" s="294" t="str">
        <f t="shared" si="281"/>
        <v>---</v>
      </c>
      <c r="E447" s="294" t="str">
        <f t="shared" si="293"/>
        <v>---</v>
      </c>
      <c r="F447" s="294" t="str">
        <f t="shared" si="294"/>
        <v>---</v>
      </c>
      <c r="G447" s="294" t="str">
        <f t="shared" si="295"/>
        <v>---</v>
      </c>
      <c r="H447" s="291" t="str">
        <f t="shared" si="296"/>
        <v>---</v>
      </c>
      <c r="I447" s="441" t="str">
        <f t="shared" si="297"/>
        <v>---</v>
      </c>
      <c r="J447" s="441" t="str">
        <f t="shared" si="298"/>
        <v>---</v>
      </c>
      <c r="K447" s="291" t="str">
        <f t="shared" si="286"/>
        <v>---</v>
      </c>
      <c r="L447" s="294" t="str">
        <f t="shared" si="287"/>
        <v>---</v>
      </c>
      <c r="M447" s="294" t="str">
        <f t="shared" si="299"/>
        <v>---</v>
      </c>
      <c r="N447" s="291" t="str">
        <f t="shared" si="300"/>
        <v>---</v>
      </c>
      <c r="O447" s="291" t="str">
        <f t="shared" si="301"/>
        <v>---</v>
      </c>
      <c r="P447" s="294" t="str">
        <f t="shared" si="302"/>
        <v>---</v>
      </c>
      <c r="Q447" s="441" t="str">
        <f t="shared" si="290"/>
        <v>---</v>
      </c>
    </row>
    <row r="448" spans="1:17">
      <c r="A448" s="438" t="str">
        <f t="shared" ref="A448:B448" si="318">A255</f>
        <v>---</v>
      </c>
      <c r="B448" s="294" t="str">
        <f t="shared" si="318"/>
        <v>---</v>
      </c>
      <c r="C448" s="296" t="str">
        <f t="shared" si="292"/>
        <v>---</v>
      </c>
      <c r="D448" s="294" t="str">
        <f t="shared" si="281"/>
        <v>---</v>
      </c>
      <c r="E448" s="294" t="str">
        <f t="shared" si="293"/>
        <v>---</v>
      </c>
      <c r="F448" s="294" t="str">
        <f t="shared" si="294"/>
        <v>---</v>
      </c>
      <c r="G448" s="294" t="str">
        <f t="shared" si="295"/>
        <v>---</v>
      </c>
      <c r="H448" s="291" t="str">
        <f t="shared" si="296"/>
        <v>---</v>
      </c>
      <c r="I448" s="441" t="str">
        <f t="shared" si="297"/>
        <v>---</v>
      </c>
      <c r="J448" s="441" t="str">
        <f t="shared" si="298"/>
        <v>---</v>
      </c>
      <c r="K448" s="291" t="str">
        <f t="shared" si="286"/>
        <v>---</v>
      </c>
      <c r="L448" s="294" t="str">
        <f t="shared" si="287"/>
        <v>---</v>
      </c>
      <c r="M448" s="294" t="str">
        <f t="shared" si="299"/>
        <v>---</v>
      </c>
      <c r="N448" s="291" t="str">
        <f t="shared" si="300"/>
        <v>---</v>
      </c>
      <c r="O448" s="291" t="str">
        <f t="shared" si="301"/>
        <v>---</v>
      </c>
      <c r="P448" s="294" t="str">
        <f t="shared" si="302"/>
        <v>---</v>
      </c>
      <c r="Q448" s="441" t="str">
        <f t="shared" si="290"/>
        <v>---</v>
      </c>
    </row>
    <row r="449" spans="1:17">
      <c r="A449" s="438" t="str">
        <f t="shared" ref="A449:B449" si="319">A256</f>
        <v>---</v>
      </c>
      <c r="B449" s="294" t="str">
        <f t="shared" si="319"/>
        <v>---</v>
      </c>
      <c r="C449" s="296" t="str">
        <f t="shared" si="292"/>
        <v>---</v>
      </c>
      <c r="D449" s="294" t="str">
        <f t="shared" si="281"/>
        <v>---</v>
      </c>
      <c r="E449" s="294" t="str">
        <f t="shared" si="293"/>
        <v>---</v>
      </c>
      <c r="F449" s="294" t="str">
        <f t="shared" si="294"/>
        <v>---</v>
      </c>
      <c r="G449" s="294" t="str">
        <f t="shared" si="295"/>
        <v>---</v>
      </c>
      <c r="H449" s="291" t="str">
        <f t="shared" si="296"/>
        <v>---</v>
      </c>
      <c r="I449" s="441" t="str">
        <f t="shared" si="297"/>
        <v>---</v>
      </c>
      <c r="J449" s="441" t="str">
        <f t="shared" si="298"/>
        <v>---</v>
      </c>
      <c r="K449" s="291" t="str">
        <f t="shared" si="286"/>
        <v>---</v>
      </c>
      <c r="L449" s="294" t="str">
        <f t="shared" si="287"/>
        <v>---</v>
      </c>
      <c r="M449" s="294" t="str">
        <f t="shared" si="299"/>
        <v>---</v>
      </c>
      <c r="N449" s="291" t="str">
        <f t="shared" si="300"/>
        <v>---</v>
      </c>
      <c r="O449" s="291" t="str">
        <f t="shared" si="301"/>
        <v>---</v>
      </c>
      <c r="P449" s="294" t="str">
        <f t="shared" si="302"/>
        <v>---</v>
      </c>
      <c r="Q449" s="441" t="str">
        <f t="shared" si="290"/>
        <v>---</v>
      </c>
    </row>
    <row r="450" spans="1:17">
      <c r="A450" s="438" t="str">
        <f t="shared" ref="A450:B450" si="320">A257</f>
        <v>---</v>
      </c>
      <c r="B450" s="294" t="str">
        <f t="shared" si="320"/>
        <v>---</v>
      </c>
      <c r="C450" s="296" t="str">
        <f t="shared" si="292"/>
        <v>---</v>
      </c>
      <c r="D450" s="294" t="str">
        <f t="shared" si="281"/>
        <v>---</v>
      </c>
      <c r="E450" s="294" t="str">
        <f t="shared" si="293"/>
        <v>---</v>
      </c>
      <c r="F450" s="294" t="str">
        <f t="shared" si="294"/>
        <v>---</v>
      </c>
      <c r="G450" s="294" t="str">
        <f t="shared" si="295"/>
        <v>---</v>
      </c>
      <c r="H450" s="291" t="str">
        <f t="shared" si="296"/>
        <v>---</v>
      </c>
      <c r="I450" s="441" t="str">
        <f t="shared" si="297"/>
        <v>---</v>
      </c>
      <c r="J450" s="441" t="str">
        <f t="shared" si="298"/>
        <v>---</v>
      </c>
      <c r="K450" s="291" t="str">
        <f t="shared" si="286"/>
        <v>---</v>
      </c>
      <c r="L450" s="294" t="str">
        <f t="shared" si="287"/>
        <v>---</v>
      </c>
      <c r="M450" s="294" t="str">
        <f t="shared" si="299"/>
        <v>---</v>
      </c>
      <c r="N450" s="291" t="str">
        <f t="shared" si="300"/>
        <v>---</v>
      </c>
      <c r="O450" s="291" t="str">
        <f t="shared" si="301"/>
        <v>---</v>
      </c>
      <c r="P450" s="294" t="str">
        <f t="shared" si="302"/>
        <v>---</v>
      </c>
      <c r="Q450" s="441" t="str">
        <f t="shared" si="290"/>
        <v>---</v>
      </c>
    </row>
    <row r="451" spans="1:17">
      <c r="A451" s="438" t="str">
        <f t="shared" ref="A451:B451" si="321">A258</f>
        <v>---</v>
      </c>
      <c r="B451" s="294" t="str">
        <f t="shared" si="321"/>
        <v>---</v>
      </c>
      <c r="C451" s="296" t="str">
        <f t="shared" si="292"/>
        <v>---</v>
      </c>
      <c r="D451" s="294" t="str">
        <f t="shared" si="281"/>
        <v>---</v>
      </c>
      <c r="E451" s="294" t="str">
        <f t="shared" si="293"/>
        <v>---</v>
      </c>
      <c r="F451" s="294" t="str">
        <f t="shared" si="294"/>
        <v>---</v>
      </c>
      <c r="G451" s="294" t="str">
        <f t="shared" si="295"/>
        <v>---</v>
      </c>
      <c r="H451" s="291" t="str">
        <f t="shared" si="296"/>
        <v>---</v>
      </c>
      <c r="I451" s="441" t="str">
        <f t="shared" si="297"/>
        <v>---</v>
      </c>
      <c r="J451" s="441" t="str">
        <f t="shared" si="298"/>
        <v>---</v>
      </c>
      <c r="K451" s="291" t="str">
        <f t="shared" si="286"/>
        <v>---</v>
      </c>
      <c r="L451" s="294" t="str">
        <f t="shared" si="287"/>
        <v>---</v>
      </c>
      <c r="M451" s="294" t="str">
        <f t="shared" si="299"/>
        <v>---</v>
      </c>
      <c r="N451" s="291" t="str">
        <f t="shared" si="300"/>
        <v>---</v>
      </c>
      <c r="O451" s="291" t="str">
        <f t="shared" si="301"/>
        <v>---</v>
      </c>
      <c r="P451" s="294" t="str">
        <f t="shared" si="302"/>
        <v>---</v>
      </c>
      <c r="Q451" s="441" t="str">
        <f t="shared" si="290"/>
        <v>---</v>
      </c>
    </row>
    <row r="452" spans="1:17">
      <c r="A452" s="438" t="str">
        <f t="shared" ref="A452:B452" si="322">A259</f>
        <v>---</v>
      </c>
      <c r="B452" s="294" t="str">
        <f t="shared" si="322"/>
        <v>---</v>
      </c>
      <c r="C452" s="296" t="str">
        <f t="shared" si="292"/>
        <v>---</v>
      </c>
      <c r="D452" s="294" t="str">
        <f t="shared" si="281"/>
        <v>---</v>
      </c>
      <c r="E452" s="294" t="str">
        <f t="shared" si="293"/>
        <v>---</v>
      </c>
      <c r="F452" s="294" t="str">
        <f t="shared" si="294"/>
        <v>---</v>
      </c>
      <c r="G452" s="294" t="str">
        <f t="shared" si="295"/>
        <v>---</v>
      </c>
      <c r="H452" s="291" t="str">
        <f t="shared" si="296"/>
        <v>---</v>
      </c>
      <c r="I452" s="441" t="str">
        <f t="shared" si="297"/>
        <v>---</v>
      </c>
      <c r="J452" s="441" t="str">
        <f t="shared" si="298"/>
        <v>---</v>
      </c>
      <c r="K452" s="291" t="str">
        <f t="shared" si="286"/>
        <v>---</v>
      </c>
      <c r="L452" s="294" t="str">
        <f t="shared" si="287"/>
        <v>---</v>
      </c>
      <c r="M452" s="294" t="str">
        <f t="shared" si="299"/>
        <v>---</v>
      </c>
      <c r="N452" s="291" t="str">
        <f t="shared" si="300"/>
        <v>---</v>
      </c>
      <c r="O452" s="291" t="str">
        <f t="shared" si="301"/>
        <v>---</v>
      </c>
      <c r="P452" s="294" t="str">
        <f t="shared" si="302"/>
        <v>---</v>
      </c>
      <c r="Q452" s="441" t="str">
        <f t="shared" si="290"/>
        <v>---</v>
      </c>
    </row>
    <row r="453" spans="1:17">
      <c r="A453" s="438" t="str">
        <f t="shared" ref="A453:B453" si="323">A260</f>
        <v>---</v>
      </c>
      <c r="B453" s="294" t="str">
        <f t="shared" si="323"/>
        <v>---</v>
      </c>
      <c r="C453" s="296" t="str">
        <f t="shared" si="292"/>
        <v>---</v>
      </c>
      <c r="D453" s="294" t="str">
        <f t="shared" si="281"/>
        <v>---</v>
      </c>
      <c r="E453" s="294" t="str">
        <f t="shared" si="293"/>
        <v>---</v>
      </c>
      <c r="F453" s="294" t="str">
        <f t="shared" si="294"/>
        <v>---</v>
      </c>
      <c r="G453" s="294" t="str">
        <f t="shared" si="295"/>
        <v>---</v>
      </c>
      <c r="H453" s="291" t="str">
        <f t="shared" si="296"/>
        <v>---</v>
      </c>
      <c r="I453" s="441" t="str">
        <f t="shared" si="297"/>
        <v>---</v>
      </c>
      <c r="J453" s="441" t="str">
        <f t="shared" si="298"/>
        <v>---</v>
      </c>
      <c r="K453" s="291" t="str">
        <f t="shared" si="286"/>
        <v>---</v>
      </c>
      <c r="L453" s="294" t="str">
        <f t="shared" si="287"/>
        <v>---</v>
      </c>
      <c r="M453" s="294" t="str">
        <f t="shared" si="299"/>
        <v>---</v>
      </c>
      <c r="N453" s="291" t="str">
        <f t="shared" si="300"/>
        <v>---</v>
      </c>
      <c r="O453" s="291" t="str">
        <f t="shared" si="301"/>
        <v>---</v>
      </c>
      <c r="P453" s="294" t="str">
        <f t="shared" si="302"/>
        <v>---</v>
      </c>
      <c r="Q453" s="441" t="str">
        <f t="shared" si="290"/>
        <v>---</v>
      </c>
    </row>
    <row r="454" spans="1:17">
      <c r="A454" s="438" t="str">
        <f t="shared" ref="A454:B454" si="324">A261</f>
        <v>---</v>
      </c>
      <c r="B454" s="294" t="str">
        <f t="shared" si="324"/>
        <v>---</v>
      </c>
      <c r="C454" s="296" t="str">
        <f t="shared" si="292"/>
        <v>---</v>
      </c>
      <c r="D454" s="294" t="str">
        <f t="shared" si="281"/>
        <v>---</v>
      </c>
      <c r="E454" s="294" t="str">
        <f t="shared" si="293"/>
        <v>---</v>
      </c>
      <c r="F454" s="294" t="str">
        <f t="shared" si="294"/>
        <v>---</v>
      </c>
      <c r="G454" s="294" t="str">
        <f t="shared" si="295"/>
        <v>---</v>
      </c>
      <c r="H454" s="291" t="str">
        <f t="shared" si="296"/>
        <v>---</v>
      </c>
      <c r="I454" s="441" t="str">
        <f t="shared" si="297"/>
        <v>---</v>
      </c>
      <c r="J454" s="441" t="str">
        <f t="shared" si="298"/>
        <v>---</v>
      </c>
      <c r="K454" s="291" t="str">
        <f t="shared" si="286"/>
        <v>---</v>
      </c>
      <c r="L454" s="294" t="str">
        <f t="shared" si="287"/>
        <v>---</v>
      </c>
      <c r="M454" s="294" t="str">
        <f t="shared" si="299"/>
        <v>---</v>
      </c>
      <c r="N454" s="291" t="str">
        <f t="shared" si="300"/>
        <v>---</v>
      </c>
      <c r="O454" s="291" t="str">
        <f t="shared" si="301"/>
        <v>---</v>
      </c>
      <c r="P454" s="294" t="str">
        <f t="shared" si="302"/>
        <v>---</v>
      </c>
      <c r="Q454" s="441" t="str">
        <f t="shared" si="290"/>
        <v>---</v>
      </c>
    </row>
    <row r="455" spans="1:17">
      <c r="A455" s="438" t="str">
        <f t="shared" ref="A455:B455" si="325">A262</f>
        <v>---</v>
      </c>
      <c r="B455" s="294" t="str">
        <f t="shared" si="325"/>
        <v>---</v>
      </c>
      <c r="C455" s="296" t="str">
        <f t="shared" si="292"/>
        <v>---</v>
      </c>
      <c r="D455" s="294" t="str">
        <f t="shared" si="281"/>
        <v>---</v>
      </c>
      <c r="E455" s="294" t="str">
        <f t="shared" si="293"/>
        <v>---</v>
      </c>
      <c r="F455" s="294" t="str">
        <f t="shared" si="294"/>
        <v>---</v>
      </c>
      <c r="G455" s="294" t="str">
        <f t="shared" si="295"/>
        <v>---</v>
      </c>
      <c r="H455" s="291" t="str">
        <f t="shared" si="296"/>
        <v>---</v>
      </c>
      <c r="I455" s="441" t="str">
        <f t="shared" si="297"/>
        <v>---</v>
      </c>
      <c r="J455" s="441" t="str">
        <f t="shared" si="298"/>
        <v>---</v>
      </c>
      <c r="K455" s="291" t="str">
        <f t="shared" si="286"/>
        <v>---</v>
      </c>
      <c r="L455" s="294" t="str">
        <f t="shared" si="287"/>
        <v>---</v>
      </c>
      <c r="M455" s="294" t="str">
        <f t="shared" si="299"/>
        <v>---</v>
      </c>
      <c r="N455" s="291" t="str">
        <f t="shared" si="300"/>
        <v>---</v>
      </c>
      <c r="O455" s="291" t="str">
        <f t="shared" si="301"/>
        <v>---</v>
      </c>
      <c r="P455" s="294" t="str">
        <f t="shared" si="302"/>
        <v>---</v>
      </c>
      <c r="Q455" s="441" t="str">
        <f t="shared" si="290"/>
        <v>---</v>
      </c>
    </row>
    <row r="456" spans="1:17">
      <c r="A456" s="438" t="str">
        <f t="shared" ref="A456:B456" si="326">A263</f>
        <v>---</v>
      </c>
      <c r="B456" s="294" t="str">
        <f t="shared" si="326"/>
        <v>---</v>
      </c>
      <c r="C456" s="296" t="str">
        <f t="shared" si="292"/>
        <v>---</v>
      </c>
      <c r="D456" s="294" t="str">
        <f t="shared" si="281"/>
        <v>---</v>
      </c>
      <c r="E456" s="294" t="str">
        <f t="shared" si="293"/>
        <v>---</v>
      </c>
      <c r="F456" s="294" t="str">
        <f t="shared" si="294"/>
        <v>---</v>
      </c>
      <c r="G456" s="294" t="str">
        <f t="shared" si="295"/>
        <v>---</v>
      </c>
      <c r="H456" s="291" t="str">
        <f t="shared" si="296"/>
        <v>---</v>
      </c>
      <c r="I456" s="441" t="str">
        <f t="shared" si="297"/>
        <v>---</v>
      </c>
      <c r="J456" s="441" t="str">
        <f t="shared" si="298"/>
        <v>---</v>
      </c>
      <c r="K456" s="291" t="str">
        <f t="shared" si="286"/>
        <v>---</v>
      </c>
      <c r="L456" s="294" t="str">
        <f t="shared" si="287"/>
        <v>---</v>
      </c>
      <c r="M456" s="294" t="str">
        <f t="shared" si="299"/>
        <v>---</v>
      </c>
      <c r="N456" s="291" t="str">
        <f t="shared" si="300"/>
        <v>---</v>
      </c>
      <c r="O456" s="291" t="str">
        <f t="shared" si="301"/>
        <v>---</v>
      </c>
      <c r="P456" s="294" t="str">
        <f t="shared" si="302"/>
        <v>---</v>
      </c>
      <c r="Q456" s="441" t="str">
        <f t="shared" si="290"/>
        <v>---</v>
      </c>
    </row>
    <row r="457" spans="1:17">
      <c r="A457" s="438" t="str">
        <f t="shared" ref="A457:B457" si="327">A264</f>
        <v>---</v>
      </c>
      <c r="B457" s="294" t="str">
        <f t="shared" si="327"/>
        <v>---</v>
      </c>
      <c r="C457" s="296" t="str">
        <f t="shared" si="292"/>
        <v>---</v>
      </c>
      <c r="D457" s="294" t="str">
        <f t="shared" si="281"/>
        <v>---</v>
      </c>
      <c r="E457" s="294" t="str">
        <f t="shared" si="293"/>
        <v>---</v>
      </c>
      <c r="F457" s="294" t="str">
        <f t="shared" si="294"/>
        <v>---</v>
      </c>
      <c r="G457" s="294" t="str">
        <f t="shared" si="295"/>
        <v>---</v>
      </c>
      <c r="H457" s="291" t="str">
        <f t="shared" si="296"/>
        <v>---</v>
      </c>
      <c r="I457" s="441" t="str">
        <f t="shared" si="297"/>
        <v>---</v>
      </c>
      <c r="J457" s="441" t="str">
        <f t="shared" si="298"/>
        <v>---</v>
      </c>
      <c r="K457" s="291" t="str">
        <f t="shared" si="286"/>
        <v>---</v>
      </c>
      <c r="L457" s="294" t="str">
        <f t="shared" si="287"/>
        <v>---</v>
      </c>
      <c r="M457" s="294" t="str">
        <f t="shared" si="299"/>
        <v>---</v>
      </c>
      <c r="N457" s="291" t="str">
        <f t="shared" si="300"/>
        <v>---</v>
      </c>
      <c r="O457" s="291" t="str">
        <f t="shared" si="301"/>
        <v>---</v>
      </c>
      <c r="P457" s="294" t="str">
        <f t="shared" si="302"/>
        <v>---</v>
      </c>
      <c r="Q457" s="441" t="str">
        <f t="shared" si="290"/>
        <v>---</v>
      </c>
    </row>
    <row r="458" spans="1:17">
      <c r="A458" s="438" t="str">
        <f t="shared" ref="A458:B458" si="328">A265</f>
        <v>---</v>
      </c>
      <c r="B458" s="294" t="str">
        <f t="shared" si="328"/>
        <v>---</v>
      </c>
      <c r="C458" s="296" t="str">
        <f t="shared" si="292"/>
        <v>---</v>
      </c>
      <c r="D458" s="294" t="str">
        <f t="shared" si="281"/>
        <v>---</v>
      </c>
      <c r="E458" s="294" t="str">
        <f t="shared" si="293"/>
        <v>---</v>
      </c>
      <c r="F458" s="294" t="str">
        <f t="shared" si="294"/>
        <v>---</v>
      </c>
      <c r="G458" s="294" t="str">
        <f t="shared" si="295"/>
        <v>---</v>
      </c>
      <c r="H458" s="291" t="str">
        <f t="shared" si="296"/>
        <v>---</v>
      </c>
      <c r="I458" s="441" t="str">
        <f t="shared" si="297"/>
        <v>---</v>
      </c>
      <c r="J458" s="441" t="str">
        <f t="shared" si="298"/>
        <v>---</v>
      </c>
      <c r="K458" s="291" t="str">
        <f t="shared" si="286"/>
        <v>---</v>
      </c>
      <c r="L458" s="294" t="str">
        <f t="shared" si="287"/>
        <v>---</v>
      </c>
      <c r="M458" s="294" t="str">
        <f t="shared" si="299"/>
        <v>---</v>
      </c>
      <c r="N458" s="291" t="str">
        <f t="shared" si="300"/>
        <v>---</v>
      </c>
      <c r="O458" s="291" t="str">
        <f t="shared" si="301"/>
        <v>---</v>
      </c>
      <c r="P458" s="294" t="str">
        <f t="shared" si="302"/>
        <v>---</v>
      </c>
      <c r="Q458" s="441" t="str">
        <f t="shared" si="290"/>
        <v>---</v>
      </c>
    </row>
    <row r="459" spans="1:17">
      <c r="A459" s="438" t="str">
        <f t="shared" ref="A459:B459" si="329">A266</f>
        <v>---</v>
      </c>
      <c r="B459" s="294" t="str">
        <f t="shared" si="329"/>
        <v>---</v>
      </c>
      <c r="C459" s="296" t="str">
        <f t="shared" si="292"/>
        <v>---</v>
      </c>
      <c r="D459" s="294" t="str">
        <f t="shared" si="281"/>
        <v>---</v>
      </c>
      <c r="E459" s="294" t="str">
        <f t="shared" si="293"/>
        <v>---</v>
      </c>
      <c r="F459" s="294" t="str">
        <f t="shared" si="294"/>
        <v>---</v>
      </c>
      <c r="G459" s="294" t="str">
        <f t="shared" si="295"/>
        <v>---</v>
      </c>
      <c r="H459" s="291" t="str">
        <f t="shared" si="296"/>
        <v>---</v>
      </c>
      <c r="I459" s="441" t="str">
        <f t="shared" si="297"/>
        <v>---</v>
      </c>
      <c r="J459" s="441" t="str">
        <f t="shared" si="298"/>
        <v>---</v>
      </c>
      <c r="K459" s="291" t="str">
        <f t="shared" si="286"/>
        <v>---</v>
      </c>
      <c r="L459" s="294" t="str">
        <f t="shared" si="287"/>
        <v>---</v>
      </c>
      <c r="M459" s="294" t="str">
        <f t="shared" si="299"/>
        <v>---</v>
      </c>
      <c r="N459" s="291" t="str">
        <f t="shared" si="300"/>
        <v>---</v>
      </c>
      <c r="O459" s="291" t="str">
        <f t="shared" si="301"/>
        <v>---</v>
      </c>
      <c r="P459" s="294" t="str">
        <f t="shared" si="302"/>
        <v>---</v>
      </c>
      <c r="Q459" s="441" t="str">
        <f t="shared" si="290"/>
        <v>---</v>
      </c>
    </row>
    <row r="460" spans="1:17">
      <c r="A460" s="438" t="str">
        <f t="shared" ref="A460:B460" si="330">A267</f>
        <v>---</v>
      </c>
      <c r="B460" s="294" t="str">
        <f t="shared" si="330"/>
        <v>---</v>
      </c>
      <c r="C460" s="296" t="str">
        <f t="shared" si="292"/>
        <v>---</v>
      </c>
      <c r="D460" s="294" t="str">
        <f t="shared" si="281"/>
        <v>---</v>
      </c>
      <c r="E460" s="294" t="str">
        <f t="shared" si="293"/>
        <v>---</v>
      </c>
      <c r="F460" s="294" t="str">
        <f t="shared" si="294"/>
        <v>---</v>
      </c>
      <c r="G460" s="294" t="str">
        <f t="shared" si="295"/>
        <v>---</v>
      </c>
      <c r="H460" s="291" t="str">
        <f t="shared" si="296"/>
        <v>---</v>
      </c>
      <c r="I460" s="441" t="str">
        <f t="shared" si="297"/>
        <v>---</v>
      </c>
      <c r="J460" s="441" t="str">
        <f t="shared" si="298"/>
        <v>---</v>
      </c>
      <c r="K460" s="291" t="str">
        <f t="shared" si="286"/>
        <v>---</v>
      </c>
      <c r="L460" s="294" t="str">
        <f t="shared" si="287"/>
        <v>---</v>
      </c>
      <c r="M460" s="294" t="str">
        <f t="shared" si="299"/>
        <v>---</v>
      </c>
      <c r="N460" s="291" t="str">
        <f t="shared" si="300"/>
        <v>---</v>
      </c>
      <c r="O460" s="291" t="str">
        <f t="shared" si="301"/>
        <v>---</v>
      </c>
      <c r="P460" s="294" t="str">
        <f t="shared" si="302"/>
        <v>---</v>
      </c>
      <c r="Q460" s="441" t="str">
        <f t="shared" si="290"/>
        <v>---</v>
      </c>
    </row>
    <row r="461" spans="1:17">
      <c r="A461" s="438" t="str">
        <f t="shared" ref="A461:B461" si="331">A268</f>
        <v>---</v>
      </c>
      <c r="B461" s="294" t="str">
        <f t="shared" si="331"/>
        <v>---</v>
      </c>
      <c r="C461" s="296" t="str">
        <f t="shared" si="292"/>
        <v>---</v>
      </c>
      <c r="D461" s="294" t="str">
        <f t="shared" si="281"/>
        <v>---</v>
      </c>
      <c r="E461" s="294" t="str">
        <f t="shared" si="293"/>
        <v>---</v>
      </c>
      <c r="F461" s="294" t="str">
        <f t="shared" si="294"/>
        <v>---</v>
      </c>
      <c r="G461" s="294" t="str">
        <f t="shared" si="295"/>
        <v>---</v>
      </c>
      <c r="H461" s="291" t="str">
        <f t="shared" si="296"/>
        <v>---</v>
      </c>
      <c r="I461" s="441" t="str">
        <f t="shared" si="297"/>
        <v>---</v>
      </c>
      <c r="J461" s="441" t="str">
        <f t="shared" si="298"/>
        <v>---</v>
      </c>
      <c r="K461" s="291" t="str">
        <f t="shared" si="286"/>
        <v>---</v>
      </c>
      <c r="L461" s="294" t="str">
        <f t="shared" si="287"/>
        <v>---</v>
      </c>
      <c r="M461" s="294" t="str">
        <f t="shared" si="299"/>
        <v>---</v>
      </c>
      <c r="N461" s="291" t="str">
        <f t="shared" si="300"/>
        <v>---</v>
      </c>
      <c r="O461" s="291" t="str">
        <f t="shared" si="301"/>
        <v>---</v>
      </c>
      <c r="P461" s="294" t="str">
        <f t="shared" si="302"/>
        <v>---</v>
      </c>
      <c r="Q461" s="441" t="str">
        <f t="shared" si="290"/>
        <v>---</v>
      </c>
    </row>
    <row r="462" spans="1:17">
      <c r="A462" s="438" t="str">
        <f t="shared" ref="A462:B462" si="332">A269</f>
        <v>---</v>
      </c>
      <c r="B462" s="294" t="str">
        <f t="shared" si="332"/>
        <v>---</v>
      </c>
      <c r="C462" s="296" t="str">
        <f t="shared" si="292"/>
        <v>---</v>
      </c>
      <c r="D462" s="294" t="str">
        <f t="shared" si="281"/>
        <v>---</v>
      </c>
      <c r="E462" s="294" t="str">
        <f t="shared" si="293"/>
        <v>---</v>
      </c>
      <c r="F462" s="294" t="str">
        <f t="shared" si="294"/>
        <v>---</v>
      </c>
      <c r="G462" s="294" t="str">
        <f t="shared" si="295"/>
        <v>---</v>
      </c>
      <c r="H462" s="291" t="str">
        <f t="shared" si="296"/>
        <v>---</v>
      </c>
      <c r="I462" s="441" t="str">
        <f t="shared" si="297"/>
        <v>---</v>
      </c>
      <c r="J462" s="441" t="str">
        <f t="shared" si="298"/>
        <v>---</v>
      </c>
      <c r="K462" s="291" t="str">
        <f t="shared" si="286"/>
        <v>---</v>
      </c>
      <c r="L462" s="294" t="str">
        <f t="shared" si="287"/>
        <v>---</v>
      </c>
      <c r="M462" s="294" t="str">
        <f t="shared" si="299"/>
        <v>---</v>
      </c>
      <c r="N462" s="291" t="str">
        <f t="shared" si="300"/>
        <v>---</v>
      </c>
      <c r="O462" s="291" t="str">
        <f t="shared" si="301"/>
        <v>---</v>
      </c>
      <c r="P462" s="294" t="str">
        <f t="shared" si="302"/>
        <v>---</v>
      </c>
      <c r="Q462" s="441" t="str">
        <f t="shared" si="290"/>
        <v>---</v>
      </c>
    </row>
    <row r="463" spans="1:17">
      <c r="A463" s="438" t="str">
        <f t="shared" ref="A463:B463" si="333">A270</f>
        <v>---</v>
      </c>
      <c r="B463" s="294" t="str">
        <f t="shared" si="333"/>
        <v>---</v>
      </c>
      <c r="C463" s="296" t="str">
        <f t="shared" si="292"/>
        <v>---</v>
      </c>
      <c r="D463" s="294" t="str">
        <f t="shared" ref="D463:D480" si="334">IF(A463="---","---",gamma_P*(M270*$F270+0))</f>
        <v>---</v>
      </c>
      <c r="E463" s="294" t="str">
        <f t="shared" si="293"/>
        <v>---</v>
      </c>
      <c r="F463" s="294" t="str">
        <f t="shared" si="294"/>
        <v>---</v>
      </c>
      <c r="G463" s="294" t="str">
        <f t="shared" si="295"/>
        <v>---</v>
      </c>
      <c r="H463" s="291" t="str">
        <f t="shared" si="296"/>
        <v>---</v>
      </c>
      <c r="I463" s="441" t="str">
        <f t="shared" si="297"/>
        <v>---</v>
      </c>
      <c r="J463" s="441" t="str">
        <f t="shared" si="298"/>
        <v>---</v>
      </c>
      <c r="K463" s="291" t="str">
        <f t="shared" ref="K463:K480" si="335">M270</f>
        <v>---</v>
      </c>
      <c r="L463" s="294" t="str">
        <f t="shared" ref="L463:L480" si="336">IF(A463="---","---",gamma_P*(M270*H399+0))</f>
        <v>---</v>
      </c>
      <c r="M463" s="294" t="str">
        <f t="shared" si="299"/>
        <v>---</v>
      </c>
      <c r="N463" s="291" t="str">
        <f t="shared" si="300"/>
        <v>---</v>
      </c>
      <c r="O463" s="291" t="str">
        <f t="shared" si="301"/>
        <v>---</v>
      </c>
      <c r="P463" s="294" t="str">
        <f t="shared" ref="P463:P480" si="337">IF(A399="---","---",MAX(3,N463/(phi_Pullout_Combined*0.8*G399*$D$362*O463*C_surf_geo*I210)))</f>
        <v>---</v>
      </c>
      <c r="Q463" s="441" t="str">
        <f t="shared" ref="Q463:Q480" si="338">IF(A399="---","---",IF(P463&gt;F399,"NG!","OK"))</f>
        <v>---</v>
      </c>
    </row>
    <row r="464" spans="1:17">
      <c r="A464" s="438" t="str">
        <f t="shared" ref="A464:B464" si="339">A271</f>
        <v>---</v>
      </c>
      <c r="B464" s="294" t="str">
        <f t="shared" si="339"/>
        <v>---</v>
      </c>
      <c r="C464" s="296" t="str">
        <f t="shared" si="292"/>
        <v>---</v>
      </c>
      <c r="D464" s="294" t="str">
        <f t="shared" si="334"/>
        <v>---</v>
      </c>
      <c r="E464" s="294" t="str">
        <f t="shared" si="293"/>
        <v>---</v>
      </c>
      <c r="F464" s="294" t="str">
        <f t="shared" si="294"/>
        <v>---</v>
      </c>
      <c r="G464" s="294" t="str">
        <f t="shared" si="295"/>
        <v>---</v>
      </c>
      <c r="H464" s="291" t="str">
        <f t="shared" si="296"/>
        <v>---</v>
      </c>
      <c r="I464" s="441" t="str">
        <f t="shared" si="297"/>
        <v>---</v>
      </c>
      <c r="J464" s="441" t="str">
        <f t="shared" si="298"/>
        <v>---</v>
      </c>
      <c r="K464" s="291" t="str">
        <f t="shared" si="335"/>
        <v>---</v>
      </c>
      <c r="L464" s="294" t="str">
        <f t="shared" si="336"/>
        <v>---</v>
      </c>
      <c r="M464" s="294" t="str">
        <f t="shared" si="299"/>
        <v>---</v>
      </c>
      <c r="N464" s="291" t="str">
        <f t="shared" si="300"/>
        <v>---</v>
      </c>
      <c r="O464" s="291" t="str">
        <f t="shared" si="301"/>
        <v>---</v>
      </c>
      <c r="P464" s="294" t="str">
        <f t="shared" si="337"/>
        <v>---</v>
      </c>
      <c r="Q464" s="441" t="str">
        <f t="shared" si="338"/>
        <v>---</v>
      </c>
    </row>
    <row r="465" spans="1:17">
      <c r="A465" s="438" t="str">
        <f t="shared" ref="A465:B465" si="340">A272</f>
        <v>---</v>
      </c>
      <c r="B465" s="294" t="str">
        <f t="shared" si="340"/>
        <v>---</v>
      </c>
      <c r="C465" s="296" t="str">
        <f t="shared" si="292"/>
        <v>---</v>
      </c>
      <c r="D465" s="294" t="str">
        <f t="shared" si="334"/>
        <v>---</v>
      </c>
      <c r="E465" s="294" t="str">
        <f t="shared" si="293"/>
        <v>---</v>
      </c>
      <c r="F465" s="294" t="str">
        <f t="shared" si="294"/>
        <v>---</v>
      </c>
      <c r="G465" s="294" t="str">
        <f t="shared" si="295"/>
        <v>---</v>
      </c>
      <c r="H465" s="291" t="str">
        <f t="shared" si="296"/>
        <v>---</v>
      </c>
      <c r="I465" s="441" t="str">
        <f t="shared" si="297"/>
        <v>---</v>
      </c>
      <c r="J465" s="441" t="str">
        <f t="shared" si="298"/>
        <v>---</v>
      </c>
      <c r="K465" s="291" t="str">
        <f t="shared" si="335"/>
        <v>---</v>
      </c>
      <c r="L465" s="294" t="str">
        <f t="shared" si="336"/>
        <v>---</v>
      </c>
      <c r="M465" s="294" t="str">
        <f t="shared" si="299"/>
        <v>---</v>
      </c>
      <c r="N465" s="291" t="str">
        <f t="shared" si="300"/>
        <v>---</v>
      </c>
      <c r="O465" s="291" t="str">
        <f t="shared" si="301"/>
        <v>---</v>
      </c>
      <c r="P465" s="294" t="str">
        <f t="shared" si="337"/>
        <v>---</v>
      </c>
      <c r="Q465" s="441" t="str">
        <f t="shared" si="338"/>
        <v>---</v>
      </c>
    </row>
    <row r="466" spans="1:17">
      <c r="A466" s="438" t="str">
        <f t="shared" ref="A466:B466" si="341">A273</f>
        <v>---</v>
      </c>
      <c r="B466" s="294" t="str">
        <f t="shared" si="341"/>
        <v>---</v>
      </c>
      <c r="C466" s="296" t="str">
        <f t="shared" si="292"/>
        <v>---</v>
      </c>
      <c r="D466" s="294" t="str">
        <f t="shared" si="334"/>
        <v>---</v>
      </c>
      <c r="E466" s="294" t="str">
        <f t="shared" si="293"/>
        <v>---</v>
      </c>
      <c r="F466" s="294" t="str">
        <f t="shared" si="294"/>
        <v>---</v>
      </c>
      <c r="G466" s="294" t="str">
        <f t="shared" si="295"/>
        <v>---</v>
      </c>
      <c r="H466" s="291" t="str">
        <f t="shared" si="296"/>
        <v>---</v>
      </c>
      <c r="I466" s="441" t="str">
        <f t="shared" si="297"/>
        <v>---</v>
      </c>
      <c r="J466" s="441" t="str">
        <f t="shared" si="298"/>
        <v>---</v>
      </c>
      <c r="K466" s="291" t="str">
        <f t="shared" si="335"/>
        <v>---</v>
      </c>
      <c r="L466" s="294" t="str">
        <f t="shared" si="336"/>
        <v>---</v>
      </c>
      <c r="M466" s="294" t="str">
        <f t="shared" si="299"/>
        <v>---</v>
      </c>
      <c r="N466" s="291" t="str">
        <f t="shared" si="300"/>
        <v>---</v>
      </c>
      <c r="O466" s="291" t="str">
        <f t="shared" si="301"/>
        <v>---</v>
      </c>
      <c r="P466" s="294" t="str">
        <f t="shared" si="337"/>
        <v>---</v>
      </c>
      <c r="Q466" s="441" t="str">
        <f t="shared" si="338"/>
        <v>---</v>
      </c>
    </row>
    <row r="467" spans="1:17">
      <c r="A467" s="438" t="str">
        <f t="shared" ref="A467:B467" si="342">A274</f>
        <v>---</v>
      </c>
      <c r="B467" s="294" t="str">
        <f t="shared" si="342"/>
        <v>---</v>
      </c>
      <c r="C467" s="296" t="str">
        <f t="shared" si="292"/>
        <v>---</v>
      </c>
      <c r="D467" s="294" t="str">
        <f t="shared" si="334"/>
        <v>---</v>
      </c>
      <c r="E467" s="294" t="str">
        <f t="shared" si="293"/>
        <v>---</v>
      </c>
      <c r="F467" s="294" t="str">
        <f t="shared" si="294"/>
        <v>---</v>
      </c>
      <c r="G467" s="294" t="str">
        <f t="shared" si="295"/>
        <v>---</v>
      </c>
      <c r="H467" s="291" t="str">
        <f t="shared" si="296"/>
        <v>---</v>
      </c>
      <c r="I467" s="441" t="str">
        <f t="shared" si="297"/>
        <v>---</v>
      </c>
      <c r="J467" s="441" t="str">
        <f t="shared" si="298"/>
        <v>---</v>
      </c>
      <c r="K467" s="291" t="str">
        <f t="shared" si="335"/>
        <v>---</v>
      </c>
      <c r="L467" s="294" t="str">
        <f t="shared" si="336"/>
        <v>---</v>
      </c>
      <c r="M467" s="294" t="str">
        <f t="shared" si="299"/>
        <v>---</v>
      </c>
      <c r="N467" s="291" t="str">
        <f t="shared" si="300"/>
        <v>---</v>
      </c>
      <c r="O467" s="291" t="str">
        <f t="shared" si="301"/>
        <v>---</v>
      </c>
      <c r="P467" s="294" t="str">
        <f t="shared" si="337"/>
        <v>---</v>
      </c>
      <c r="Q467" s="441" t="str">
        <f t="shared" si="338"/>
        <v>---</v>
      </c>
    </row>
    <row r="468" spans="1:17">
      <c r="A468" s="438" t="str">
        <f t="shared" ref="A468:B468" si="343">A275</f>
        <v>---</v>
      </c>
      <c r="B468" s="294" t="str">
        <f t="shared" si="343"/>
        <v>---</v>
      </c>
      <c r="C468" s="296" t="str">
        <f t="shared" si="292"/>
        <v>---</v>
      </c>
      <c r="D468" s="294" t="str">
        <f t="shared" si="334"/>
        <v>---</v>
      </c>
      <c r="E468" s="294" t="str">
        <f t="shared" si="293"/>
        <v>---</v>
      </c>
      <c r="F468" s="294" t="str">
        <f t="shared" si="294"/>
        <v>---</v>
      </c>
      <c r="G468" s="294" t="str">
        <f t="shared" si="295"/>
        <v>---</v>
      </c>
      <c r="H468" s="291" t="str">
        <f t="shared" si="296"/>
        <v>---</v>
      </c>
      <c r="I468" s="441" t="str">
        <f t="shared" si="297"/>
        <v>---</v>
      </c>
      <c r="J468" s="441" t="str">
        <f t="shared" si="298"/>
        <v>---</v>
      </c>
      <c r="K468" s="291" t="str">
        <f t="shared" si="335"/>
        <v>---</v>
      </c>
      <c r="L468" s="294" t="str">
        <f t="shared" si="336"/>
        <v>---</v>
      </c>
      <c r="M468" s="294" t="str">
        <f t="shared" si="299"/>
        <v>---</v>
      </c>
      <c r="N468" s="291" t="str">
        <f t="shared" si="300"/>
        <v>---</v>
      </c>
      <c r="O468" s="291" t="str">
        <f t="shared" si="301"/>
        <v>---</v>
      </c>
      <c r="P468" s="294" t="str">
        <f t="shared" si="337"/>
        <v>---</v>
      </c>
      <c r="Q468" s="441" t="str">
        <f t="shared" si="338"/>
        <v>---</v>
      </c>
    </row>
    <row r="469" spans="1:17">
      <c r="A469" s="438" t="str">
        <f t="shared" ref="A469:B469" si="344">A276</f>
        <v>---</v>
      </c>
      <c r="B469" s="294" t="str">
        <f t="shared" si="344"/>
        <v>---</v>
      </c>
      <c r="C469" s="296" t="str">
        <f t="shared" si="292"/>
        <v>---</v>
      </c>
      <c r="D469" s="294" t="str">
        <f t="shared" si="334"/>
        <v>---</v>
      </c>
      <c r="E469" s="294" t="str">
        <f t="shared" si="293"/>
        <v>---</v>
      </c>
      <c r="F469" s="294" t="str">
        <f t="shared" si="294"/>
        <v>---</v>
      </c>
      <c r="G469" s="294" t="str">
        <f t="shared" si="295"/>
        <v>---</v>
      </c>
      <c r="H469" s="291" t="str">
        <f t="shared" si="296"/>
        <v>---</v>
      </c>
      <c r="I469" s="441" t="str">
        <f t="shared" si="297"/>
        <v>---</v>
      </c>
      <c r="J469" s="441" t="str">
        <f t="shared" si="298"/>
        <v>---</v>
      </c>
      <c r="K469" s="291" t="str">
        <f t="shared" si="335"/>
        <v>---</v>
      </c>
      <c r="L469" s="294" t="str">
        <f t="shared" si="336"/>
        <v>---</v>
      </c>
      <c r="M469" s="294" t="str">
        <f t="shared" si="299"/>
        <v>---</v>
      </c>
      <c r="N469" s="291" t="str">
        <f t="shared" si="300"/>
        <v>---</v>
      </c>
      <c r="O469" s="291" t="str">
        <f t="shared" si="301"/>
        <v>---</v>
      </c>
      <c r="P469" s="294" t="str">
        <f t="shared" si="337"/>
        <v>---</v>
      </c>
      <c r="Q469" s="441" t="str">
        <f t="shared" si="338"/>
        <v>---</v>
      </c>
    </row>
    <row r="470" spans="1:17">
      <c r="A470" s="438" t="str">
        <f t="shared" ref="A470:B470" si="345">A277</f>
        <v>---</v>
      </c>
      <c r="B470" s="294" t="str">
        <f t="shared" si="345"/>
        <v>---</v>
      </c>
      <c r="C470" s="296" t="str">
        <f t="shared" si="292"/>
        <v>---</v>
      </c>
      <c r="D470" s="294" t="str">
        <f t="shared" si="334"/>
        <v>---</v>
      </c>
      <c r="E470" s="294" t="str">
        <f t="shared" si="293"/>
        <v>---</v>
      </c>
      <c r="F470" s="294" t="str">
        <f t="shared" si="294"/>
        <v>---</v>
      </c>
      <c r="G470" s="294" t="str">
        <f t="shared" si="295"/>
        <v>---</v>
      </c>
      <c r="H470" s="291" t="str">
        <f t="shared" si="296"/>
        <v>---</v>
      </c>
      <c r="I470" s="441" t="str">
        <f t="shared" si="297"/>
        <v>---</v>
      </c>
      <c r="J470" s="441" t="str">
        <f t="shared" si="298"/>
        <v>---</v>
      </c>
      <c r="K470" s="291" t="str">
        <f t="shared" si="335"/>
        <v>---</v>
      </c>
      <c r="L470" s="294" t="str">
        <f t="shared" si="336"/>
        <v>---</v>
      </c>
      <c r="M470" s="294" t="str">
        <f t="shared" si="299"/>
        <v>---</v>
      </c>
      <c r="N470" s="291" t="str">
        <f t="shared" si="300"/>
        <v>---</v>
      </c>
      <c r="O470" s="291" t="str">
        <f t="shared" si="301"/>
        <v>---</v>
      </c>
      <c r="P470" s="294" t="str">
        <f t="shared" si="337"/>
        <v>---</v>
      </c>
      <c r="Q470" s="441" t="str">
        <f t="shared" si="338"/>
        <v>---</v>
      </c>
    </row>
    <row r="471" spans="1:17">
      <c r="A471" s="438" t="str">
        <f t="shared" ref="A471:B471" si="346">A278</f>
        <v>---</v>
      </c>
      <c r="B471" s="294" t="str">
        <f t="shared" si="346"/>
        <v>---</v>
      </c>
      <c r="C471" s="296" t="str">
        <f t="shared" si="292"/>
        <v>---</v>
      </c>
      <c r="D471" s="294" t="str">
        <f t="shared" si="334"/>
        <v>---</v>
      </c>
      <c r="E471" s="294" t="str">
        <f t="shared" si="293"/>
        <v>---</v>
      </c>
      <c r="F471" s="294" t="str">
        <f t="shared" si="294"/>
        <v>---</v>
      </c>
      <c r="G471" s="294" t="str">
        <f t="shared" si="295"/>
        <v>---</v>
      </c>
      <c r="H471" s="291" t="str">
        <f t="shared" si="296"/>
        <v>---</v>
      </c>
      <c r="I471" s="441" t="str">
        <f t="shared" si="297"/>
        <v>---</v>
      </c>
      <c r="J471" s="441" t="str">
        <f t="shared" si="298"/>
        <v>---</v>
      </c>
      <c r="K471" s="291" t="str">
        <f t="shared" si="335"/>
        <v>---</v>
      </c>
      <c r="L471" s="294" t="str">
        <f t="shared" si="336"/>
        <v>---</v>
      </c>
      <c r="M471" s="294" t="str">
        <f t="shared" si="299"/>
        <v>---</v>
      </c>
      <c r="N471" s="291" t="str">
        <f t="shared" si="300"/>
        <v>---</v>
      </c>
      <c r="O471" s="291" t="str">
        <f t="shared" si="301"/>
        <v>---</v>
      </c>
      <c r="P471" s="294" t="str">
        <f t="shared" si="337"/>
        <v>---</v>
      </c>
      <c r="Q471" s="441" t="str">
        <f t="shared" si="338"/>
        <v>---</v>
      </c>
    </row>
    <row r="472" spans="1:17">
      <c r="A472" s="438" t="str">
        <f t="shared" ref="A472:B472" si="347">A279</f>
        <v>---</v>
      </c>
      <c r="B472" s="294" t="str">
        <f t="shared" si="347"/>
        <v>---</v>
      </c>
      <c r="C472" s="296" t="str">
        <f t="shared" si="292"/>
        <v>---</v>
      </c>
      <c r="D472" s="294" t="str">
        <f t="shared" si="334"/>
        <v>---</v>
      </c>
      <c r="E472" s="294" t="str">
        <f t="shared" si="293"/>
        <v>---</v>
      </c>
      <c r="F472" s="294" t="str">
        <f t="shared" si="294"/>
        <v>---</v>
      </c>
      <c r="G472" s="294" t="str">
        <f t="shared" si="295"/>
        <v>---</v>
      </c>
      <c r="H472" s="291" t="str">
        <f t="shared" si="296"/>
        <v>---</v>
      </c>
      <c r="I472" s="441" t="str">
        <f t="shared" si="297"/>
        <v>---</v>
      </c>
      <c r="J472" s="441" t="str">
        <f t="shared" si="298"/>
        <v>---</v>
      </c>
      <c r="K472" s="291" t="str">
        <f t="shared" si="335"/>
        <v>---</v>
      </c>
      <c r="L472" s="294" t="str">
        <f t="shared" si="336"/>
        <v>---</v>
      </c>
      <c r="M472" s="294" t="str">
        <f t="shared" si="299"/>
        <v>---</v>
      </c>
      <c r="N472" s="291" t="str">
        <f t="shared" si="300"/>
        <v>---</v>
      </c>
      <c r="O472" s="291" t="str">
        <f t="shared" si="301"/>
        <v>---</v>
      </c>
      <c r="P472" s="294" t="str">
        <f t="shared" si="337"/>
        <v>---</v>
      </c>
      <c r="Q472" s="441" t="str">
        <f t="shared" si="338"/>
        <v>---</v>
      </c>
    </row>
    <row r="473" spans="1:17">
      <c r="A473" s="438" t="str">
        <f t="shared" ref="A473:B473" si="348">A280</f>
        <v>---</v>
      </c>
      <c r="B473" s="294" t="str">
        <f t="shared" si="348"/>
        <v>---</v>
      </c>
      <c r="C473" s="296" t="str">
        <f t="shared" si="292"/>
        <v>---</v>
      </c>
      <c r="D473" s="294" t="str">
        <f t="shared" si="334"/>
        <v>---</v>
      </c>
      <c r="E473" s="294" t="str">
        <f t="shared" si="293"/>
        <v>---</v>
      </c>
      <c r="F473" s="294" t="str">
        <f t="shared" si="294"/>
        <v>---</v>
      </c>
      <c r="G473" s="294" t="str">
        <f t="shared" si="295"/>
        <v>---</v>
      </c>
      <c r="H473" s="291" t="str">
        <f t="shared" si="296"/>
        <v>---</v>
      </c>
      <c r="I473" s="441" t="str">
        <f t="shared" si="297"/>
        <v>---</v>
      </c>
      <c r="J473" s="441" t="str">
        <f t="shared" si="298"/>
        <v>---</v>
      </c>
      <c r="K473" s="291" t="str">
        <f t="shared" si="335"/>
        <v>---</v>
      </c>
      <c r="L473" s="294" t="str">
        <f t="shared" si="336"/>
        <v>---</v>
      </c>
      <c r="M473" s="294" t="str">
        <f t="shared" si="299"/>
        <v>---</v>
      </c>
      <c r="N473" s="291" t="str">
        <f t="shared" si="300"/>
        <v>---</v>
      </c>
      <c r="O473" s="291" t="str">
        <f t="shared" si="301"/>
        <v>---</v>
      </c>
      <c r="P473" s="294" t="str">
        <f t="shared" si="337"/>
        <v>---</v>
      </c>
      <c r="Q473" s="441" t="str">
        <f t="shared" si="338"/>
        <v>---</v>
      </c>
    </row>
    <row r="474" spans="1:17">
      <c r="A474" s="438" t="str">
        <f t="shared" ref="A474:B474" si="349">A281</f>
        <v>---</v>
      </c>
      <c r="B474" s="294" t="str">
        <f t="shared" si="349"/>
        <v>---</v>
      </c>
      <c r="C474" s="296" t="str">
        <f t="shared" si="292"/>
        <v>---</v>
      </c>
      <c r="D474" s="294" t="str">
        <f t="shared" si="334"/>
        <v>---</v>
      </c>
      <c r="E474" s="294" t="str">
        <f t="shared" si="293"/>
        <v>---</v>
      </c>
      <c r="F474" s="294" t="str">
        <f t="shared" si="294"/>
        <v>---</v>
      </c>
      <c r="G474" s="294" t="str">
        <f t="shared" si="295"/>
        <v>---</v>
      </c>
      <c r="H474" s="291" t="str">
        <f t="shared" si="296"/>
        <v>---</v>
      </c>
      <c r="I474" s="441" t="str">
        <f t="shared" si="297"/>
        <v>---</v>
      </c>
      <c r="J474" s="441" t="str">
        <f t="shared" si="298"/>
        <v>---</v>
      </c>
      <c r="K474" s="291" t="str">
        <f t="shared" si="335"/>
        <v>---</v>
      </c>
      <c r="L474" s="294" t="str">
        <f t="shared" si="336"/>
        <v>---</v>
      </c>
      <c r="M474" s="294" t="str">
        <f t="shared" si="299"/>
        <v>---</v>
      </c>
      <c r="N474" s="291" t="str">
        <f t="shared" si="300"/>
        <v>---</v>
      </c>
      <c r="O474" s="291" t="str">
        <f t="shared" si="301"/>
        <v>---</v>
      </c>
      <c r="P474" s="294" t="str">
        <f t="shared" si="337"/>
        <v>---</v>
      </c>
      <c r="Q474" s="441" t="str">
        <f t="shared" si="338"/>
        <v>---</v>
      </c>
    </row>
    <row r="475" spans="1:17">
      <c r="A475" s="438" t="str">
        <f t="shared" ref="A475:B475" si="350">A282</f>
        <v>---</v>
      </c>
      <c r="B475" s="294" t="str">
        <f t="shared" si="350"/>
        <v>---</v>
      </c>
      <c r="C475" s="296" t="str">
        <f t="shared" si="292"/>
        <v>---</v>
      </c>
      <c r="D475" s="294" t="str">
        <f t="shared" si="334"/>
        <v>---</v>
      </c>
      <c r="E475" s="294" t="str">
        <f t="shared" si="293"/>
        <v>---</v>
      </c>
      <c r="F475" s="294" t="str">
        <f t="shared" si="294"/>
        <v>---</v>
      </c>
      <c r="G475" s="294" t="str">
        <f t="shared" si="295"/>
        <v>---</v>
      </c>
      <c r="H475" s="291" t="str">
        <f t="shared" si="296"/>
        <v>---</v>
      </c>
      <c r="I475" s="441" t="str">
        <f t="shared" si="297"/>
        <v>---</v>
      </c>
      <c r="J475" s="441" t="str">
        <f t="shared" si="298"/>
        <v>---</v>
      </c>
      <c r="K475" s="291" t="str">
        <f t="shared" si="335"/>
        <v>---</v>
      </c>
      <c r="L475" s="294" t="str">
        <f t="shared" si="336"/>
        <v>---</v>
      </c>
      <c r="M475" s="294" t="str">
        <f t="shared" si="299"/>
        <v>---</v>
      </c>
      <c r="N475" s="291" t="str">
        <f t="shared" si="300"/>
        <v>---</v>
      </c>
      <c r="O475" s="291" t="str">
        <f t="shared" si="301"/>
        <v>---</v>
      </c>
      <c r="P475" s="294" t="str">
        <f t="shared" si="337"/>
        <v>---</v>
      </c>
      <c r="Q475" s="441" t="str">
        <f t="shared" si="338"/>
        <v>---</v>
      </c>
    </row>
    <row r="476" spans="1:17">
      <c r="A476" s="438" t="str">
        <f t="shared" ref="A476:B476" si="351">A283</f>
        <v>---</v>
      </c>
      <c r="B476" s="294" t="str">
        <f t="shared" si="351"/>
        <v>---</v>
      </c>
      <c r="C476" s="296" t="str">
        <f t="shared" si="292"/>
        <v>---</v>
      </c>
      <c r="D476" s="294" t="str">
        <f t="shared" si="334"/>
        <v>---</v>
      </c>
      <c r="E476" s="294" t="str">
        <f t="shared" si="293"/>
        <v>---</v>
      </c>
      <c r="F476" s="294" t="str">
        <f t="shared" si="294"/>
        <v>---</v>
      </c>
      <c r="G476" s="294" t="str">
        <f t="shared" si="295"/>
        <v>---</v>
      </c>
      <c r="H476" s="291" t="str">
        <f t="shared" si="296"/>
        <v>---</v>
      </c>
      <c r="I476" s="441" t="str">
        <f t="shared" si="297"/>
        <v>---</v>
      </c>
      <c r="J476" s="441" t="str">
        <f t="shared" si="298"/>
        <v>---</v>
      </c>
      <c r="K476" s="291" t="str">
        <f t="shared" si="335"/>
        <v>---</v>
      </c>
      <c r="L476" s="294" t="str">
        <f t="shared" si="336"/>
        <v>---</v>
      </c>
      <c r="M476" s="294" t="str">
        <f t="shared" si="299"/>
        <v>---</v>
      </c>
      <c r="N476" s="291" t="str">
        <f t="shared" si="300"/>
        <v>---</v>
      </c>
      <c r="O476" s="291" t="str">
        <f t="shared" si="301"/>
        <v>---</v>
      </c>
      <c r="P476" s="294" t="str">
        <f t="shared" si="337"/>
        <v>---</v>
      </c>
      <c r="Q476" s="441" t="str">
        <f t="shared" si="338"/>
        <v>---</v>
      </c>
    </row>
    <row r="477" spans="1:17">
      <c r="A477" s="438" t="str">
        <f t="shared" ref="A477:B477" si="352">A284</f>
        <v>---</v>
      </c>
      <c r="B477" s="294" t="str">
        <f t="shared" si="352"/>
        <v>---</v>
      </c>
      <c r="C477" s="296" t="str">
        <f t="shared" si="292"/>
        <v>---</v>
      </c>
      <c r="D477" s="294" t="str">
        <f t="shared" si="334"/>
        <v>---</v>
      </c>
      <c r="E477" s="294" t="str">
        <f t="shared" si="293"/>
        <v>---</v>
      </c>
      <c r="F477" s="294" t="str">
        <f t="shared" si="294"/>
        <v>---</v>
      </c>
      <c r="G477" s="294" t="str">
        <f t="shared" si="295"/>
        <v>---</v>
      </c>
      <c r="H477" s="291" t="str">
        <f t="shared" si="296"/>
        <v>---</v>
      </c>
      <c r="I477" s="441" t="str">
        <f t="shared" si="297"/>
        <v>---</v>
      </c>
      <c r="J477" s="441" t="str">
        <f t="shared" si="298"/>
        <v>---</v>
      </c>
      <c r="K477" s="291" t="str">
        <f t="shared" si="335"/>
        <v>---</v>
      </c>
      <c r="L477" s="294" t="str">
        <f t="shared" si="336"/>
        <v>---</v>
      </c>
      <c r="M477" s="294" t="str">
        <f t="shared" si="299"/>
        <v>---</v>
      </c>
      <c r="N477" s="291" t="str">
        <f t="shared" si="300"/>
        <v>---</v>
      </c>
      <c r="O477" s="291" t="str">
        <f t="shared" si="301"/>
        <v>---</v>
      </c>
      <c r="P477" s="294" t="str">
        <f t="shared" si="337"/>
        <v>---</v>
      </c>
      <c r="Q477" s="441" t="str">
        <f t="shared" si="338"/>
        <v>---</v>
      </c>
    </row>
    <row r="478" spans="1:17">
      <c r="A478" s="438" t="str">
        <f t="shared" ref="A478:B478" si="353">A285</f>
        <v>---</v>
      </c>
      <c r="B478" s="294" t="str">
        <f t="shared" si="353"/>
        <v>---</v>
      </c>
      <c r="C478" s="296" t="str">
        <f t="shared" si="292"/>
        <v>---</v>
      </c>
      <c r="D478" s="294" t="str">
        <f t="shared" si="334"/>
        <v>---</v>
      </c>
      <c r="E478" s="294" t="str">
        <f t="shared" si="293"/>
        <v>---</v>
      </c>
      <c r="F478" s="294" t="str">
        <f t="shared" si="294"/>
        <v>---</v>
      </c>
      <c r="G478" s="294" t="str">
        <f t="shared" si="295"/>
        <v>---</v>
      </c>
      <c r="H478" s="291" t="str">
        <f t="shared" si="296"/>
        <v>---</v>
      </c>
      <c r="I478" s="441" t="str">
        <f t="shared" si="297"/>
        <v>---</v>
      </c>
      <c r="J478" s="441" t="str">
        <f t="shared" si="298"/>
        <v>---</v>
      </c>
      <c r="K478" s="291" t="str">
        <f t="shared" si="335"/>
        <v>---</v>
      </c>
      <c r="L478" s="294" t="str">
        <f t="shared" si="336"/>
        <v>---</v>
      </c>
      <c r="M478" s="294" t="str">
        <f t="shared" si="299"/>
        <v>---</v>
      </c>
      <c r="N478" s="291" t="str">
        <f t="shared" si="300"/>
        <v>---</v>
      </c>
      <c r="O478" s="291" t="str">
        <f t="shared" si="301"/>
        <v>---</v>
      </c>
      <c r="P478" s="294" t="str">
        <f t="shared" si="337"/>
        <v>---</v>
      </c>
      <c r="Q478" s="441" t="str">
        <f t="shared" si="338"/>
        <v>---</v>
      </c>
    </row>
    <row r="479" spans="1:17">
      <c r="A479" s="438" t="str">
        <f t="shared" ref="A479:B479" si="354">A286</f>
        <v>---</v>
      </c>
      <c r="B479" s="294" t="str">
        <f t="shared" si="354"/>
        <v>---</v>
      </c>
      <c r="C479" s="296" t="str">
        <f t="shared" si="292"/>
        <v>---</v>
      </c>
      <c r="D479" s="294" t="str">
        <f t="shared" si="334"/>
        <v>---</v>
      </c>
      <c r="E479" s="294" t="str">
        <f t="shared" si="293"/>
        <v>---</v>
      </c>
      <c r="F479" s="294" t="str">
        <f t="shared" si="294"/>
        <v>---</v>
      </c>
      <c r="G479" s="294" t="str">
        <f t="shared" si="295"/>
        <v>---</v>
      </c>
      <c r="H479" s="291" t="str">
        <f t="shared" si="296"/>
        <v>---</v>
      </c>
      <c r="I479" s="441" t="str">
        <f t="shared" si="297"/>
        <v>---</v>
      </c>
      <c r="J479" s="441" t="str">
        <f t="shared" si="298"/>
        <v>---</v>
      </c>
      <c r="K479" s="291" t="str">
        <f t="shared" si="335"/>
        <v>---</v>
      </c>
      <c r="L479" s="294" t="str">
        <f t="shared" si="336"/>
        <v>---</v>
      </c>
      <c r="M479" s="294" t="str">
        <f t="shared" si="299"/>
        <v>---</v>
      </c>
      <c r="N479" s="291" t="str">
        <f t="shared" si="300"/>
        <v>---</v>
      </c>
      <c r="O479" s="291" t="str">
        <f t="shared" si="301"/>
        <v>---</v>
      </c>
      <c r="P479" s="294" t="str">
        <f t="shared" si="337"/>
        <v>---</v>
      </c>
      <c r="Q479" s="441" t="str">
        <f t="shared" si="338"/>
        <v>---</v>
      </c>
    </row>
    <row r="480" spans="1:17">
      <c r="A480" s="438" t="str">
        <f t="shared" ref="A480:B480" si="355">A287</f>
        <v>---</v>
      </c>
      <c r="B480" s="294" t="str">
        <f t="shared" si="355"/>
        <v>---</v>
      </c>
      <c r="C480" s="296" t="str">
        <f t="shared" si="292"/>
        <v>---</v>
      </c>
      <c r="D480" s="294" t="str">
        <f t="shared" si="334"/>
        <v>---</v>
      </c>
      <c r="E480" s="294" t="str">
        <f t="shared" si="293"/>
        <v>---</v>
      </c>
      <c r="F480" s="294" t="str">
        <f t="shared" si="294"/>
        <v>---</v>
      </c>
      <c r="G480" s="294" t="str">
        <f t="shared" si="295"/>
        <v>---</v>
      </c>
      <c r="H480" s="291" t="str">
        <f t="shared" si="296"/>
        <v>---</v>
      </c>
      <c r="I480" s="441" t="str">
        <f t="shared" si="297"/>
        <v>---</v>
      </c>
      <c r="J480" s="441" t="str">
        <f t="shared" si="298"/>
        <v>---</v>
      </c>
      <c r="K480" s="291" t="str">
        <f t="shared" si="335"/>
        <v>---</v>
      </c>
      <c r="L480" s="294" t="str">
        <f t="shared" si="336"/>
        <v>---</v>
      </c>
      <c r="M480" s="294" t="str">
        <f t="shared" si="299"/>
        <v>---</v>
      </c>
      <c r="N480" s="291" t="str">
        <f t="shared" si="300"/>
        <v>---</v>
      </c>
      <c r="O480" s="291" t="str">
        <f t="shared" si="301"/>
        <v>---</v>
      </c>
      <c r="P480" s="294" t="str">
        <f t="shared" si="337"/>
        <v>---</v>
      </c>
      <c r="Q480" s="441" t="str">
        <f t="shared" si="338"/>
        <v>---</v>
      </c>
    </row>
    <row r="481" spans="1:19">
      <c r="A481" s="234"/>
      <c r="B481" s="234"/>
      <c r="N481" s="9"/>
      <c r="O481" s="9"/>
      <c r="P481" s="9"/>
      <c r="Q481" s="9"/>
      <c r="R481" s="9"/>
    </row>
    <row r="483" spans="1:19">
      <c r="A483" s="12" t="s">
        <v>805</v>
      </c>
      <c r="B483" s="12"/>
      <c r="C483" s="35"/>
    </row>
    <row r="484" spans="1:19">
      <c r="C484" s="35"/>
      <c r="L484" s="77"/>
      <c r="Q484" s="37"/>
    </row>
    <row r="485" spans="1:19">
      <c r="C485" s="227" t="s">
        <v>379</v>
      </c>
      <c r="F485" s="214" t="s">
        <v>533</v>
      </c>
      <c r="G485" s="35"/>
      <c r="J485" s="612" t="s">
        <v>689</v>
      </c>
      <c r="K485" s="613"/>
      <c r="L485" s="613"/>
      <c r="M485" s="613"/>
      <c r="N485" s="613"/>
      <c r="O485" s="613"/>
      <c r="P485" s="195" t="s">
        <v>522</v>
      </c>
    </row>
    <row r="486" spans="1:19" ht="15.75">
      <c r="C486" s="227"/>
      <c r="D486" s="196"/>
      <c r="E486" s="196"/>
      <c r="F486" s="224" t="s">
        <v>517</v>
      </c>
      <c r="G486" s="212"/>
      <c r="H486" s="212"/>
      <c r="I486" s="212"/>
      <c r="J486" s="224" t="s">
        <v>496</v>
      </c>
      <c r="K486" s="225"/>
      <c r="L486" s="225"/>
      <c r="M486" s="225" t="s">
        <v>497</v>
      </c>
      <c r="N486" s="225"/>
      <c r="O486" s="225"/>
      <c r="P486" s="239" t="s">
        <v>133</v>
      </c>
      <c r="Q486" s="87" t="s">
        <v>759</v>
      </c>
      <c r="R486" s="234" t="s">
        <v>30</v>
      </c>
    </row>
    <row r="487" spans="1:19" ht="15.75" customHeight="1">
      <c r="A487" s="234" t="s">
        <v>34</v>
      </c>
      <c r="B487" s="234" t="s">
        <v>35</v>
      </c>
      <c r="C487" s="61" t="s">
        <v>40</v>
      </c>
      <c r="D487" s="229" t="s">
        <v>514</v>
      </c>
      <c r="E487" s="229" t="s">
        <v>30</v>
      </c>
      <c r="F487" s="61" t="s">
        <v>40</v>
      </c>
      <c r="G487" s="230" t="s">
        <v>554</v>
      </c>
      <c r="H487" s="19" t="s">
        <v>297</v>
      </c>
      <c r="I487" s="229" t="s">
        <v>30</v>
      </c>
      <c r="J487" s="239" t="s">
        <v>54</v>
      </c>
      <c r="K487" s="230" t="s">
        <v>548</v>
      </c>
      <c r="L487" s="230" t="s">
        <v>30</v>
      </c>
      <c r="M487" s="230" t="s">
        <v>39</v>
      </c>
      <c r="N487" s="230" t="s">
        <v>562</v>
      </c>
      <c r="O487" s="230" t="s">
        <v>30</v>
      </c>
      <c r="P487" s="226" t="s">
        <v>530</v>
      </c>
      <c r="Q487" s="87" t="s">
        <v>760</v>
      </c>
      <c r="R487" s="234" t="s">
        <v>133</v>
      </c>
    </row>
    <row r="488" spans="1:19" ht="15.75">
      <c r="A488" s="229" t="s">
        <v>352</v>
      </c>
      <c r="B488" s="234" t="s">
        <v>42</v>
      </c>
      <c r="C488" s="239" t="s">
        <v>154</v>
      </c>
      <c r="D488" s="229" t="s">
        <v>154</v>
      </c>
      <c r="E488" s="229" t="s">
        <v>514</v>
      </c>
      <c r="F488" s="239" t="s">
        <v>154</v>
      </c>
      <c r="G488" s="230" t="s">
        <v>154</v>
      </c>
      <c r="H488" s="229" t="s">
        <v>154</v>
      </c>
      <c r="I488" s="19" t="s">
        <v>297</v>
      </c>
      <c r="J488" s="239" t="s">
        <v>154</v>
      </c>
      <c r="K488" s="230" t="s">
        <v>154</v>
      </c>
      <c r="L488" s="230" t="s">
        <v>501</v>
      </c>
      <c r="M488" s="230" t="s">
        <v>154</v>
      </c>
      <c r="N488" s="230" t="s">
        <v>154</v>
      </c>
      <c r="O488" s="230" t="s">
        <v>502</v>
      </c>
      <c r="P488" s="239" t="s">
        <v>42</v>
      </c>
      <c r="Q488" s="87" t="s">
        <v>42</v>
      </c>
      <c r="R488" s="213" t="s">
        <v>530</v>
      </c>
    </row>
    <row r="489" spans="1:19">
      <c r="A489" s="438">
        <f t="shared" ref="A489:B489" si="356">A431</f>
        <v>1</v>
      </c>
      <c r="B489" s="294">
        <f t="shared" si="356"/>
        <v>1.5</v>
      </c>
      <c r="C489" s="291">
        <f>F431</f>
        <v>0.76269385413042634</v>
      </c>
      <c r="D489" s="291">
        <f>IF(A489="---","---",IF(Type_Reinf="g","---",INPUT!P111))</f>
        <v>6</v>
      </c>
      <c r="E489" s="441" t="str">
        <f t="shared" ref="E489:E520" si="357">IF(A489="---","---",IF(Type_Reinf="g","---",IF(D489&gt;=C489,"OK","NG!")))</f>
        <v>OK</v>
      </c>
      <c r="F489" s="291">
        <f t="shared" ref="F489:F520" si="358">F431</f>
        <v>0.76269385413042634</v>
      </c>
      <c r="G489" s="291" t="str">
        <f>IF(A489="---","---",IF(Type_Reinf="g",(INPUT!M111+INPUT!N111),"---"))</f>
        <v>---</v>
      </c>
      <c r="H489" s="294" t="str">
        <f>IF(A489="---","---",IF(AND(Geo_Face="y",Geo_Conn="f")=TRUE,"---",IF(Type_Reinf="g",phi_Tensile_Combined*G489*INPUT!L111*I178/MAX(RF_D,1.1),"---")))</f>
        <v>---</v>
      </c>
      <c r="I489" s="441" t="str">
        <f t="shared" ref="I489:I520" si="359">IF(A489="---","---",IF(AND(Geo_Face="y",Geo_Conn="f")=TRUE,"---",IF(Type_Reinf="g",IF(H489&gt;=F489,"OK","NG"),"---")))</f>
        <v>---</v>
      </c>
      <c r="J489" s="291">
        <f t="shared" ref="J489:J520" si="360">E431</f>
        <v>0.72497853702637738</v>
      </c>
      <c r="K489" s="294" t="str">
        <f>IF(A489="---","---",IF(AND(Geo_Face="y",Geo_Conn="f")=TRUE,"---",IF(Type_Reinf="g",IF(Geo_Conn="m",1,0.8)*phi_Tensile_Combined*INPUT!M111*INPUT!L111*I178/MAX(RF_D,1.1),"---")))</f>
        <v>---</v>
      </c>
      <c r="L489" s="441" t="str">
        <f t="shared" ref="L489:L520" si="361">IF(A489="---","---",IF(AND(Geo_Face="y",Geo_Conn="f")=TRUE,"---",IF(Type_Reinf="g",IF(K489&gt;J489,"OK","NG!"),"---")))</f>
        <v>---</v>
      </c>
      <c r="M489" s="290">
        <f t="shared" ref="M489:M520" si="362">C431</f>
        <v>3.7715317104049004E-2</v>
      </c>
      <c r="N489" s="294" t="str">
        <f>IF(A489="---","---",IF(AND(Geo_Face="y",Geo_Conn="f")=TRUE,"---",IF(Type_Reinf="g",IF(Geo_Conn="m",1,0.8)*phi_Tensile_Combined*INPUT!N111*INPUT!L111*RF_CR*I178/MAX(RF_D,1.1),"---")))</f>
        <v>---</v>
      </c>
      <c r="O489" s="441" t="str">
        <f t="shared" ref="O489:O520" si="363">IF(A489="---","---",IF(AND(Geo_Face="y",Geo_Conn="f")=TRUE,"---",IF(Type_Reinf="g",IF(N489&gt;M489,"OK","NG"),"---")))</f>
        <v>---</v>
      </c>
      <c r="P489" s="294" t="str">
        <f>IF(A489="---","---",IF(AND(Geo_Face="y",Geo_Conn="f")=TRUE,INPUT!Q111,"---"))</f>
        <v>---</v>
      </c>
      <c r="Q489" s="291" t="str">
        <f t="shared" ref="Q489:Q520" si="364">IF(A489="---","---",IF(AND(Geo_Face="y",Geo_Conn="f")=TRUE,MAX(3,($N431/(phi_Pullout_Combined*0.8*$Q367*$D$362*K431*C_surf_geo*$I178))/2),"---"))</f>
        <v>---</v>
      </c>
      <c r="R489" s="441" t="str">
        <f t="shared" ref="R489:R520" si="365">IF(A489="---","---",IF(AND(Geo_Face="y",Geo_Conn="f")=TRUE,IF(P489&lt;Q489,"NG!","OK"),"---"))</f>
        <v>---</v>
      </c>
      <c r="S489" s="102"/>
    </row>
    <row r="490" spans="1:19">
      <c r="A490" s="438">
        <f t="shared" ref="A490:B490" si="366">A432</f>
        <v>2</v>
      </c>
      <c r="B490" s="294">
        <f t="shared" si="366"/>
        <v>4</v>
      </c>
      <c r="C490" s="291">
        <f t="shared" ref="C490:C538" si="367">F432</f>
        <v>0.83508090390509171</v>
      </c>
      <c r="D490" s="291">
        <f>IF(A490="---","---",IF(Type_Reinf="g","---",INPUT!P112))</f>
        <v>6</v>
      </c>
      <c r="E490" s="441" t="str">
        <f t="shared" si="357"/>
        <v>OK</v>
      </c>
      <c r="F490" s="291">
        <f t="shared" si="358"/>
        <v>0.83508090390509171</v>
      </c>
      <c r="G490" s="291" t="str">
        <f>IF(A490="---","---",IF(Type_Reinf="g",(INPUT!M112+INPUT!N112),"---"))</f>
        <v>---</v>
      </c>
      <c r="H490" s="294" t="str">
        <f>IF(A490="---","---",IF(AND(Geo_Face="y",Geo_Conn="f")=TRUE,"---",IF(Type_Reinf="g",phi_Tensile_Combined*G490*INPUT!L112*I179/MAX(RF_D,1.1),"---")))</f>
        <v>---</v>
      </c>
      <c r="I490" s="441" t="str">
        <f t="shared" si="359"/>
        <v>---</v>
      </c>
      <c r="J490" s="291">
        <f t="shared" si="360"/>
        <v>0.79736558680104275</v>
      </c>
      <c r="K490" s="294" t="str">
        <f>IF(A490="---","---",IF(AND(Geo_Face="y",Geo_Conn="f")=TRUE,"---",IF(Type_Reinf="g",IF(Geo_Conn="m",1,0.8)*phi_Tensile_Combined*INPUT!M112*INPUT!L112*I179/MAX(RF_D,1.1),"---")))</f>
        <v>---</v>
      </c>
      <c r="L490" s="441" t="str">
        <f t="shared" si="361"/>
        <v>---</v>
      </c>
      <c r="M490" s="290">
        <f t="shared" si="362"/>
        <v>3.7715317104049004E-2</v>
      </c>
      <c r="N490" s="294" t="str">
        <f>IF(A490="---","---",IF(AND(Geo_Face="y",Geo_Conn="f")=TRUE,"---",IF(Type_Reinf="g",IF(Geo_Conn="m",1,0.8)*phi_Tensile_Combined*INPUT!N112*INPUT!L112*RF_CR*I179/MAX(RF_D,1.1),"---")))</f>
        <v>---</v>
      </c>
      <c r="O490" s="441" t="str">
        <f t="shared" si="363"/>
        <v>---</v>
      </c>
      <c r="P490" s="294" t="str">
        <f>IF(A490="---","---",IF(AND(Geo_Face="y",Geo_Conn="f")=TRUE,INPUT!Q112,"---"))</f>
        <v>---</v>
      </c>
      <c r="Q490" s="291" t="str">
        <f t="shared" si="364"/>
        <v>---</v>
      </c>
      <c r="R490" s="441" t="str">
        <f t="shared" si="365"/>
        <v>---</v>
      </c>
    </row>
    <row r="491" spans="1:19">
      <c r="A491" s="438">
        <f t="shared" ref="A491:B491" si="368">A433</f>
        <v>3</v>
      </c>
      <c r="B491" s="294">
        <f t="shared" si="368"/>
        <v>6.5</v>
      </c>
      <c r="C491" s="291">
        <f t="shared" si="367"/>
        <v>0.98909761978641075</v>
      </c>
      <c r="D491" s="291">
        <f>IF(A491="---","---",IF(Type_Reinf="g","---",INPUT!P113))</f>
        <v>6</v>
      </c>
      <c r="E491" s="441" t="str">
        <f t="shared" si="357"/>
        <v>OK</v>
      </c>
      <c r="F491" s="291">
        <f t="shared" si="358"/>
        <v>0.98909761978641075</v>
      </c>
      <c r="G491" s="291" t="str">
        <f>IF(A491="---","---",IF(Type_Reinf="g",(INPUT!M113+INPUT!N113),"---"))</f>
        <v>---</v>
      </c>
      <c r="H491" s="294" t="str">
        <f>IF(A491="---","---",IF(AND(Geo_Face="y",Geo_Conn="f")=TRUE,"---",IF(Type_Reinf="g",phi_Tensile_Combined*G491*INPUT!L113*I180/MAX(RF_D,1.1),"---")))</f>
        <v>---</v>
      </c>
      <c r="I491" s="441" t="str">
        <f t="shared" si="359"/>
        <v>---</v>
      </c>
      <c r="J491" s="291">
        <f t="shared" si="360"/>
        <v>0.95138230268236179</v>
      </c>
      <c r="K491" s="294" t="str">
        <f>IF(A491="---","---",IF(AND(Geo_Face="y",Geo_Conn="f")=TRUE,"---",IF(Type_Reinf="g",IF(Geo_Conn="m",1,0.8)*phi_Tensile_Combined*INPUT!M113*INPUT!L113*I180/MAX(RF_D,1.1),"---")))</f>
        <v>---</v>
      </c>
      <c r="L491" s="441" t="str">
        <f t="shared" si="361"/>
        <v>---</v>
      </c>
      <c r="M491" s="290">
        <f t="shared" si="362"/>
        <v>3.7715317104049004E-2</v>
      </c>
      <c r="N491" s="294" t="str">
        <f>IF(A491="---","---",IF(AND(Geo_Face="y",Geo_Conn="f")=TRUE,"---",IF(Type_Reinf="g",IF(Geo_Conn="m",1,0.8)*phi_Tensile_Combined*INPUT!N113*INPUT!L113*RF_CR*I180/MAX(RF_D,1.1),"---")))</f>
        <v>---</v>
      </c>
      <c r="O491" s="441" t="str">
        <f t="shared" si="363"/>
        <v>---</v>
      </c>
      <c r="P491" s="294" t="str">
        <f>IF(A491="---","---",IF(AND(Geo_Face="y",Geo_Conn="f")=TRUE,INPUT!Q113,"---"))</f>
        <v>---</v>
      </c>
      <c r="Q491" s="291" t="str">
        <f t="shared" si="364"/>
        <v>---</v>
      </c>
      <c r="R491" s="441" t="str">
        <f t="shared" si="365"/>
        <v>---</v>
      </c>
    </row>
    <row r="492" spans="1:19">
      <c r="A492" s="438">
        <f t="shared" ref="A492:B492" si="369">A434</f>
        <v>4</v>
      </c>
      <c r="B492" s="294">
        <f t="shared" si="369"/>
        <v>9</v>
      </c>
      <c r="C492" s="291">
        <f t="shared" si="367"/>
        <v>1.1380335589399766</v>
      </c>
      <c r="D492" s="291">
        <f>IF(A492="---","---",IF(Type_Reinf="g","---",INPUT!P114))</f>
        <v>6</v>
      </c>
      <c r="E492" s="441" t="str">
        <f t="shared" si="357"/>
        <v>OK</v>
      </c>
      <c r="F492" s="291">
        <f t="shared" si="358"/>
        <v>1.1380335589399766</v>
      </c>
      <c r="G492" s="291" t="str">
        <f>IF(A492="---","---",IF(Type_Reinf="g",(INPUT!M114+INPUT!N114),"---"))</f>
        <v>---</v>
      </c>
      <c r="H492" s="294" t="str">
        <f>IF(A492="---","---",IF(AND(Geo_Face="y",Geo_Conn="f")=TRUE,"---",IF(Type_Reinf="g",phi_Tensile_Combined*G492*INPUT!L114*I181/MAX(RF_D,1.1),"---")))</f>
        <v>---</v>
      </c>
      <c r="I492" s="441" t="str">
        <f t="shared" si="359"/>
        <v>---</v>
      </c>
      <c r="J492" s="291">
        <f t="shared" si="360"/>
        <v>1.0989012125240412</v>
      </c>
      <c r="K492" s="294" t="str">
        <f>IF(A492="---","---",IF(AND(Geo_Face="y",Geo_Conn="f")=TRUE,"---",IF(Type_Reinf="g",IF(Geo_Conn="m",1,0.8)*phi_Tensile_Combined*INPUT!M114*INPUT!L114*I181/MAX(RF_D,1.1),"---")))</f>
        <v>---</v>
      </c>
      <c r="L492" s="441" t="str">
        <f t="shared" si="361"/>
        <v>---</v>
      </c>
      <c r="M492" s="290">
        <f t="shared" si="362"/>
        <v>3.913234641593534E-2</v>
      </c>
      <c r="N492" s="294" t="str">
        <f>IF(A492="---","---",IF(AND(Geo_Face="y",Geo_Conn="f")=TRUE,"---",IF(Type_Reinf="g",IF(Geo_Conn="m",1,0.8)*phi_Tensile_Combined*INPUT!N114*INPUT!L114*RF_CR*I181/MAX(RF_D,1.1),"---")))</f>
        <v>---</v>
      </c>
      <c r="O492" s="441" t="str">
        <f t="shared" si="363"/>
        <v>---</v>
      </c>
      <c r="P492" s="294" t="str">
        <f>IF(A492="---","---",IF(AND(Geo_Face="y",Geo_Conn="f")=TRUE,INPUT!Q114,"---"))</f>
        <v>---</v>
      </c>
      <c r="Q492" s="291" t="str">
        <f t="shared" si="364"/>
        <v>---</v>
      </c>
      <c r="R492" s="441" t="str">
        <f t="shared" si="365"/>
        <v>---</v>
      </c>
    </row>
    <row r="493" spans="1:19">
      <c r="A493" s="438">
        <f t="shared" ref="A493:B493" si="370">A435</f>
        <v>5</v>
      </c>
      <c r="B493" s="294">
        <f t="shared" si="370"/>
        <v>11.5</v>
      </c>
      <c r="C493" s="291">
        <f t="shared" si="367"/>
        <v>1.2786715551584267</v>
      </c>
      <c r="D493" s="291">
        <f>IF(A493="---","---",IF(Type_Reinf="g","---",INPUT!P115))</f>
        <v>6</v>
      </c>
      <c r="E493" s="441" t="str">
        <f t="shared" si="357"/>
        <v>OK</v>
      </c>
      <c r="F493" s="291">
        <f t="shared" si="358"/>
        <v>1.2786715551584267</v>
      </c>
      <c r="G493" s="291" t="str">
        <f>IF(A493="---","---",IF(Type_Reinf="g",(INPUT!M115+INPUT!N115),"---"))</f>
        <v>---</v>
      </c>
      <c r="H493" s="294" t="str">
        <f>IF(A493="---","---",IF(AND(Geo_Face="y",Geo_Conn="f")=TRUE,"---",IF(Type_Reinf="g",phi_Tensile_Combined*G493*INPUT!L115*I182/MAX(RF_D,1.1),"---")))</f>
        <v>---</v>
      </c>
      <c r="I493" s="441" t="str">
        <f t="shared" si="359"/>
        <v>---</v>
      </c>
      <c r="J493" s="291">
        <f t="shared" si="360"/>
        <v>1.2360489887624757</v>
      </c>
      <c r="K493" s="294" t="str">
        <f>IF(A493="---","---",IF(AND(Geo_Face="y",Geo_Conn="f")=TRUE,"---",IF(Type_Reinf="g",IF(Geo_Conn="m",1,0.8)*phi_Tensile_Combined*INPUT!M115*INPUT!L115*I182/MAX(RF_D,1.1),"---")))</f>
        <v>---</v>
      </c>
      <c r="L493" s="441" t="str">
        <f t="shared" si="361"/>
        <v>---</v>
      </c>
      <c r="M493" s="290">
        <f t="shared" si="362"/>
        <v>4.2622566395950988E-2</v>
      </c>
      <c r="N493" s="294" t="str">
        <f>IF(A493="---","---",IF(AND(Geo_Face="y",Geo_Conn="f")=TRUE,"---",IF(Type_Reinf="g",IF(Geo_Conn="m",1,0.8)*phi_Tensile_Combined*INPUT!N115*INPUT!L115*RF_CR*I182/MAX(RF_D,1.1),"---")))</f>
        <v>---</v>
      </c>
      <c r="O493" s="441" t="str">
        <f t="shared" si="363"/>
        <v>---</v>
      </c>
      <c r="P493" s="294" t="str">
        <f>IF(A493="---","---",IF(AND(Geo_Face="y",Geo_Conn="f")=TRUE,INPUT!Q115,"---"))</f>
        <v>---</v>
      </c>
      <c r="Q493" s="291" t="str">
        <f t="shared" si="364"/>
        <v>---</v>
      </c>
      <c r="R493" s="441" t="str">
        <f t="shared" si="365"/>
        <v>---</v>
      </c>
    </row>
    <row r="494" spans="1:19">
      <c r="A494" s="438">
        <f t="shared" ref="A494:B494" si="371">A436</f>
        <v>6</v>
      </c>
      <c r="B494" s="294">
        <f t="shared" si="371"/>
        <v>14</v>
      </c>
      <c r="C494" s="291">
        <f t="shared" si="367"/>
        <v>1.7984746427622518</v>
      </c>
      <c r="D494" s="291">
        <f>IF(A494="---","---",IF(Type_Reinf="g","---",INPUT!P116))</f>
        <v>6</v>
      </c>
      <c r="E494" s="441" t="str">
        <f t="shared" si="357"/>
        <v>OK</v>
      </c>
      <c r="F494" s="291">
        <f t="shared" si="358"/>
        <v>1.7984746427622518</v>
      </c>
      <c r="G494" s="291" t="str">
        <f>IF(A494="---","---",IF(Type_Reinf="g",(INPUT!M116+INPUT!N116),"---"))</f>
        <v>---</v>
      </c>
      <c r="H494" s="294" t="str">
        <f>IF(A494="---","---",IF(AND(Geo_Face="y",Geo_Conn="f")=TRUE,"---",IF(Type_Reinf="g",phi_Tensile_Combined*G494*INPUT!L116*I183/MAX(RF_D,1.1),"---")))</f>
        <v>---</v>
      </c>
      <c r="I494" s="441" t="str">
        <f t="shared" si="359"/>
        <v>---</v>
      </c>
      <c r="J494" s="291">
        <f t="shared" si="360"/>
        <v>1.7523618563862851</v>
      </c>
      <c r="K494" s="294" t="str">
        <f>IF(A494="---","---",IF(AND(Geo_Face="y",Geo_Conn="f")=TRUE,"---",IF(Type_Reinf="g",IF(Geo_Conn="m",1,0.8)*phi_Tensile_Combined*INPUT!M116*INPUT!L116*I183/MAX(RF_D,1.1),"---")))</f>
        <v>---</v>
      </c>
      <c r="L494" s="441" t="str">
        <f t="shared" si="361"/>
        <v>---</v>
      </c>
      <c r="M494" s="290">
        <f t="shared" si="362"/>
        <v>4.6112786375966629E-2</v>
      </c>
      <c r="N494" s="294" t="str">
        <f>IF(A494="---","---",IF(AND(Geo_Face="y",Geo_Conn="f")=TRUE,"---",IF(Type_Reinf="g",IF(Geo_Conn="m",1,0.8)*phi_Tensile_Combined*INPUT!N116*INPUT!L116*RF_CR*I183/MAX(RF_D,1.1),"---")))</f>
        <v>---</v>
      </c>
      <c r="O494" s="441" t="str">
        <f t="shared" si="363"/>
        <v>---</v>
      </c>
      <c r="P494" s="294" t="str">
        <f>IF(A494="---","---",IF(AND(Geo_Face="y",Geo_Conn="f")=TRUE,INPUT!Q116,"---"))</f>
        <v>---</v>
      </c>
      <c r="Q494" s="291" t="str">
        <f t="shared" si="364"/>
        <v>---</v>
      </c>
      <c r="R494" s="441" t="str">
        <f t="shared" si="365"/>
        <v>---</v>
      </c>
    </row>
    <row r="495" spans="1:19">
      <c r="A495" s="438" t="str">
        <f t="shared" ref="A495:B495" si="372">A437</f>
        <v>---</v>
      </c>
      <c r="B495" s="294" t="str">
        <f t="shared" si="372"/>
        <v>---</v>
      </c>
      <c r="C495" s="291" t="str">
        <f t="shared" si="367"/>
        <v>---</v>
      </c>
      <c r="D495" s="291" t="str">
        <f>IF(A495="---","---",IF(Type_Reinf="g","---",INPUT!P117))</f>
        <v>---</v>
      </c>
      <c r="E495" s="441" t="str">
        <f t="shared" si="357"/>
        <v>---</v>
      </c>
      <c r="F495" s="291" t="str">
        <f t="shared" si="358"/>
        <v>---</v>
      </c>
      <c r="G495" s="291" t="str">
        <f>IF(A495="---","---",IF(Type_Reinf="g",(INPUT!M117+INPUT!N117),"---"))</f>
        <v>---</v>
      </c>
      <c r="H495" s="294" t="str">
        <f>IF(A495="---","---",IF(AND(Geo_Face="y",Geo_Conn="f")=TRUE,"---",IF(Type_Reinf="g",phi_Tensile_Combined*G495*INPUT!L117*I184/MAX(RF_D,1.1),"---")))</f>
        <v>---</v>
      </c>
      <c r="I495" s="441" t="str">
        <f t="shared" si="359"/>
        <v>---</v>
      </c>
      <c r="J495" s="291" t="str">
        <f t="shared" si="360"/>
        <v>---</v>
      </c>
      <c r="K495" s="294" t="str">
        <f>IF(A495="---","---",IF(AND(Geo_Face="y",Geo_Conn="f")=TRUE,"---",IF(Type_Reinf="g",IF(Geo_Conn="m",1,0.8)*phi_Tensile_Combined*INPUT!M117*INPUT!L117*I184/MAX(RF_D,1.1),"---")))</f>
        <v>---</v>
      </c>
      <c r="L495" s="441" t="str">
        <f t="shared" si="361"/>
        <v>---</v>
      </c>
      <c r="M495" s="290" t="str">
        <f t="shared" si="362"/>
        <v>---</v>
      </c>
      <c r="N495" s="294" t="str">
        <f>IF(A495="---","---",IF(AND(Geo_Face="y",Geo_Conn="f")=TRUE,"---",IF(Type_Reinf="g",IF(Geo_Conn="m",1,0.8)*phi_Tensile_Combined*INPUT!N117*INPUT!L117*RF_CR*I184/MAX(RF_D,1.1),"---")))</f>
        <v>---</v>
      </c>
      <c r="O495" s="441" t="str">
        <f t="shared" si="363"/>
        <v>---</v>
      </c>
      <c r="P495" s="294" t="str">
        <f>IF(A495="---","---",IF(AND(Geo_Face="y",Geo_Conn="f")=TRUE,INPUT!Q117,"---"))</f>
        <v>---</v>
      </c>
      <c r="Q495" s="291" t="str">
        <f t="shared" si="364"/>
        <v>---</v>
      </c>
      <c r="R495" s="441" t="str">
        <f t="shared" si="365"/>
        <v>---</v>
      </c>
    </row>
    <row r="496" spans="1:19">
      <c r="A496" s="438" t="str">
        <f t="shared" ref="A496:B496" si="373">A438</f>
        <v>---</v>
      </c>
      <c r="B496" s="294" t="str">
        <f t="shared" si="373"/>
        <v>---</v>
      </c>
      <c r="C496" s="291" t="str">
        <f t="shared" si="367"/>
        <v>---</v>
      </c>
      <c r="D496" s="291" t="str">
        <f>IF(A496="---","---",IF(Type_Reinf="g","---",INPUT!P118))</f>
        <v>---</v>
      </c>
      <c r="E496" s="441" t="str">
        <f t="shared" si="357"/>
        <v>---</v>
      </c>
      <c r="F496" s="291" t="str">
        <f t="shared" si="358"/>
        <v>---</v>
      </c>
      <c r="G496" s="291" t="str">
        <f>IF(A496="---","---",IF(Type_Reinf="g",(INPUT!M118+INPUT!N118),"---"))</f>
        <v>---</v>
      </c>
      <c r="H496" s="294" t="str">
        <f>IF(A496="---","---",IF(AND(Geo_Face="y",Geo_Conn="f")=TRUE,"---",IF(Type_Reinf="g",phi_Tensile_Combined*G496*INPUT!L118*I185/MAX(RF_D,1.1),"---")))</f>
        <v>---</v>
      </c>
      <c r="I496" s="441" t="str">
        <f t="shared" si="359"/>
        <v>---</v>
      </c>
      <c r="J496" s="291" t="str">
        <f t="shared" si="360"/>
        <v>---</v>
      </c>
      <c r="K496" s="294" t="str">
        <f>IF(A496="---","---",IF(AND(Geo_Face="y",Geo_Conn="f")=TRUE,"---",IF(Type_Reinf="g",IF(Geo_Conn="m",1,0.8)*phi_Tensile_Combined*INPUT!M118*INPUT!L118*I185/MAX(RF_D,1.1),"---")))</f>
        <v>---</v>
      </c>
      <c r="L496" s="441" t="str">
        <f t="shared" si="361"/>
        <v>---</v>
      </c>
      <c r="M496" s="290" t="str">
        <f t="shared" si="362"/>
        <v>---</v>
      </c>
      <c r="N496" s="294" t="str">
        <f>IF(A496="---","---",IF(AND(Geo_Face="y",Geo_Conn="f")=TRUE,"---",IF(Type_Reinf="g",IF(Geo_Conn="m",1,0.8)*phi_Tensile_Combined*INPUT!N118*INPUT!L118*RF_CR*I185/MAX(RF_D,1.1),"---")))</f>
        <v>---</v>
      </c>
      <c r="O496" s="441" t="str">
        <f t="shared" si="363"/>
        <v>---</v>
      </c>
      <c r="P496" s="294" t="str">
        <f>IF(A496="---","---",IF(AND(Geo_Face="y",Geo_Conn="f")=TRUE,INPUT!Q118,"---"))</f>
        <v>---</v>
      </c>
      <c r="Q496" s="291" t="str">
        <f t="shared" si="364"/>
        <v>---</v>
      </c>
      <c r="R496" s="441" t="str">
        <f t="shared" si="365"/>
        <v>---</v>
      </c>
    </row>
    <row r="497" spans="1:18">
      <c r="A497" s="438" t="str">
        <f t="shared" ref="A497:B497" si="374">A439</f>
        <v>---</v>
      </c>
      <c r="B497" s="294" t="str">
        <f t="shared" si="374"/>
        <v>---</v>
      </c>
      <c r="C497" s="291" t="str">
        <f t="shared" si="367"/>
        <v>---</v>
      </c>
      <c r="D497" s="291" t="str">
        <f>IF(A497="---","---",IF(Type_Reinf="g","---",INPUT!P119))</f>
        <v>---</v>
      </c>
      <c r="E497" s="441" t="str">
        <f t="shared" si="357"/>
        <v>---</v>
      </c>
      <c r="F497" s="291" t="str">
        <f t="shared" si="358"/>
        <v>---</v>
      </c>
      <c r="G497" s="291" t="str">
        <f>IF(A497="---","---",IF(Type_Reinf="g",(INPUT!M119+INPUT!N119),"---"))</f>
        <v>---</v>
      </c>
      <c r="H497" s="294" t="str">
        <f>IF(A497="---","---",IF(AND(Geo_Face="y",Geo_Conn="f")=TRUE,"---",IF(Type_Reinf="g",phi_Tensile_Combined*G497*INPUT!L119*I186/MAX(RF_D,1.1),"---")))</f>
        <v>---</v>
      </c>
      <c r="I497" s="441" t="str">
        <f t="shared" si="359"/>
        <v>---</v>
      </c>
      <c r="J497" s="291" t="str">
        <f t="shared" si="360"/>
        <v>---</v>
      </c>
      <c r="K497" s="294" t="str">
        <f>IF(A497="---","---",IF(AND(Geo_Face="y",Geo_Conn="f")=TRUE,"---",IF(Type_Reinf="g",IF(Geo_Conn="m",1,0.8)*phi_Tensile_Combined*INPUT!M119*INPUT!L119*I186/MAX(RF_D,1.1),"---")))</f>
        <v>---</v>
      </c>
      <c r="L497" s="441" t="str">
        <f t="shared" si="361"/>
        <v>---</v>
      </c>
      <c r="M497" s="290" t="str">
        <f t="shared" si="362"/>
        <v>---</v>
      </c>
      <c r="N497" s="294" t="str">
        <f>IF(A497="---","---",IF(AND(Geo_Face="y",Geo_Conn="f")=TRUE,"---",IF(Type_Reinf="g",IF(Geo_Conn="m",1,0.8)*phi_Tensile_Combined*INPUT!N119*INPUT!L119*RF_CR*I186/MAX(RF_D,1.1),"---")))</f>
        <v>---</v>
      </c>
      <c r="O497" s="441" t="str">
        <f t="shared" si="363"/>
        <v>---</v>
      </c>
      <c r="P497" s="294" t="str">
        <f>IF(A497="---","---",IF(AND(Geo_Face="y",Geo_Conn="f")=TRUE,INPUT!Q119,"---"))</f>
        <v>---</v>
      </c>
      <c r="Q497" s="291" t="str">
        <f t="shared" si="364"/>
        <v>---</v>
      </c>
      <c r="R497" s="441" t="str">
        <f t="shared" si="365"/>
        <v>---</v>
      </c>
    </row>
    <row r="498" spans="1:18">
      <c r="A498" s="438" t="str">
        <f t="shared" ref="A498:B498" si="375">A440</f>
        <v>---</v>
      </c>
      <c r="B498" s="294" t="str">
        <f t="shared" si="375"/>
        <v>---</v>
      </c>
      <c r="C498" s="291" t="str">
        <f t="shared" si="367"/>
        <v>---</v>
      </c>
      <c r="D498" s="291" t="str">
        <f>IF(A498="---","---",IF(Type_Reinf="g","---",INPUT!P120))</f>
        <v>---</v>
      </c>
      <c r="E498" s="441" t="str">
        <f t="shared" si="357"/>
        <v>---</v>
      </c>
      <c r="F498" s="291" t="str">
        <f t="shared" si="358"/>
        <v>---</v>
      </c>
      <c r="G498" s="291" t="str">
        <f>IF(A498="---","---",IF(Type_Reinf="g",(INPUT!M120+INPUT!N120),"---"))</f>
        <v>---</v>
      </c>
      <c r="H498" s="294" t="str">
        <f>IF(A498="---","---",IF(AND(Geo_Face="y",Geo_Conn="f")=TRUE,"---",IF(Type_Reinf="g",phi_Tensile_Combined*G498*INPUT!L120*I187/MAX(RF_D,1.1),"---")))</f>
        <v>---</v>
      </c>
      <c r="I498" s="441" t="str">
        <f t="shared" si="359"/>
        <v>---</v>
      </c>
      <c r="J498" s="291" t="str">
        <f t="shared" si="360"/>
        <v>---</v>
      </c>
      <c r="K498" s="294" t="str">
        <f>IF(A498="---","---",IF(AND(Geo_Face="y",Geo_Conn="f")=TRUE,"---",IF(Type_Reinf="g",IF(Geo_Conn="m",1,0.8)*phi_Tensile_Combined*INPUT!M120*INPUT!L120*I187/MAX(RF_D,1.1),"---")))</f>
        <v>---</v>
      </c>
      <c r="L498" s="441" t="str">
        <f t="shared" si="361"/>
        <v>---</v>
      </c>
      <c r="M498" s="290" t="str">
        <f t="shared" si="362"/>
        <v>---</v>
      </c>
      <c r="N498" s="294" t="str">
        <f>IF(A498="---","---",IF(AND(Geo_Face="y",Geo_Conn="f")=TRUE,"---",IF(Type_Reinf="g",IF(Geo_Conn="m",1,0.8)*phi_Tensile_Combined*INPUT!N120*INPUT!L120*RF_CR*I187/MAX(RF_D,1.1),"---")))</f>
        <v>---</v>
      </c>
      <c r="O498" s="441" t="str">
        <f t="shared" si="363"/>
        <v>---</v>
      </c>
      <c r="P498" s="294" t="str">
        <f>IF(A498="---","---",IF(AND(Geo_Face="y",Geo_Conn="f")=TRUE,INPUT!Q120,"---"))</f>
        <v>---</v>
      </c>
      <c r="Q498" s="291" t="str">
        <f t="shared" si="364"/>
        <v>---</v>
      </c>
      <c r="R498" s="441" t="str">
        <f t="shared" si="365"/>
        <v>---</v>
      </c>
    </row>
    <row r="499" spans="1:18">
      <c r="A499" s="438" t="str">
        <f t="shared" ref="A499:B499" si="376">A441</f>
        <v>---</v>
      </c>
      <c r="B499" s="294" t="str">
        <f t="shared" si="376"/>
        <v>---</v>
      </c>
      <c r="C499" s="291" t="str">
        <f t="shared" si="367"/>
        <v>---</v>
      </c>
      <c r="D499" s="291" t="str">
        <f>IF(A499="---","---",IF(Type_Reinf="g","---",INPUT!P121))</f>
        <v>---</v>
      </c>
      <c r="E499" s="441" t="str">
        <f t="shared" si="357"/>
        <v>---</v>
      </c>
      <c r="F499" s="291" t="str">
        <f t="shared" si="358"/>
        <v>---</v>
      </c>
      <c r="G499" s="291" t="str">
        <f>IF(A499="---","---",IF(Type_Reinf="g",(INPUT!M121+INPUT!N121),"---"))</f>
        <v>---</v>
      </c>
      <c r="H499" s="294" t="str">
        <f>IF(A499="---","---",IF(AND(Geo_Face="y",Geo_Conn="f")=TRUE,"---",IF(Type_Reinf="g",phi_Tensile_Combined*G499*INPUT!L121*I188/MAX(RF_D,1.1),"---")))</f>
        <v>---</v>
      </c>
      <c r="I499" s="441" t="str">
        <f t="shared" si="359"/>
        <v>---</v>
      </c>
      <c r="J499" s="291" t="str">
        <f t="shared" si="360"/>
        <v>---</v>
      </c>
      <c r="K499" s="294" t="str">
        <f>IF(A499="---","---",IF(AND(Geo_Face="y",Geo_Conn="f")=TRUE,"---",IF(Type_Reinf="g",IF(Geo_Conn="m",1,0.8)*phi_Tensile_Combined*INPUT!M121*INPUT!L121*I188/MAX(RF_D,1.1),"---")))</f>
        <v>---</v>
      </c>
      <c r="L499" s="441" t="str">
        <f t="shared" si="361"/>
        <v>---</v>
      </c>
      <c r="M499" s="290" t="str">
        <f t="shared" si="362"/>
        <v>---</v>
      </c>
      <c r="N499" s="294" t="str">
        <f>IF(A499="---","---",IF(AND(Geo_Face="y",Geo_Conn="f")=TRUE,"---",IF(Type_Reinf="g",IF(Geo_Conn="m",1,0.8)*phi_Tensile_Combined*INPUT!N121*INPUT!L121*RF_CR*I188/MAX(RF_D,1.1),"---")))</f>
        <v>---</v>
      </c>
      <c r="O499" s="441" t="str">
        <f t="shared" si="363"/>
        <v>---</v>
      </c>
      <c r="P499" s="294" t="str">
        <f>IF(A499="---","---",IF(AND(Geo_Face="y",Geo_Conn="f")=TRUE,INPUT!Q121,"---"))</f>
        <v>---</v>
      </c>
      <c r="Q499" s="291" t="str">
        <f t="shared" si="364"/>
        <v>---</v>
      </c>
      <c r="R499" s="441" t="str">
        <f t="shared" si="365"/>
        <v>---</v>
      </c>
    </row>
    <row r="500" spans="1:18">
      <c r="A500" s="438" t="str">
        <f t="shared" ref="A500:B500" si="377">A442</f>
        <v>---</v>
      </c>
      <c r="B500" s="294" t="str">
        <f t="shared" si="377"/>
        <v>---</v>
      </c>
      <c r="C500" s="291" t="str">
        <f t="shared" si="367"/>
        <v>---</v>
      </c>
      <c r="D500" s="291" t="str">
        <f>IF(A500="---","---",IF(Type_Reinf="g","---",INPUT!P122))</f>
        <v>---</v>
      </c>
      <c r="E500" s="441" t="str">
        <f t="shared" si="357"/>
        <v>---</v>
      </c>
      <c r="F500" s="291" t="str">
        <f t="shared" si="358"/>
        <v>---</v>
      </c>
      <c r="G500" s="291" t="str">
        <f>IF(A500="---","---",IF(Type_Reinf="g",(INPUT!M122+INPUT!N122),"---"))</f>
        <v>---</v>
      </c>
      <c r="H500" s="294" t="str">
        <f>IF(A500="---","---",IF(AND(Geo_Face="y",Geo_Conn="f")=TRUE,"---",IF(Type_Reinf="g",phi_Tensile_Combined*G500*INPUT!L122*I189/MAX(RF_D,1.1),"---")))</f>
        <v>---</v>
      </c>
      <c r="I500" s="441" t="str">
        <f t="shared" si="359"/>
        <v>---</v>
      </c>
      <c r="J500" s="291" t="str">
        <f t="shared" si="360"/>
        <v>---</v>
      </c>
      <c r="K500" s="294" t="str">
        <f>IF(A500="---","---",IF(AND(Geo_Face="y",Geo_Conn="f")=TRUE,"---",IF(Type_Reinf="g",IF(Geo_Conn="m",1,0.8)*phi_Tensile_Combined*INPUT!M122*INPUT!L122*I189/MAX(RF_D,1.1),"---")))</f>
        <v>---</v>
      </c>
      <c r="L500" s="441" t="str">
        <f t="shared" si="361"/>
        <v>---</v>
      </c>
      <c r="M500" s="290" t="str">
        <f t="shared" si="362"/>
        <v>---</v>
      </c>
      <c r="N500" s="294" t="str">
        <f>IF(A500="---","---",IF(AND(Geo_Face="y",Geo_Conn="f")=TRUE,"---",IF(Type_Reinf="g",IF(Geo_Conn="m",1,0.8)*phi_Tensile_Combined*INPUT!N122*INPUT!L122*RF_CR*I189/MAX(RF_D,1.1),"---")))</f>
        <v>---</v>
      </c>
      <c r="O500" s="441" t="str">
        <f t="shared" si="363"/>
        <v>---</v>
      </c>
      <c r="P500" s="294" t="str">
        <f>IF(A500="---","---",IF(AND(Geo_Face="y",Geo_Conn="f")=TRUE,INPUT!Q122,"---"))</f>
        <v>---</v>
      </c>
      <c r="Q500" s="291" t="str">
        <f t="shared" si="364"/>
        <v>---</v>
      </c>
      <c r="R500" s="441" t="str">
        <f t="shared" si="365"/>
        <v>---</v>
      </c>
    </row>
    <row r="501" spans="1:18">
      <c r="A501" s="438" t="str">
        <f t="shared" ref="A501:B501" si="378">A443</f>
        <v>---</v>
      </c>
      <c r="B501" s="294" t="str">
        <f t="shared" si="378"/>
        <v>---</v>
      </c>
      <c r="C501" s="291" t="str">
        <f t="shared" si="367"/>
        <v>---</v>
      </c>
      <c r="D501" s="291" t="str">
        <f>IF(A501="---","---",IF(Type_Reinf="g","---",INPUT!P123))</f>
        <v>---</v>
      </c>
      <c r="E501" s="441" t="str">
        <f t="shared" si="357"/>
        <v>---</v>
      </c>
      <c r="F501" s="291" t="str">
        <f t="shared" si="358"/>
        <v>---</v>
      </c>
      <c r="G501" s="291" t="str">
        <f>IF(A501="---","---",IF(Type_Reinf="g",(INPUT!M123+INPUT!N123),"---"))</f>
        <v>---</v>
      </c>
      <c r="H501" s="294" t="str">
        <f>IF(A501="---","---",IF(AND(Geo_Face="y",Geo_Conn="f")=TRUE,"---",IF(Type_Reinf="g",phi_Tensile_Combined*G501*INPUT!L123*I190/MAX(RF_D,1.1),"---")))</f>
        <v>---</v>
      </c>
      <c r="I501" s="441" t="str">
        <f t="shared" si="359"/>
        <v>---</v>
      </c>
      <c r="J501" s="291" t="str">
        <f t="shared" si="360"/>
        <v>---</v>
      </c>
      <c r="K501" s="294" t="str">
        <f>IF(A501="---","---",IF(AND(Geo_Face="y",Geo_Conn="f")=TRUE,"---",IF(Type_Reinf="g",IF(Geo_Conn="m",1,0.8)*phi_Tensile_Combined*INPUT!M123*INPUT!L123*I190/MAX(RF_D,1.1),"---")))</f>
        <v>---</v>
      </c>
      <c r="L501" s="441" t="str">
        <f t="shared" si="361"/>
        <v>---</v>
      </c>
      <c r="M501" s="290" t="str">
        <f t="shared" si="362"/>
        <v>---</v>
      </c>
      <c r="N501" s="294" t="str">
        <f>IF(A501="---","---",IF(AND(Geo_Face="y",Geo_Conn="f")=TRUE,"---",IF(Type_Reinf="g",IF(Geo_Conn="m",1,0.8)*phi_Tensile_Combined*INPUT!N123*INPUT!L123*RF_CR*I190/MAX(RF_D,1.1),"---")))</f>
        <v>---</v>
      </c>
      <c r="O501" s="441" t="str">
        <f t="shared" si="363"/>
        <v>---</v>
      </c>
      <c r="P501" s="294" t="str">
        <f>IF(A501="---","---",IF(AND(Geo_Face="y",Geo_Conn="f")=TRUE,INPUT!Q123,"---"))</f>
        <v>---</v>
      </c>
      <c r="Q501" s="291" t="str">
        <f t="shared" si="364"/>
        <v>---</v>
      </c>
      <c r="R501" s="441" t="str">
        <f t="shared" si="365"/>
        <v>---</v>
      </c>
    </row>
    <row r="502" spans="1:18">
      <c r="A502" s="438" t="str">
        <f t="shared" ref="A502:B502" si="379">A444</f>
        <v>---</v>
      </c>
      <c r="B502" s="294" t="str">
        <f t="shared" si="379"/>
        <v>---</v>
      </c>
      <c r="C502" s="291" t="str">
        <f t="shared" si="367"/>
        <v>---</v>
      </c>
      <c r="D502" s="291" t="str">
        <f>IF(A502="---","---",IF(Type_Reinf="g","---",INPUT!P124))</f>
        <v>---</v>
      </c>
      <c r="E502" s="441" t="str">
        <f t="shared" si="357"/>
        <v>---</v>
      </c>
      <c r="F502" s="291" t="str">
        <f t="shared" si="358"/>
        <v>---</v>
      </c>
      <c r="G502" s="291" t="str">
        <f>IF(A502="---","---",IF(Type_Reinf="g",(INPUT!M124+INPUT!N124),"---"))</f>
        <v>---</v>
      </c>
      <c r="H502" s="294" t="str">
        <f>IF(A502="---","---",IF(AND(Geo_Face="y",Geo_Conn="f")=TRUE,"---",IF(Type_Reinf="g",phi_Tensile_Combined*G502*INPUT!L124*I191/MAX(RF_D,1.1),"---")))</f>
        <v>---</v>
      </c>
      <c r="I502" s="441" t="str">
        <f t="shared" si="359"/>
        <v>---</v>
      </c>
      <c r="J502" s="291" t="str">
        <f t="shared" si="360"/>
        <v>---</v>
      </c>
      <c r="K502" s="294" t="str">
        <f>IF(A502="---","---",IF(AND(Geo_Face="y",Geo_Conn="f")=TRUE,"---",IF(Type_Reinf="g",IF(Geo_Conn="m",1,0.8)*phi_Tensile_Combined*INPUT!M124*INPUT!L124*I191/MAX(RF_D,1.1),"---")))</f>
        <v>---</v>
      </c>
      <c r="L502" s="441" t="str">
        <f t="shared" si="361"/>
        <v>---</v>
      </c>
      <c r="M502" s="290" t="str">
        <f t="shared" si="362"/>
        <v>---</v>
      </c>
      <c r="N502" s="294" t="str">
        <f>IF(A502="---","---",IF(AND(Geo_Face="y",Geo_Conn="f")=TRUE,"---",IF(Type_Reinf="g",IF(Geo_Conn="m",1,0.8)*phi_Tensile_Combined*INPUT!N124*INPUT!L124*RF_CR*I191/MAX(RF_D,1.1),"---")))</f>
        <v>---</v>
      </c>
      <c r="O502" s="441" t="str">
        <f t="shared" si="363"/>
        <v>---</v>
      </c>
      <c r="P502" s="294" t="str">
        <f>IF(A502="---","---",IF(AND(Geo_Face="y",Geo_Conn="f")=TRUE,INPUT!Q124,"---"))</f>
        <v>---</v>
      </c>
      <c r="Q502" s="291" t="str">
        <f t="shared" si="364"/>
        <v>---</v>
      </c>
      <c r="R502" s="441" t="str">
        <f t="shared" si="365"/>
        <v>---</v>
      </c>
    </row>
    <row r="503" spans="1:18">
      <c r="A503" s="438" t="str">
        <f t="shared" ref="A503:B503" si="380">A445</f>
        <v>---</v>
      </c>
      <c r="B503" s="294" t="str">
        <f t="shared" si="380"/>
        <v>---</v>
      </c>
      <c r="C503" s="291" t="str">
        <f t="shared" si="367"/>
        <v>---</v>
      </c>
      <c r="D503" s="291" t="str">
        <f>IF(A503="---","---",IF(Type_Reinf="g","---",INPUT!P125))</f>
        <v>---</v>
      </c>
      <c r="E503" s="441" t="str">
        <f t="shared" si="357"/>
        <v>---</v>
      </c>
      <c r="F503" s="291" t="str">
        <f t="shared" si="358"/>
        <v>---</v>
      </c>
      <c r="G503" s="291" t="str">
        <f>IF(A503="---","---",IF(Type_Reinf="g",(INPUT!M125+INPUT!N125),"---"))</f>
        <v>---</v>
      </c>
      <c r="H503" s="294" t="str">
        <f>IF(A503="---","---",IF(AND(Geo_Face="y",Geo_Conn="f")=TRUE,"---",IF(Type_Reinf="g",phi_Tensile_Combined*G503*INPUT!L125*I192/MAX(RF_D,1.1),"---")))</f>
        <v>---</v>
      </c>
      <c r="I503" s="441" t="str">
        <f t="shared" si="359"/>
        <v>---</v>
      </c>
      <c r="J503" s="291" t="str">
        <f t="shared" si="360"/>
        <v>---</v>
      </c>
      <c r="K503" s="294" t="str">
        <f>IF(A503="---","---",IF(AND(Geo_Face="y",Geo_Conn="f")=TRUE,"---",IF(Type_Reinf="g",IF(Geo_Conn="m",1,0.8)*phi_Tensile_Combined*INPUT!M125*INPUT!L125*I192/MAX(RF_D,1.1),"---")))</f>
        <v>---</v>
      </c>
      <c r="L503" s="441" t="str">
        <f t="shared" si="361"/>
        <v>---</v>
      </c>
      <c r="M503" s="290" t="str">
        <f t="shared" si="362"/>
        <v>---</v>
      </c>
      <c r="N503" s="294" t="str">
        <f>IF(A503="---","---",IF(AND(Geo_Face="y",Geo_Conn="f")=TRUE,"---",IF(Type_Reinf="g",IF(Geo_Conn="m",1,0.8)*phi_Tensile_Combined*INPUT!N125*INPUT!L125*RF_CR*I192/MAX(RF_D,1.1),"---")))</f>
        <v>---</v>
      </c>
      <c r="O503" s="441" t="str">
        <f t="shared" si="363"/>
        <v>---</v>
      </c>
      <c r="P503" s="294" t="str">
        <f>IF(A503="---","---",IF(AND(Geo_Face="y",Geo_Conn="f")=TRUE,INPUT!Q125,"---"))</f>
        <v>---</v>
      </c>
      <c r="Q503" s="291" t="str">
        <f t="shared" si="364"/>
        <v>---</v>
      </c>
      <c r="R503" s="441" t="str">
        <f t="shared" si="365"/>
        <v>---</v>
      </c>
    </row>
    <row r="504" spans="1:18">
      <c r="A504" s="438" t="str">
        <f t="shared" ref="A504:B504" si="381">A446</f>
        <v>---</v>
      </c>
      <c r="B504" s="294" t="str">
        <f t="shared" si="381"/>
        <v>---</v>
      </c>
      <c r="C504" s="291" t="str">
        <f t="shared" si="367"/>
        <v>---</v>
      </c>
      <c r="D504" s="291" t="str">
        <f>IF(A504="---","---",IF(Type_Reinf="g","---",INPUT!P126))</f>
        <v>---</v>
      </c>
      <c r="E504" s="441" t="str">
        <f t="shared" si="357"/>
        <v>---</v>
      </c>
      <c r="F504" s="291" t="str">
        <f t="shared" si="358"/>
        <v>---</v>
      </c>
      <c r="G504" s="291" t="str">
        <f>IF(A504="---","---",IF(Type_Reinf="g",(INPUT!M126+INPUT!N126),"---"))</f>
        <v>---</v>
      </c>
      <c r="H504" s="294" t="str">
        <f>IF(A504="---","---",IF(AND(Geo_Face="y",Geo_Conn="f")=TRUE,"---",IF(Type_Reinf="g",phi_Tensile_Combined*G504*INPUT!L126*I193/MAX(RF_D,1.1),"---")))</f>
        <v>---</v>
      </c>
      <c r="I504" s="441" t="str">
        <f t="shared" si="359"/>
        <v>---</v>
      </c>
      <c r="J504" s="291" t="str">
        <f t="shared" si="360"/>
        <v>---</v>
      </c>
      <c r="K504" s="294" t="str">
        <f>IF(A504="---","---",IF(AND(Geo_Face="y",Geo_Conn="f")=TRUE,"---",IF(Type_Reinf="g",IF(Geo_Conn="m",1,0.8)*phi_Tensile_Combined*INPUT!M126*INPUT!L126*I193/MAX(RF_D,1.1),"---")))</f>
        <v>---</v>
      </c>
      <c r="L504" s="441" t="str">
        <f t="shared" si="361"/>
        <v>---</v>
      </c>
      <c r="M504" s="290" t="str">
        <f t="shared" si="362"/>
        <v>---</v>
      </c>
      <c r="N504" s="294" t="str">
        <f>IF(A504="---","---",IF(AND(Geo_Face="y",Geo_Conn="f")=TRUE,"---",IF(Type_Reinf="g",IF(Geo_Conn="m",1,0.8)*phi_Tensile_Combined*INPUT!N126*INPUT!L126*RF_CR*I193/MAX(RF_D,1.1),"---")))</f>
        <v>---</v>
      </c>
      <c r="O504" s="441" t="str">
        <f t="shared" si="363"/>
        <v>---</v>
      </c>
      <c r="P504" s="294" t="str">
        <f>IF(A504="---","---",IF(AND(Geo_Face="y",Geo_Conn="f")=TRUE,INPUT!Q126,"---"))</f>
        <v>---</v>
      </c>
      <c r="Q504" s="291" t="str">
        <f t="shared" si="364"/>
        <v>---</v>
      </c>
      <c r="R504" s="441" t="str">
        <f t="shared" si="365"/>
        <v>---</v>
      </c>
    </row>
    <row r="505" spans="1:18">
      <c r="A505" s="438" t="str">
        <f t="shared" ref="A505:B505" si="382">A447</f>
        <v>---</v>
      </c>
      <c r="B505" s="294" t="str">
        <f t="shared" si="382"/>
        <v>---</v>
      </c>
      <c r="C505" s="291" t="str">
        <f t="shared" si="367"/>
        <v>---</v>
      </c>
      <c r="D505" s="291" t="str">
        <f>IF(A505="---","---",IF(Type_Reinf="g","---",INPUT!P127))</f>
        <v>---</v>
      </c>
      <c r="E505" s="441" t="str">
        <f t="shared" si="357"/>
        <v>---</v>
      </c>
      <c r="F505" s="291" t="str">
        <f t="shared" si="358"/>
        <v>---</v>
      </c>
      <c r="G505" s="291" t="str">
        <f>IF(A505="---","---",IF(Type_Reinf="g",(INPUT!M127+INPUT!N127),"---"))</f>
        <v>---</v>
      </c>
      <c r="H505" s="294" t="str">
        <f>IF(A505="---","---",IF(AND(Geo_Face="y",Geo_Conn="f")=TRUE,"---",IF(Type_Reinf="g",phi_Tensile_Combined*G505*INPUT!L127*I194/MAX(RF_D,1.1),"---")))</f>
        <v>---</v>
      </c>
      <c r="I505" s="441" t="str">
        <f t="shared" si="359"/>
        <v>---</v>
      </c>
      <c r="J505" s="291" t="str">
        <f t="shared" si="360"/>
        <v>---</v>
      </c>
      <c r="K505" s="294" t="str">
        <f>IF(A505="---","---",IF(AND(Geo_Face="y",Geo_Conn="f")=TRUE,"---",IF(Type_Reinf="g",IF(Geo_Conn="m",1,0.8)*phi_Tensile_Combined*INPUT!M127*INPUT!L127*I194/MAX(RF_D,1.1),"---")))</f>
        <v>---</v>
      </c>
      <c r="L505" s="441" t="str">
        <f t="shared" si="361"/>
        <v>---</v>
      </c>
      <c r="M505" s="290" t="str">
        <f t="shared" si="362"/>
        <v>---</v>
      </c>
      <c r="N505" s="294" t="str">
        <f>IF(A505="---","---",IF(AND(Geo_Face="y",Geo_Conn="f")=TRUE,"---",IF(Type_Reinf="g",IF(Geo_Conn="m",1,0.8)*phi_Tensile_Combined*INPUT!N127*INPUT!L127*RF_CR*I194/MAX(RF_D,1.1),"---")))</f>
        <v>---</v>
      </c>
      <c r="O505" s="441" t="str">
        <f t="shared" si="363"/>
        <v>---</v>
      </c>
      <c r="P505" s="294" t="str">
        <f>IF(A505="---","---",IF(AND(Geo_Face="y",Geo_Conn="f")=TRUE,INPUT!Q127,"---"))</f>
        <v>---</v>
      </c>
      <c r="Q505" s="291" t="str">
        <f t="shared" si="364"/>
        <v>---</v>
      </c>
      <c r="R505" s="441" t="str">
        <f t="shared" si="365"/>
        <v>---</v>
      </c>
    </row>
    <row r="506" spans="1:18">
      <c r="A506" s="438" t="str">
        <f t="shared" ref="A506:B506" si="383">A448</f>
        <v>---</v>
      </c>
      <c r="B506" s="294" t="str">
        <f t="shared" si="383"/>
        <v>---</v>
      </c>
      <c r="C506" s="291" t="str">
        <f t="shared" si="367"/>
        <v>---</v>
      </c>
      <c r="D506" s="291" t="str">
        <f>IF(A506="---","---",IF(Type_Reinf="g","---",INPUT!P128))</f>
        <v>---</v>
      </c>
      <c r="E506" s="441" t="str">
        <f t="shared" si="357"/>
        <v>---</v>
      </c>
      <c r="F506" s="291" t="str">
        <f t="shared" si="358"/>
        <v>---</v>
      </c>
      <c r="G506" s="291" t="str">
        <f>IF(A506="---","---",IF(Type_Reinf="g",(INPUT!M128+INPUT!N128),"---"))</f>
        <v>---</v>
      </c>
      <c r="H506" s="294" t="str">
        <f>IF(A506="---","---",IF(AND(Geo_Face="y",Geo_Conn="f")=TRUE,"---",IF(Type_Reinf="g",phi_Tensile_Combined*G506*INPUT!L128*I195/MAX(RF_D,1.1),"---")))</f>
        <v>---</v>
      </c>
      <c r="I506" s="441" t="str">
        <f t="shared" si="359"/>
        <v>---</v>
      </c>
      <c r="J506" s="291" t="str">
        <f t="shared" si="360"/>
        <v>---</v>
      </c>
      <c r="K506" s="294" t="str">
        <f>IF(A506="---","---",IF(AND(Geo_Face="y",Geo_Conn="f")=TRUE,"---",IF(Type_Reinf="g",IF(Geo_Conn="m",1,0.8)*phi_Tensile_Combined*INPUT!M128*INPUT!L128*I195/MAX(RF_D,1.1),"---")))</f>
        <v>---</v>
      </c>
      <c r="L506" s="441" t="str">
        <f t="shared" si="361"/>
        <v>---</v>
      </c>
      <c r="M506" s="290" t="str">
        <f t="shared" si="362"/>
        <v>---</v>
      </c>
      <c r="N506" s="294" t="str">
        <f>IF(A506="---","---",IF(AND(Geo_Face="y",Geo_Conn="f")=TRUE,"---",IF(Type_Reinf="g",IF(Geo_Conn="m",1,0.8)*phi_Tensile_Combined*INPUT!N128*INPUT!L128*RF_CR*I195/MAX(RF_D,1.1),"---")))</f>
        <v>---</v>
      </c>
      <c r="O506" s="441" t="str">
        <f t="shared" si="363"/>
        <v>---</v>
      </c>
      <c r="P506" s="294" t="str">
        <f>IF(A506="---","---",IF(AND(Geo_Face="y",Geo_Conn="f")=TRUE,INPUT!Q128,"---"))</f>
        <v>---</v>
      </c>
      <c r="Q506" s="291" t="str">
        <f t="shared" si="364"/>
        <v>---</v>
      </c>
      <c r="R506" s="441" t="str">
        <f t="shared" si="365"/>
        <v>---</v>
      </c>
    </row>
    <row r="507" spans="1:18">
      <c r="A507" s="438" t="str">
        <f t="shared" ref="A507:B507" si="384">A449</f>
        <v>---</v>
      </c>
      <c r="B507" s="294" t="str">
        <f t="shared" si="384"/>
        <v>---</v>
      </c>
      <c r="C507" s="291" t="str">
        <f t="shared" si="367"/>
        <v>---</v>
      </c>
      <c r="D507" s="291" t="str">
        <f>IF(A507="---","---",IF(Type_Reinf="g","---",INPUT!P129))</f>
        <v>---</v>
      </c>
      <c r="E507" s="441" t="str">
        <f t="shared" si="357"/>
        <v>---</v>
      </c>
      <c r="F507" s="291" t="str">
        <f t="shared" si="358"/>
        <v>---</v>
      </c>
      <c r="G507" s="291" t="str">
        <f>IF(A507="---","---",IF(Type_Reinf="g",(INPUT!M129+INPUT!N129),"---"))</f>
        <v>---</v>
      </c>
      <c r="H507" s="294" t="str">
        <f>IF(A507="---","---",IF(AND(Geo_Face="y",Geo_Conn="f")=TRUE,"---",IF(Type_Reinf="g",phi_Tensile_Combined*G507*INPUT!L129*I196/MAX(RF_D,1.1),"---")))</f>
        <v>---</v>
      </c>
      <c r="I507" s="441" t="str">
        <f t="shared" si="359"/>
        <v>---</v>
      </c>
      <c r="J507" s="291" t="str">
        <f t="shared" si="360"/>
        <v>---</v>
      </c>
      <c r="K507" s="294" t="str">
        <f>IF(A507="---","---",IF(AND(Geo_Face="y",Geo_Conn="f")=TRUE,"---",IF(Type_Reinf="g",IF(Geo_Conn="m",1,0.8)*phi_Tensile_Combined*INPUT!M129*INPUT!L129*I196/MAX(RF_D,1.1),"---")))</f>
        <v>---</v>
      </c>
      <c r="L507" s="441" t="str">
        <f t="shared" si="361"/>
        <v>---</v>
      </c>
      <c r="M507" s="290" t="str">
        <f t="shared" si="362"/>
        <v>---</v>
      </c>
      <c r="N507" s="294" t="str">
        <f>IF(A507="---","---",IF(AND(Geo_Face="y",Geo_Conn="f")=TRUE,"---",IF(Type_Reinf="g",IF(Geo_Conn="m",1,0.8)*phi_Tensile_Combined*INPUT!N129*INPUT!L129*RF_CR*I196/MAX(RF_D,1.1),"---")))</f>
        <v>---</v>
      </c>
      <c r="O507" s="441" t="str">
        <f t="shared" si="363"/>
        <v>---</v>
      </c>
      <c r="P507" s="294" t="str">
        <f>IF(A507="---","---",IF(AND(Geo_Face="y",Geo_Conn="f")=TRUE,INPUT!Q129,"---"))</f>
        <v>---</v>
      </c>
      <c r="Q507" s="291" t="str">
        <f t="shared" si="364"/>
        <v>---</v>
      </c>
      <c r="R507" s="441" t="str">
        <f t="shared" si="365"/>
        <v>---</v>
      </c>
    </row>
    <row r="508" spans="1:18">
      <c r="A508" s="438" t="str">
        <f t="shared" ref="A508:B508" si="385">A450</f>
        <v>---</v>
      </c>
      <c r="B508" s="294" t="str">
        <f t="shared" si="385"/>
        <v>---</v>
      </c>
      <c r="C508" s="291" t="str">
        <f t="shared" si="367"/>
        <v>---</v>
      </c>
      <c r="D508" s="291" t="str">
        <f>IF(A508="---","---",IF(Type_Reinf="g","---",INPUT!P130))</f>
        <v>---</v>
      </c>
      <c r="E508" s="441" t="str">
        <f t="shared" si="357"/>
        <v>---</v>
      </c>
      <c r="F508" s="291" t="str">
        <f t="shared" si="358"/>
        <v>---</v>
      </c>
      <c r="G508" s="291" t="str">
        <f>IF(A508="---","---",IF(Type_Reinf="g",(INPUT!M130+INPUT!N130),"---"))</f>
        <v>---</v>
      </c>
      <c r="H508" s="294" t="str">
        <f>IF(A508="---","---",IF(AND(Geo_Face="y",Geo_Conn="f")=TRUE,"---",IF(Type_Reinf="g",phi_Tensile_Combined*G508*INPUT!L130*I197/MAX(RF_D,1.1),"---")))</f>
        <v>---</v>
      </c>
      <c r="I508" s="441" t="str">
        <f t="shared" si="359"/>
        <v>---</v>
      </c>
      <c r="J508" s="291" t="str">
        <f t="shared" si="360"/>
        <v>---</v>
      </c>
      <c r="K508" s="294" t="str">
        <f>IF(A508="---","---",IF(AND(Geo_Face="y",Geo_Conn="f")=TRUE,"---",IF(Type_Reinf="g",IF(Geo_Conn="m",1,0.8)*phi_Tensile_Combined*INPUT!M130*INPUT!L130*I197/MAX(RF_D,1.1),"---")))</f>
        <v>---</v>
      </c>
      <c r="L508" s="441" t="str">
        <f t="shared" si="361"/>
        <v>---</v>
      </c>
      <c r="M508" s="290" t="str">
        <f t="shared" si="362"/>
        <v>---</v>
      </c>
      <c r="N508" s="294" t="str">
        <f>IF(A508="---","---",IF(AND(Geo_Face="y",Geo_Conn="f")=TRUE,"---",IF(Type_Reinf="g",IF(Geo_Conn="m",1,0.8)*phi_Tensile_Combined*INPUT!N130*INPUT!L130*RF_CR*I197/MAX(RF_D,1.1),"---")))</f>
        <v>---</v>
      </c>
      <c r="O508" s="441" t="str">
        <f t="shared" si="363"/>
        <v>---</v>
      </c>
      <c r="P508" s="294" t="str">
        <f>IF(A508="---","---",IF(AND(Geo_Face="y",Geo_Conn="f")=TRUE,INPUT!Q130,"---"))</f>
        <v>---</v>
      </c>
      <c r="Q508" s="291" t="str">
        <f t="shared" si="364"/>
        <v>---</v>
      </c>
      <c r="R508" s="441" t="str">
        <f t="shared" si="365"/>
        <v>---</v>
      </c>
    </row>
    <row r="509" spans="1:18">
      <c r="A509" s="438" t="str">
        <f t="shared" ref="A509:B509" si="386">A451</f>
        <v>---</v>
      </c>
      <c r="B509" s="294" t="str">
        <f t="shared" si="386"/>
        <v>---</v>
      </c>
      <c r="C509" s="291" t="str">
        <f t="shared" si="367"/>
        <v>---</v>
      </c>
      <c r="D509" s="291" t="str">
        <f>IF(A509="---","---",IF(Type_Reinf="g","---",INPUT!P131))</f>
        <v>---</v>
      </c>
      <c r="E509" s="441" t="str">
        <f t="shared" si="357"/>
        <v>---</v>
      </c>
      <c r="F509" s="291" t="str">
        <f t="shared" si="358"/>
        <v>---</v>
      </c>
      <c r="G509" s="291" t="str">
        <f>IF(A509="---","---",IF(Type_Reinf="g",(INPUT!M131+INPUT!N131),"---"))</f>
        <v>---</v>
      </c>
      <c r="H509" s="294" t="str">
        <f>IF(A509="---","---",IF(AND(Geo_Face="y",Geo_Conn="f")=TRUE,"---",IF(Type_Reinf="g",phi_Tensile_Combined*G509*INPUT!L131*I198/MAX(RF_D,1.1),"---")))</f>
        <v>---</v>
      </c>
      <c r="I509" s="441" t="str">
        <f t="shared" si="359"/>
        <v>---</v>
      </c>
      <c r="J509" s="291" t="str">
        <f t="shared" si="360"/>
        <v>---</v>
      </c>
      <c r="K509" s="294" t="str">
        <f>IF(A509="---","---",IF(AND(Geo_Face="y",Geo_Conn="f")=TRUE,"---",IF(Type_Reinf="g",IF(Geo_Conn="m",1,0.8)*phi_Tensile_Combined*INPUT!M131*INPUT!L131*I198/MAX(RF_D,1.1),"---")))</f>
        <v>---</v>
      </c>
      <c r="L509" s="441" t="str">
        <f t="shared" si="361"/>
        <v>---</v>
      </c>
      <c r="M509" s="290" t="str">
        <f t="shared" si="362"/>
        <v>---</v>
      </c>
      <c r="N509" s="294" t="str">
        <f>IF(A509="---","---",IF(AND(Geo_Face="y",Geo_Conn="f")=TRUE,"---",IF(Type_Reinf="g",IF(Geo_Conn="m",1,0.8)*phi_Tensile_Combined*INPUT!N131*INPUT!L131*RF_CR*I198/MAX(RF_D,1.1),"---")))</f>
        <v>---</v>
      </c>
      <c r="O509" s="441" t="str">
        <f t="shared" si="363"/>
        <v>---</v>
      </c>
      <c r="P509" s="294" t="str">
        <f>IF(A509="---","---",IF(AND(Geo_Face="y",Geo_Conn="f")=TRUE,INPUT!Q131,"---"))</f>
        <v>---</v>
      </c>
      <c r="Q509" s="291" t="str">
        <f t="shared" si="364"/>
        <v>---</v>
      </c>
      <c r="R509" s="441" t="str">
        <f t="shared" si="365"/>
        <v>---</v>
      </c>
    </row>
    <row r="510" spans="1:18">
      <c r="A510" s="438" t="str">
        <f t="shared" ref="A510:B510" si="387">A452</f>
        <v>---</v>
      </c>
      <c r="B510" s="294" t="str">
        <f t="shared" si="387"/>
        <v>---</v>
      </c>
      <c r="C510" s="291" t="str">
        <f t="shared" si="367"/>
        <v>---</v>
      </c>
      <c r="D510" s="291" t="str">
        <f>IF(A510="---","---",IF(Type_Reinf="g","---",INPUT!P132))</f>
        <v>---</v>
      </c>
      <c r="E510" s="441" t="str">
        <f t="shared" si="357"/>
        <v>---</v>
      </c>
      <c r="F510" s="291" t="str">
        <f t="shared" si="358"/>
        <v>---</v>
      </c>
      <c r="G510" s="291" t="str">
        <f>IF(A510="---","---",IF(Type_Reinf="g",(INPUT!M132+INPUT!N132),"---"))</f>
        <v>---</v>
      </c>
      <c r="H510" s="294" t="str">
        <f>IF(A510="---","---",IF(AND(Geo_Face="y",Geo_Conn="f")=TRUE,"---",IF(Type_Reinf="g",phi_Tensile_Combined*G510*INPUT!L132*I199/MAX(RF_D,1.1),"---")))</f>
        <v>---</v>
      </c>
      <c r="I510" s="441" t="str">
        <f t="shared" si="359"/>
        <v>---</v>
      </c>
      <c r="J510" s="291" t="str">
        <f t="shared" si="360"/>
        <v>---</v>
      </c>
      <c r="K510" s="294" t="str">
        <f>IF(A510="---","---",IF(AND(Geo_Face="y",Geo_Conn="f")=TRUE,"---",IF(Type_Reinf="g",IF(Geo_Conn="m",1,0.8)*phi_Tensile_Combined*INPUT!M132*INPUT!L132*I199/MAX(RF_D,1.1),"---")))</f>
        <v>---</v>
      </c>
      <c r="L510" s="441" t="str">
        <f t="shared" si="361"/>
        <v>---</v>
      </c>
      <c r="M510" s="290" t="str">
        <f t="shared" si="362"/>
        <v>---</v>
      </c>
      <c r="N510" s="294" t="str">
        <f>IF(A510="---","---",IF(AND(Geo_Face="y",Geo_Conn="f")=TRUE,"---",IF(Type_Reinf="g",IF(Geo_Conn="m",1,0.8)*phi_Tensile_Combined*INPUT!N132*INPUT!L132*RF_CR*I199/MAX(RF_D,1.1),"---")))</f>
        <v>---</v>
      </c>
      <c r="O510" s="441" t="str">
        <f t="shared" si="363"/>
        <v>---</v>
      </c>
      <c r="P510" s="294" t="str">
        <f>IF(A510="---","---",IF(AND(Geo_Face="y",Geo_Conn="f")=TRUE,INPUT!Q132,"---"))</f>
        <v>---</v>
      </c>
      <c r="Q510" s="291" t="str">
        <f t="shared" si="364"/>
        <v>---</v>
      </c>
      <c r="R510" s="441" t="str">
        <f t="shared" si="365"/>
        <v>---</v>
      </c>
    </row>
    <row r="511" spans="1:18">
      <c r="A511" s="438" t="str">
        <f t="shared" ref="A511:B511" si="388">A453</f>
        <v>---</v>
      </c>
      <c r="B511" s="294" t="str">
        <f t="shared" si="388"/>
        <v>---</v>
      </c>
      <c r="C511" s="291" t="str">
        <f t="shared" si="367"/>
        <v>---</v>
      </c>
      <c r="D511" s="291" t="str">
        <f>IF(A511="---","---",IF(Type_Reinf="g","---",INPUT!P133))</f>
        <v>---</v>
      </c>
      <c r="E511" s="441" t="str">
        <f t="shared" si="357"/>
        <v>---</v>
      </c>
      <c r="F511" s="291" t="str">
        <f t="shared" si="358"/>
        <v>---</v>
      </c>
      <c r="G511" s="291" t="str">
        <f>IF(A511="---","---",IF(Type_Reinf="g",(INPUT!M133+INPUT!N133),"---"))</f>
        <v>---</v>
      </c>
      <c r="H511" s="294" t="str">
        <f>IF(A511="---","---",IF(AND(Geo_Face="y",Geo_Conn="f")=TRUE,"---",IF(Type_Reinf="g",phi_Tensile_Combined*G511*INPUT!L133*I200/MAX(RF_D,1.1),"---")))</f>
        <v>---</v>
      </c>
      <c r="I511" s="441" t="str">
        <f t="shared" si="359"/>
        <v>---</v>
      </c>
      <c r="J511" s="291" t="str">
        <f t="shared" si="360"/>
        <v>---</v>
      </c>
      <c r="K511" s="294" t="str">
        <f>IF(A511="---","---",IF(AND(Geo_Face="y",Geo_Conn="f")=TRUE,"---",IF(Type_Reinf="g",IF(Geo_Conn="m",1,0.8)*phi_Tensile_Combined*INPUT!M133*INPUT!L133*I200/MAX(RF_D,1.1),"---")))</f>
        <v>---</v>
      </c>
      <c r="L511" s="441" t="str">
        <f t="shared" si="361"/>
        <v>---</v>
      </c>
      <c r="M511" s="290" t="str">
        <f t="shared" si="362"/>
        <v>---</v>
      </c>
      <c r="N511" s="294" t="str">
        <f>IF(A511="---","---",IF(AND(Geo_Face="y",Geo_Conn="f")=TRUE,"---",IF(Type_Reinf="g",IF(Geo_Conn="m",1,0.8)*phi_Tensile_Combined*INPUT!N133*INPUT!L133*RF_CR*I200/MAX(RF_D,1.1),"---")))</f>
        <v>---</v>
      </c>
      <c r="O511" s="441" t="str">
        <f t="shared" si="363"/>
        <v>---</v>
      </c>
      <c r="P511" s="294" t="str">
        <f>IF(A511="---","---",IF(AND(Geo_Face="y",Geo_Conn="f")=TRUE,INPUT!Q133,"---"))</f>
        <v>---</v>
      </c>
      <c r="Q511" s="291" t="str">
        <f t="shared" si="364"/>
        <v>---</v>
      </c>
      <c r="R511" s="441" t="str">
        <f t="shared" si="365"/>
        <v>---</v>
      </c>
    </row>
    <row r="512" spans="1:18">
      <c r="A512" s="438" t="str">
        <f t="shared" ref="A512:B512" si="389">A454</f>
        <v>---</v>
      </c>
      <c r="B512" s="294" t="str">
        <f t="shared" si="389"/>
        <v>---</v>
      </c>
      <c r="C512" s="291" t="str">
        <f t="shared" si="367"/>
        <v>---</v>
      </c>
      <c r="D512" s="291" t="str">
        <f>IF(A512="---","---",IF(Type_Reinf="g","---",INPUT!P134))</f>
        <v>---</v>
      </c>
      <c r="E512" s="441" t="str">
        <f t="shared" si="357"/>
        <v>---</v>
      </c>
      <c r="F512" s="291" t="str">
        <f t="shared" si="358"/>
        <v>---</v>
      </c>
      <c r="G512" s="291" t="str">
        <f>IF(A512="---","---",IF(Type_Reinf="g",(INPUT!M134+INPUT!N134),"---"))</f>
        <v>---</v>
      </c>
      <c r="H512" s="294" t="str">
        <f>IF(A512="---","---",IF(AND(Geo_Face="y",Geo_Conn="f")=TRUE,"---",IF(Type_Reinf="g",phi_Tensile_Combined*G512*INPUT!L134*I201/MAX(RF_D,1.1),"---")))</f>
        <v>---</v>
      </c>
      <c r="I512" s="441" t="str">
        <f t="shared" si="359"/>
        <v>---</v>
      </c>
      <c r="J512" s="291" t="str">
        <f t="shared" si="360"/>
        <v>---</v>
      </c>
      <c r="K512" s="294" t="str">
        <f>IF(A512="---","---",IF(AND(Geo_Face="y",Geo_Conn="f")=TRUE,"---",IF(Type_Reinf="g",IF(Geo_Conn="m",1,0.8)*phi_Tensile_Combined*INPUT!M134*INPUT!L134*I201/MAX(RF_D,1.1),"---")))</f>
        <v>---</v>
      </c>
      <c r="L512" s="441" t="str">
        <f t="shared" si="361"/>
        <v>---</v>
      </c>
      <c r="M512" s="290" t="str">
        <f t="shared" si="362"/>
        <v>---</v>
      </c>
      <c r="N512" s="294" t="str">
        <f>IF(A512="---","---",IF(AND(Geo_Face="y",Geo_Conn="f")=TRUE,"---",IF(Type_Reinf="g",IF(Geo_Conn="m",1,0.8)*phi_Tensile_Combined*INPUT!N134*INPUT!L134*RF_CR*I201/MAX(RF_D,1.1),"---")))</f>
        <v>---</v>
      </c>
      <c r="O512" s="441" t="str">
        <f t="shared" si="363"/>
        <v>---</v>
      </c>
      <c r="P512" s="294" t="str">
        <f>IF(A512="---","---",IF(AND(Geo_Face="y",Geo_Conn="f")=TRUE,INPUT!Q134,"---"))</f>
        <v>---</v>
      </c>
      <c r="Q512" s="291" t="str">
        <f t="shared" si="364"/>
        <v>---</v>
      </c>
      <c r="R512" s="441" t="str">
        <f t="shared" si="365"/>
        <v>---</v>
      </c>
    </row>
    <row r="513" spans="1:18">
      <c r="A513" s="438" t="str">
        <f t="shared" ref="A513:B513" si="390">A455</f>
        <v>---</v>
      </c>
      <c r="B513" s="294" t="str">
        <f t="shared" si="390"/>
        <v>---</v>
      </c>
      <c r="C513" s="291" t="str">
        <f t="shared" si="367"/>
        <v>---</v>
      </c>
      <c r="D513" s="291" t="str">
        <f>IF(A513="---","---",IF(Type_Reinf="g","---",INPUT!P135))</f>
        <v>---</v>
      </c>
      <c r="E513" s="441" t="str">
        <f t="shared" si="357"/>
        <v>---</v>
      </c>
      <c r="F513" s="291" t="str">
        <f t="shared" si="358"/>
        <v>---</v>
      </c>
      <c r="G513" s="291" t="str">
        <f>IF(A513="---","---",IF(Type_Reinf="g",(INPUT!M135+INPUT!N135),"---"))</f>
        <v>---</v>
      </c>
      <c r="H513" s="294" t="str">
        <f>IF(A513="---","---",IF(AND(Geo_Face="y",Geo_Conn="f")=TRUE,"---",IF(Type_Reinf="g",phi_Tensile_Combined*G513*INPUT!L135*I202/MAX(RF_D,1.1),"---")))</f>
        <v>---</v>
      </c>
      <c r="I513" s="441" t="str">
        <f t="shared" si="359"/>
        <v>---</v>
      </c>
      <c r="J513" s="291" t="str">
        <f t="shared" si="360"/>
        <v>---</v>
      </c>
      <c r="K513" s="294" t="str">
        <f>IF(A513="---","---",IF(AND(Geo_Face="y",Geo_Conn="f")=TRUE,"---",IF(Type_Reinf="g",IF(Geo_Conn="m",1,0.8)*phi_Tensile_Combined*INPUT!M135*INPUT!L135*I202/MAX(RF_D,1.1),"---")))</f>
        <v>---</v>
      </c>
      <c r="L513" s="441" t="str">
        <f t="shared" si="361"/>
        <v>---</v>
      </c>
      <c r="M513" s="290" t="str">
        <f t="shared" si="362"/>
        <v>---</v>
      </c>
      <c r="N513" s="294" t="str">
        <f>IF(A513="---","---",IF(AND(Geo_Face="y",Geo_Conn="f")=TRUE,"---",IF(Type_Reinf="g",IF(Geo_Conn="m",1,0.8)*phi_Tensile_Combined*INPUT!N135*INPUT!L135*RF_CR*I202/MAX(RF_D,1.1),"---")))</f>
        <v>---</v>
      </c>
      <c r="O513" s="441" t="str">
        <f t="shared" si="363"/>
        <v>---</v>
      </c>
      <c r="P513" s="294" t="str">
        <f>IF(A513="---","---",IF(AND(Geo_Face="y",Geo_Conn="f")=TRUE,INPUT!Q135,"---"))</f>
        <v>---</v>
      </c>
      <c r="Q513" s="291" t="str">
        <f t="shared" si="364"/>
        <v>---</v>
      </c>
      <c r="R513" s="441" t="str">
        <f t="shared" si="365"/>
        <v>---</v>
      </c>
    </row>
    <row r="514" spans="1:18">
      <c r="A514" s="438" t="str">
        <f t="shared" ref="A514:B514" si="391">A456</f>
        <v>---</v>
      </c>
      <c r="B514" s="294" t="str">
        <f t="shared" si="391"/>
        <v>---</v>
      </c>
      <c r="C514" s="291" t="str">
        <f t="shared" si="367"/>
        <v>---</v>
      </c>
      <c r="D514" s="291" t="str">
        <f>IF(A514="---","---",IF(Type_Reinf="g","---",INPUT!P136))</f>
        <v>---</v>
      </c>
      <c r="E514" s="441" t="str">
        <f t="shared" si="357"/>
        <v>---</v>
      </c>
      <c r="F514" s="291" t="str">
        <f t="shared" si="358"/>
        <v>---</v>
      </c>
      <c r="G514" s="291" t="str">
        <f>IF(A514="---","---",IF(Type_Reinf="g",(INPUT!M136+INPUT!N136),"---"))</f>
        <v>---</v>
      </c>
      <c r="H514" s="294" t="str">
        <f>IF(A514="---","---",IF(AND(Geo_Face="y",Geo_Conn="f")=TRUE,"---",IF(Type_Reinf="g",phi_Tensile_Combined*G514*INPUT!L136*I203/MAX(RF_D,1.1),"---")))</f>
        <v>---</v>
      </c>
      <c r="I514" s="441" t="str">
        <f t="shared" si="359"/>
        <v>---</v>
      </c>
      <c r="J514" s="291" t="str">
        <f t="shared" si="360"/>
        <v>---</v>
      </c>
      <c r="K514" s="294" t="str">
        <f>IF(A514="---","---",IF(AND(Geo_Face="y",Geo_Conn="f")=TRUE,"---",IF(Type_Reinf="g",IF(Geo_Conn="m",1,0.8)*phi_Tensile_Combined*INPUT!M136*INPUT!L136*I203/MAX(RF_D,1.1),"---")))</f>
        <v>---</v>
      </c>
      <c r="L514" s="441" t="str">
        <f t="shared" si="361"/>
        <v>---</v>
      </c>
      <c r="M514" s="290" t="str">
        <f t="shared" si="362"/>
        <v>---</v>
      </c>
      <c r="N514" s="294" t="str">
        <f>IF(A514="---","---",IF(AND(Geo_Face="y",Geo_Conn="f")=TRUE,"---",IF(Type_Reinf="g",IF(Geo_Conn="m",1,0.8)*phi_Tensile_Combined*INPUT!N136*INPUT!L136*RF_CR*I203/MAX(RF_D,1.1),"---")))</f>
        <v>---</v>
      </c>
      <c r="O514" s="441" t="str">
        <f t="shared" si="363"/>
        <v>---</v>
      </c>
      <c r="P514" s="294" t="str">
        <f>IF(A514="---","---",IF(AND(Geo_Face="y",Geo_Conn="f")=TRUE,INPUT!Q136,"---"))</f>
        <v>---</v>
      </c>
      <c r="Q514" s="291" t="str">
        <f t="shared" si="364"/>
        <v>---</v>
      </c>
      <c r="R514" s="441" t="str">
        <f t="shared" si="365"/>
        <v>---</v>
      </c>
    </row>
    <row r="515" spans="1:18">
      <c r="A515" s="438" t="str">
        <f t="shared" ref="A515:B515" si="392">A457</f>
        <v>---</v>
      </c>
      <c r="B515" s="294" t="str">
        <f t="shared" si="392"/>
        <v>---</v>
      </c>
      <c r="C515" s="291" t="str">
        <f t="shared" si="367"/>
        <v>---</v>
      </c>
      <c r="D515" s="291" t="str">
        <f>IF(A515="---","---",IF(Type_Reinf="g","---",INPUT!P137))</f>
        <v>---</v>
      </c>
      <c r="E515" s="441" t="str">
        <f t="shared" si="357"/>
        <v>---</v>
      </c>
      <c r="F515" s="291" t="str">
        <f t="shared" si="358"/>
        <v>---</v>
      </c>
      <c r="G515" s="291" t="str">
        <f>IF(A515="---","---",IF(Type_Reinf="g",(INPUT!M137+INPUT!N137),"---"))</f>
        <v>---</v>
      </c>
      <c r="H515" s="294" t="str">
        <f>IF(A515="---","---",IF(AND(Geo_Face="y",Geo_Conn="f")=TRUE,"---",IF(Type_Reinf="g",phi_Tensile_Combined*G515*INPUT!L137*I204/MAX(RF_D,1.1),"---")))</f>
        <v>---</v>
      </c>
      <c r="I515" s="441" t="str">
        <f t="shared" si="359"/>
        <v>---</v>
      </c>
      <c r="J515" s="291" t="str">
        <f t="shared" si="360"/>
        <v>---</v>
      </c>
      <c r="K515" s="294" t="str">
        <f>IF(A515="---","---",IF(AND(Geo_Face="y",Geo_Conn="f")=TRUE,"---",IF(Type_Reinf="g",IF(Geo_Conn="m",1,0.8)*phi_Tensile_Combined*INPUT!M137*INPUT!L137*I204/MAX(RF_D,1.1),"---")))</f>
        <v>---</v>
      </c>
      <c r="L515" s="441" t="str">
        <f t="shared" si="361"/>
        <v>---</v>
      </c>
      <c r="M515" s="290" t="str">
        <f t="shared" si="362"/>
        <v>---</v>
      </c>
      <c r="N515" s="294" t="str">
        <f>IF(A515="---","---",IF(AND(Geo_Face="y",Geo_Conn="f")=TRUE,"---",IF(Type_Reinf="g",IF(Geo_Conn="m",1,0.8)*phi_Tensile_Combined*INPUT!N137*INPUT!L137*RF_CR*I204/MAX(RF_D,1.1),"---")))</f>
        <v>---</v>
      </c>
      <c r="O515" s="441" t="str">
        <f t="shared" si="363"/>
        <v>---</v>
      </c>
      <c r="P515" s="294" t="str">
        <f>IF(A515="---","---",IF(AND(Geo_Face="y",Geo_Conn="f")=TRUE,INPUT!Q137,"---"))</f>
        <v>---</v>
      </c>
      <c r="Q515" s="291" t="str">
        <f t="shared" si="364"/>
        <v>---</v>
      </c>
      <c r="R515" s="441" t="str">
        <f t="shared" si="365"/>
        <v>---</v>
      </c>
    </row>
    <row r="516" spans="1:18">
      <c r="A516" s="438" t="str">
        <f t="shared" ref="A516:B516" si="393">A458</f>
        <v>---</v>
      </c>
      <c r="B516" s="294" t="str">
        <f t="shared" si="393"/>
        <v>---</v>
      </c>
      <c r="C516" s="291" t="str">
        <f t="shared" si="367"/>
        <v>---</v>
      </c>
      <c r="D516" s="291" t="str">
        <f>IF(A516="---","---",IF(Type_Reinf="g","---",INPUT!P138))</f>
        <v>---</v>
      </c>
      <c r="E516" s="441" t="str">
        <f t="shared" si="357"/>
        <v>---</v>
      </c>
      <c r="F516" s="291" t="str">
        <f t="shared" si="358"/>
        <v>---</v>
      </c>
      <c r="G516" s="291" t="str">
        <f>IF(A516="---","---",IF(Type_Reinf="g",(INPUT!M138+INPUT!N138),"---"))</f>
        <v>---</v>
      </c>
      <c r="H516" s="294" t="str">
        <f>IF(A516="---","---",IF(AND(Geo_Face="y",Geo_Conn="f")=TRUE,"---",IF(Type_Reinf="g",phi_Tensile_Combined*G516*INPUT!L138*I205/MAX(RF_D,1.1),"---")))</f>
        <v>---</v>
      </c>
      <c r="I516" s="441" t="str">
        <f t="shared" si="359"/>
        <v>---</v>
      </c>
      <c r="J516" s="291" t="str">
        <f t="shared" si="360"/>
        <v>---</v>
      </c>
      <c r="K516" s="294" t="str">
        <f>IF(A516="---","---",IF(AND(Geo_Face="y",Geo_Conn="f")=TRUE,"---",IF(Type_Reinf="g",IF(Geo_Conn="m",1,0.8)*phi_Tensile_Combined*INPUT!M138*INPUT!L138*I205/MAX(RF_D,1.1),"---")))</f>
        <v>---</v>
      </c>
      <c r="L516" s="441" t="str">
        <f t="shared" si="361"/>
        <v>---</v>
      </c>
      <c r="M516" s="290" t="str">
        <f t="shared" si="362"/>
        <v>---</v>
      </c>
      <c r="N516" s="294" t="str">
        <f>IF(A516="---","---",IF(AND(Geo_Face="y",Geo_Conn="f")=TRUE,"---",IF(Type_Reinf="g",IF(Geo_Conn="m",1,0.8)*phi_Tensile_Combined*INPUT!N138*INPUT!L138*RF_CR*I205/MAX(RF_D,1.1),"---")))</f>
        <v>---</v>
      </c>
      <c r="O516" s="441" t="str">
        <f t="shared" si="363"/>
        <v>---</v>
      </c>
      <c r="P516" s="294" t="str">
        <f>IF(A516="---","---",IF(AND(Geo_Face="y",Geo_Conn="f")=TRUE,INPUT!Q138,"---"))</f>
        <v>---</v>
      </c>
      <c r="Q516" s="291" t="str">
        <f t="shared" si="364"/>
        <v>---</v>
      </c>
      <c r="R516" s="441" t="str">
        <f t="shared" si="365"/>
        <v>---</v>
      </c>
    </row>
    <row r="517" spans="1:18">
      <c r="A517" s="438" t="str">
        <f t="shared" ref="A517:B517" si="394">A459</f>
        <v>---</v>
      </c>
      <c r="B517" s="294" t="str">
        <f t="shared" si="394"/>
        <v>---</v>
      </c>
      <c r="C517" s="291" t="str">
        <f t="shared" si="367"/>
        <v>---</v>
      </c>
      <c r="D517" s="291" t="str">
        <f>IF(A517="---","---",IF(Type_Reinf="g","---",INPUT!P139))</f>
        <v>---</v>
      </c>
      <c r="E517" s="441" t="str">
        <f t="shared" si="357"/>
        <v>---</v>
      </c>
      <c r="F517" s="291" t="str">
        <f t="shared" si="358"/>
        <v>---</v>
      </c>
      <c r="G517" s="291" t="str">
        <f>IF(A517="---","---",IF(Type_Reinf="g",(INPUT!M139+INPUT!N139),"---"))</f>
        <v>---</v>
      </c>
      <c r="H517" s="294" t="str">
        <f>IF(A517="---","---",IF(AND(Geo_Face="y",Geo_Conn="f")=TRUE,"---",IF(Type_Reinf="g",phi_Tensile_Combined*G517*INPUT!L139*I206/MAX(RF_D,1.1),"---")))</f>
        <v>---</v>
      </c>
      <c r="I517" s="441" t="str">
        <f t="shared" si="359"/>
        <v>---</v>
      </c>
      <c r="J517" s="291" t="str">
        <f t="shared" si="360"/>
        <v>---</v>
      </c>
      <c r="K517" s="294" t="str">
        <f>IF(A517="---","---",IF(AND(Geo_Face="y",Geo_Conn="f")=TRUE,"---",IF(Type_Reinf="g",IF(Geo_Conn="m",1,0.8)*phi_Tensile_Combined*INPUT!M139*INPUT!L139*I206/MAX(RF_D,1.1),"---")))</f>
        <v>---</v>
      </c>
      <c r="L517" s="441" t="str">
        <f t="shared" si="361"/>
        <v>---</v>
      </c>
      <c r="M517" s="290" t="str">
        <f t="shared" si="362"/>
        <v>---</v>
      </c>
      <c r="N517" s="294" t="str">
        <f>IF(A517="---","---",IF(AND(Geo_Face="y",Geo_Conn="f")=TRUE,"---",IF(Type_Reinf="g",IF(Geo_Conn="m",1,0.8)*phi_Tensile_Combined*INPUT!N139*INPUT!L139*RF_CR*I206/MAX(RF_D,1.1),"---")))</f>
        <v>---</v>
      </c>
      <c r="O517" s="441" t="str">
        <f t="shared" si="363"/>
        <v>---</v>
      </c>
      <c r="P517" s="294" t="str">
        <f>IF(A517="---","---",IF(AND(Geo_Face="y",Geo_Conn="f")=TRUE,INPUT!Q139,"---"))</f>
        <v>---</v>
      </c>
      <c r="Q517" s="291" t="str">
        <f t="shared" si="364"/>
        <v>---</v>
      </c>
      <c r="R517" s="441" t="str">
        <f t="shared" si="365"/>
        <v>---</v>
      </c>
    </row>
    <row r="518" spans="1:18">
      <c r="A518" s="438" t="str">
        <f t="shared" ref="A518:B518" si="395">A460</f>
        <v>---</v>
      </c>
      <c r="B518" s="294" t="str">
        <f t="shared" si="395"/>
        <v>---</v>
      </c>
      <c r="C518" s="291" t="str">
        <f t="shared" si="367"/>
        <v>---</v>
      </c>
      <c r="D518" s="291" t="str">
        <f>IF(A518="---","---",IF(Type_Reinf="g","---",INPUT!P140))</f>
        <v>---</v>
      </c>
      <c r="E518" s="441" t="str">
        <f t="shared" si="357"/>
        <v>---</v>
      </c>
      <c r="F518" s="291" t="str">
        <f t="shared" si="358"/>
        <v>---</v>
      </c>
      <c r="G518" s="291" t="str">
        <f>IF(A518="---","---",IF(Type_Reinf="g",(INPUT!M140+INPUT!N140),"---"))</f>
        <v>---</v>
      </c>
      <c r="H518" s="294" t="str">
        <f>IF(A518="---","---",IF(AND(Geo_Face="y",Geo_Conn="f")=TRUE,"---",IF(Type_Reinf="g",phi_Tensile_Combined*G518*INPUT!L140*I207/MAX(RF_D,1.1),"---")))</f>
        <v>---</v>
      </c>
      <c r="I518" s="441" t="str">
        <f t="shared" si="359"/>
        <v>---</v>
      </c>
      <c r="J518" s="291" t="str">
        <f t="shared" si="360"/>
        <v>---</v>
      </c>
      <c r="K518" s="294" t="str">
        <f>IF(A518="---","---",IF(AND(Geo_Face="y",Geo_Conn="f")=TRUE,"---",IF(Type_Reinf="g",IF(Geo_Conn="m",1,0.8)*phi_Tensile_Combined*INPUT!M140*INPUT!L140*I207/MAX(RF_D,1.1),"---")))</f>
        <v>---</v>
      </c>
      <c r="L518" s="441" t="str">
        <f t="shared" si="361"/>
        <v>---</v>
      </c>
      <c r="M518" s="290" t="str">
        <f t="shared" si="362"/>
        <v>---</v>
      </c>
      <c r="N518" s="294" t="str">
        <f>IF(A518="---","---",IF(AND(Geo_Face="y",Geo_Conn="f")=TRUE,"---",IF(Type_Reinf="g",IF(Geo_Conn="m",1,0.8)*phi_Tensile_Combined*INPUT!N140*INPUT!L140*RF_CR*I207/MAX(RF_D,1.1),"---")))</f>
        <v>---</v>
      </c>
      <c r="O518" s="441" t="str">
        <f t="shared" si="363"/>
        <v>---</v>
      </c>
      <c r="P518" s="294" t="str">
        <f>IF(A518="---","---",IF(AND(Geo_Face="y",Geo_Conn="f")=TRUE,INPUT!Q140,"---"))</f>
        <v>---</v>
      </c>
      <c r="Q518" s="291" t="str">
        <f t="shared" si="364"/>
        <v>---</v>
      </c>
      <c r="R518" s="441" t="str">
        <f t="shared" si="365"/>
        <v>---</v>
      </c>
    </row>
    <row r="519" spans="1:18">
      <c r="A519" s="438" t="str">
        <f t="shared" ref="A519:B519" si="396">A461</f>
        <v>---</v>
      </c>
      <c r="B519" s="294" t="str">
        <f t="shared" si="396"/>
        <v>---</v>
      </c>
      <c r="C519" s="291" t="str">
        <f t="shared" si="367"/>
        <v>---</v>
      </c>
      <c r="D519" s="291" t="str">
        <f>IF(A519="---","---",IF(Type_Reinf="g","---",INPUT!P141))</f>
        <v>---</v>
      </c>
      <c r="E519" s="441" t="str">
        <f t="shared" si="357"/>
        <v>---</v>
      </c>
      <c r="F519" s="291" t="str">
        <f t="shared" si="358"/>
        <v>---</v>
      </c>
      <c r="G519" s="291" t="str">
        <f>IF(A519="---","---",IF(Type_Reinf="g",(INPUT!M141+INPUT!N141),"---"))</f>
        <v>---</v>
      </c>
      <c r="H519" s="294" t="str">
        <f>IF(A519="---","---",IF(AND(Geo_Face="y",Geo_Conn="f")=TRUE,"---",IF(Type_Reinf="g",phi_Tensile_Combined*G519*INPUT!L141*I208/MAX(RF_D,1.1),"---")))</f>
        <v>---</v>
      </c>
      <c r="I519" s="441" t="str">
        <f t="shared" si="359"/>
        <v>---</v>
      </c>
      <c r="J519" s="291" t="str">
        <f t="shared" si="360"/>
        <v>---</v>
      </c>
      <c r="K519" s="294" t="str">
        <f>IF(A519="---","---",IF(AND(Geo_Face="y",Geo_Conn="f")=TRUE,"---",IF(Type_Reinf="g",IF(Geo_Conn="m",1,0.8)*phi_Tensile_Combined*INPUT!M141*INPUT!L141*I208/MAX(RF_D,1.1),"---")))</f>
        <v>---</v>
      </c>
      <c r="L519" s="441" t="str">
        <f t="shared" si="361"/>
        <v>---</v>
      </c>
      <c r="M519" s="290" t="str">
        <f t="shared" si="362"/>
        <v>---</v>
      </c>
      <c r="N519" s="294" t="str">
        <f>IF(A519="---","---",IF(AND(Geo_Face="y",Geo_Conn="f")=TRUE,"---",IF(Type_Reinf="g",IF(Geo_Conn="m",1,0.8)*phi_Tensile_Combined*INPUT!N141*INPUT!L141*RF_CR*I208/MAX(RF_D,1.1),"---")))</f>
        <v>---</v>
      </c>
      <c r="O519" s="441" t="str">
        <f t="shared" si="363"/>
        <v>---</v>
      </c>
      <c r="P519" s="294" t="str">
        <f>IF(A519="---","---",IF(AND(Geo_Face="y",Geo_Conn="f")=TRUE,INPUT!Q141,"---"))</f>
        <v>---</v>
      </c>
      <c r="Q519" s="291" t="str">
        <f t="shared" si="364"/>
        <v>---</v>
      </c>
      <c r="R519" s="441" t="str">
        <f t="shared" si="365"/>
        <v>---</v>
      </c>
    </row>
    <row r="520" spans="1:18">
      <c r="A520" s="438" t="str">
        <f t="shared" ref="A520:B520" si="397">A462</f>
        <v>---</v>
      </c>
      <c r="B520" s="294" t="str">
        <f t="shared" si="397"/>
        <v>---</v>
      </c>
      <c r="C520" s="291" t="str">
        <f t="shared" si="367"/>
        <v>---</v>
      </c>
      <c r="D520" s="291" t="str">
        <f>IF(A520="---","---",IF(Type_Reinf="g","---",INPUT!P142))</f>
        <v>---</v>
      </c>
      <c r="E520" s="441" t="str">
        <f t="shared" si="357"/>
        <v>---</v>
      </c>
      <c r="F520" s="291" t="str">
        <f t="shared" si="358"/>
        <v>---</v>
      </c>
      <c r="G520" s="291" t="str">
        <f>IF(A520="---","---",IF(Type_Reinf="g",(INPUT!M142+INPUT!N142),"---"))</f>
        <v>---</v>
      </c>
      <c r="H520" s="294" t="str">
        <f>IF(A520="---","---",IF(AND(Geo_Face="y",Geo_Conn="f")=TRUE,"---",IF(Type_Reinf="g",phi_Tensile_Combined*G520*INPUT!L142*I209/MAX(RF_D,1.1),"---")))</f>
        <v>---</v>
      </c>
      <c r="I520" s="441" t="str">
        <f t="shared" si="359"/>
        <v>---</v>
      </c>
      <c r="J520" s="291" t="str">
        <f t="shared" si="360"/>
        <v>---</v>
      </c>
      <c r="K520" s="294" t="str">
        <f>IF(A520="---","---",IF(AND(Geo_Face="y",Geo_Conn="f")=TRUE,"---",IF(Type_Reinf="g",IF(Geo_Conn="m",1,0.8)*phi_Tensile_Combined*INPUT!M142*INPUT!L142*I209/MAX(RF_D,1.1),"---")))</f>
        <v>---</v>
      </c>
      <c r="L520" s="441" t="str">
        <f t="shared" si="361"/>
        <v>---</v>
      </c>
      <c r="M520" s="290" t="str">
        <f t="shared" si="362"/>
        <v>---</v>
      </c>
      <c r="N520" s="294" t="str">
        <f>IF(A520="---","---",IF(AND(Geo_Face="y",Geo_Conn="f")=TRUE,"---",IF(Type_Reinf="g",IF(Geo_Conn="m",1,0.8)*phi_Tensile_Combined*INPUT!N142*INPUT!L142*RF_CR*I209/MAX(RF_D,1.1),"---")))</f>
        <v>---</v>
      </c>
      <c r="O520" s="441" t="str">
        <f t="shared" si="363"/>
        <v>---</v>
      </c>
      <c r="P520" s="294" t="str">
        <f>IF(A520="---","---",IF(AND(Geo_Face="y",Geo_Conn="f")=TRUE,INPUT!Q142,"---"))</f>
        <v>---</v>
      </c>
      <c r="Q520" s="291" t="str">
        <f t="shared" si="364"/>
        <v>---</v>
      </c>
      <c r="R520" s="441" t="str">
        <f t="shared" si="365"/>
        <v>---</v>
      </c>
    </row>
    <row r="521" spans="1:18">
      <c r="A521" s="438" t="str">
        <f t="shared" ref="A521:B521" si="398">A463</f>
        <v>---</v>
      </c>
      <c r="B521" s="294" t="str">
        <f t="shared" si="398"/>
        <v>---</v>
      </c>
      <c r="C521" s="291" t="str">
        <f t="shared" si="367"/>
        <v>---</v>
      </c>
      <c r="D521" s="291" t="str">
        <f>IF(A521="---","---",IF(Type_Reinf="g","---",INPUT!P143))</f>
        <v>---</v>
      </c>
      <c r="E521" s="441" t="str">
        <f t="shared" ref="E521:E538" si="399">IF(A521="---","---",IF(Type_Reinf="g","---",IF(D521&gt;=C521,"OK","NG!")))</f>
        <v>---</v>
      </c>
      <c r="F521" s="291" t="str">
        <f t="shared" ref="F521:F538" si="400">F463</f>
        <v>---</v>
      </c>
      <c r="G521" s="291" t="str">
        <f>IF(A521="---","---",IF(Type_Reinf="g",(INPUT!M143+INPUT!N143),"---"))</f>
        <v>---</v>
      </c>
      <c r="H521" s="294" t="str">
        <f>IF(A521="---","---",IF(AND(Geo_Face="y",Geo_Conn="f")=TRUE,"---",IF(Type_Reinf="g",phi_Tensile_Combined*G521*INPUT!L143*I210/MAX(RF_D,1.1),"---")))</f>
        <v>---</v>
      </c>
      <c r="I521" s="441" t="str">
        <f t="shared" ref="I521:I538" si="401">IF(A521="---","---",IF(AND(Geo_Face="y",Geo_Conn="f")=TRUE,"---",IF(Type_Reinf="g",IF(H521&gt;=F521,"OK","NG"),"---")))</f>
        <v>---</v>
      </c>
      <c r="J521" s="291" t="str">
        <f t="shared" ref="J521:J538" si="402">E463</f>
        <v>---</v>
      </c>
      <c r="K521" s="294" t="str">
        <f>IF(A521="---","---",IF(AND(Geo_Face="y",Geo_Conn="f")=TRUE,"---",IF(Type_Reinf="g",IF(Geo_Conn="m",1,0.8)*phi_Tensile_Combined*INPUT!M143*INPUT!L143*I210/MAX(RF_D,1.1),"---")))</f>
        <v>---</v>
      </c>
      <c r="L521" s="441" t="str">
        <f t="shared" ref="L521:L538" si="403">IF(A521="---","---",IF(AND(Geo_Face="y",Geo_Conn="f")=TRUE,"---",IF(Type_Reinf="g",IF(K521&gt;J521,"OK","NG!"),"---")))</f>
        <v>---</v>
      </c>
      <c r="M521" s="290" t="str">
        <f t="shared" ref="M521:M538" si="404">C463</f>
        <v>---</v>
      </c>
      <c r="N521" s="294" t="str">
        <f>IF(A521="---","---",IF(AND(Geo_Face="y",Geo_Conn="f")=TRUE,"---",IF(Type_Reinf="g",IF(Geo_Conn="m",1,0.8)*phi_Tensile_Combined*INPUT!N143*INPUT!L143*RF_CR*I210/MAX(RF_D,1.1),"---")))</f>
        <v>---</v>
      </c>
      <c r="O521" s="441" t="str">
        <f t="shared" ref="O521:O538" si="405">IF(A521="---","---",IF(AND(Geo_Face="y",Geo_Conn="f")=TRUE,"---",IF(Type_Reinf="g",IF(N521&gt;M521,"OK","NG"),"---")))</f>
        <v>---</v>
      </c>
      <c r="P521" s="294" t="str">
        <f>IF(A521="---","---",IF(AND(Geo_Face="y",Geo_Conn="f")=TRUE,INPUT!Q143,"---"))</f>
        <v>---</v>
      </c>
      <c r="Q521" s="291" t="str">
        <f t="shared" ref="Q521:Q538" si="406">IF(A521="---","---",IF(AND(Geo_Face="y",Geo_Conn="f")=TRUE,MAX(3,($N463/(phi_Pullout_Combined*0.8*$Q399*$D$362*K463*C_surf_geo*$I210))/2),"---"))</f>
        <v>---</v>
      </c>
      <c r="R521" s="441" t="str">
        <f t="shared" ref="R521:R538" si="407">IF(A521="---","---",IF(AND(Geo_Face="y",Geo_Conn="f")=TRUE,IF(P521&lt;Q521,"NG!","OK"),"---"))</f>
        <v>---</v>
      </c>
    </row>
    <row r="522" spans="1:18">
      <c r="A522" s="438" t="str">
        <f t="shared" ref="A522:B522" si="408">A464</f>
        <v>---</v>
      </c>
      <c r="B522" s="294" t="str">
        <f t="shared" si="408"/>
        <v>---</v>
      </c>
      <c r="C522" s="291" t="str">
        <f t="shared" si="367"/>
        <v>---</v>
      </c>
      <c r="D522" s="291" t="str">
        <f>IF(A522="---","---",IF(Type_Reinf="g","---",INPUT!P144))</f>
        <v>---</v>
      </c>
      <c r="E522" s="441" t="str">
        <f t="shared" si="399"/>
        <v>---</v>
      </c>
      <c r="F522" s="291" t="str">
        <f t="shared" si="400"/>
        <v>---</v>
      </c>
      <c r="G522" s="291" t="str">
        <f>IF(A522="---","---",IF(Type_Reinf="g",(INPUT!M144+INPUT!N144),"---"))</f>
        <v>---</v>
      </c>
      <c r="H522" s="294" t="str">
        <f>IF(A522="---","---",IF(AND(Geo_Face="y",Geo_Conn="f")=TRUE,"---",IF(Type_Reinf="g",phi_Tensile_Combined*G522*INPUT!L144*I211/MAX(RF_D,1.1),"---")))</f>
        <v>---</v>
      </c>
      <c r="I522" s="441" t="str">
        <f t="shared" si="401"/>
        <v>---</v>
      </c>
      <c r="J522" s="291" t="str">
        <f t="shared" si="402"/>
        <v>---</v>
      </c>
      <c r="K522" s="294" t="str">
        <f>IF(A522="---","---",IF(AND(Geo_Face="y",Geo_Conn="f")=TRUE,"---",IF(Type_Reinf="g",IF(Geo_Conn="m",1,0.8)*phi_Tensile_Combined*INPUT!M144*INPUT!L144*I211/MAX(RF_D,1.1),"---")))</f>
        <v>---</v>
      </c>
      <c r="L522" s="441" t="str">
        <f t="shared" si="403"/>
        <v>---</v>
      </c>
      <c r="M522" s="290" t="str">
        <f t="shared" si="404"/>
        <v>---</v>
      </c>
      <c r="N522" s="294" t="str">
        <f>IF(A522="---","---",IF(AND(Geo_Face="y",Geo_Conn="f")=TRUE,"---",IF(Type_Reinf="g",IF(Geo_Conn="m",1,0.8)*phi_Tensile_Combined*INPUT!N144*INPUT!L144*RF_CR*I211/MAX(RF_D,1.1),"---")))</f>
        <v>---</v>
      </c>
      <c r="O522" s="441" t="str">
        <f t="shared" si="405"/>
        <v>---</v>
      </c>
      <c r="P522" s="294" t="str">
        <f>IF(A522="---","---",IF(AND(Geo_Face="y",Geo_Conn="f")=TRUE,INPUT!Q144,"---"))</f>
        <v>---</v>
      </c>
      <c r="Q522" s="291" t="str">
        <f t="shared" si="406"/>
        <v>---</v>
      </c>
      <c r="R522" s="441" t="str">
        <f t="shared" si="407"/>
        <v>---</v>
      </c>
    </row>
    <row r="523" spans="1:18">
      <c r="A523" s="438" t="str">
        <f t="shared" ref="A523:B523" si="409">A465</f>
        <v>---</v>
      </c>
      <c r="B523" s="294" t="str">
        <f t="shared" si="409"/>
        <v>---</v>
      </c>
      <c r="C523" s="291" t="str">
        <f t="shared" si="367"/>
        <v>---</v>
      </c>
      <c r="D523" s="291" t="str">
        <f>IF(A523="---","---",IF(Type_Reinf="g","---",INPUT!P145))</f>
        <v>---</v>
      </c>
      <c r="E523" s="441" t="str">
        <f t="shared" si="399"/>
        <v>---</v>
      </c>
      <c r="F523" s="291" t="str">
        <f t="shared" si="400"/>
        <v>---</v>
      </c>
      <c r="G523" s="291" t="str">
        <f>IF(A523="---","---",IF(Type_Reinf="g",(INPUT!M145+INPUT!N145),"---"))</f>
        <v>---</v>
      </c>
      <c r="H523" s="294" t="str">
        <f>IF(A523="---","---",IF(AND(Geo_Face="y",Geo_Conn="f")=TRUE,"---",IF(Type_Reinf="g",phi_Tensile_Combined*G523*INPUT!L145*I212/MAX(RF_D,1.1),"---")))</f>
        <v>---</v>
      </c>
      <c r="I523" s="441" t="str">
        <f t="shared" si="401"/>
        <v>---</v>
      </c>
      <c r="J523" s="291" t="str">
        <f t="shared" si="402"/>
        <v>---</v>
      </c>
      <c r="K523" s="294" t="str">
        <f>IF(A523="---","---",IF(AND(Geo_Face="y",Geo_Conn="f")=TRUE,"---",IF(Type_Reinf="g",IF(Geo_Conn="m",1,0.8)*phi_Tensile_Combined*INPUT!M145*INPUT!L145*I212/MAX(RF_D,1.1),"---")))</f>
        <v>---</v>
      </c>
      <c r="L523" s="441" t="str">
        <f t="shared" si="403"/>
        <v>---</v>
      </c>
      <c r="M523" s="290" t="str">
        <f t="shared" si="404"/>
        <v>---</v>
      </c>
      <c r="N523" s="294" t="str">
        <f>IF(A523="---","---",IF(AND(Geo_Face="y",Geo_Conn="f")=TRUE,"---",IF(Type_Reinf="g",IF(Geo_Conn="m",1,0.8)*phi_Tensile_Combined*INPUT!N145*INPUT!L145*RF_CR*I212/MAX(RF_D,1.1),"---")))</f>
        <v>---</v>
      </c>
      <c r="O523" s="441" t="str">
        <f t="shared" si="405"/>
        <v>---</v>
      </c>
      <c r="P523" s="294" t="str">
        <f>IF(A523="---","---",IF(AND(Geo_Face="y",Geo_Conn="f")=TRUE,INPUT!Q145,"---"))</f>
        <v>---</v>
      </c>
      <c r="Q523" s="291" t="str">
        <f t="shared" si="406"/>
        <v>---</v>
      </c>
      <c r="R523" s="441" t="str">
        <f t="shared" si="407"/>
        <v>---</v>
      </c>
    </row>
    <row r="524" spans="1:18">
      <c r="A524" s="438" t="str">
        <f t="shared" ref="A524:B524" si="410">A466</f>
        <v>---</v>
      </c>
      <c r="B524" s="294" t="str">
        <f t="shared" si="410"/>
        <v>---</v>
      </c>
      <c r="C524" s="291" t="str">
        <f t="shared" si="367"/>
        <v>---</v>
      </c>
      <c r="D524" s="291" t="str">
        <f>IF(A524="---","---",IF(Type_Reinf="g","---",INPUT!P146))</f>
        <v>---</v>
      </c>
      <c r="E524" s="441" t="str">
        <f t="shared" si="399"/>
        <v>---</v>
      </c>
      <c r="F524" s="291" t="str">
        <f t="shared" si="400"/>
        <v>---</v>
      </c>
      <c r="G524" s="291" t="str">
        <f>IF(A524="---","---",IF(Type_Reinf="g",(INPUT!M146+INPUT!N146),"---"))</f>
        <v>---</v>
      </c>
      <c r="H524" s="294" t="str">
        <f>IF(A524="---","---",IF(AND(Geo_Face="y",Geo_Conn="f")=TRUE,"---",IF(Type_Reinf="g",phi_Tensile_Combined*G524*INPUT!L146*I213/MAX(RF_D,1.1),"---")))</f>
        <v>---</v>
      </c>
      <c r="I524" s="441" t="str">
        <f t="shared" si="401"/>
        <v>---</v>
      </c>
      <c r="J524" s="291" t="str">
        <f t="shared" si="402"/>
        <v>---</v>
      </c>
      <c r="K524" s="294" t="str">
        <f>IF(A524="---","---",IF(AND(Geo_Face="y",Geo_Conn="f")=TRUE,"---",IF(Type_Reinf="g",IF(Geo_Conn="m",1,0.8)*phi_Tensile_Combined*INPUT!M146*INPUT!L146*I213/MAX(RF_D,1.1),"---")))</f>
        <v>---</v>
      </c>
      <c r="L524" s="441" t="str">
        <f t="shared" si="403"/>
        <v>---</v>
      </c>
      <c r="M524" s="290" t="str">
        <f t="shared" si="404"/>
        <v>---</v>
      </c>
      <c r="N524" s="294" t="str">
        <f>IF(A524="---","---",IF(AND(Geo_Face="y",Geo_Conn="f")=TRUE,"---",IF(Type_Reinf="g",IF(Geo_Conn="m",1,0.8)*phi_Tensile_Combined*INPUT!N146*INPUT!L146*RF_CR*I213/MAX(RF_D,1.1),"---")))</f>
        <v>---</v>
      </c>
      <c r="O524" s="441" t="str">
        <f t="shared" si="405"/>
        <v>---</v>
      </c>
      <c r="P524" s="294" t="str">
        <f>IF(A524="---","---",IF(AND(Geo_Face="y",Geo_Conn="f")=TRUE,INPUT!Q146,"---"))</f>
        <v>---</v>
      </c>
      <c r="Q524" s="291" t="str">
        <f t="shared" si="406"/>
        <v>---</v>
      </c>
      <c r="R524" s="441" t="str">
        <f t="shared" si="407"/>
        <v>---</v>
      </c>
    </row>
    <row r="525" spans="1:18">
      <c r="A525" s="438" t="str">
        <f t="shared" ref="A525:B525" si="411">A467</f>
        <v>---</v>
      </c>
      <c r="B525" s="294" t="str">
        <f t="shared" si="411"/>
        <v>---</v>
      </c>
      <c r="C525" s="291" t="str">
        <f t="shared" si="367"/>
        <v>---</v>
      </c>
      <c r="D525" s="291" t="str">
        <f>IF(A525="---","---",IF(Type_Reinf="g","---",INPUT!P147))</f>
        <v>---</v>
      </c>
      <c r="E525" s="441" t="str">
        <f t="shared" si="399"/>
        <v>---</v>
      </c>
      <c r="F525" s="291" t="str">
        <f t="shared" si="400"/>
        <v>---</v>
      </c>
      <c r="G525" s="291" t="str">
        <f>IF(A525="---","---",IF(Type_Reinf="g",(INPUT!M147+INPUT!N147),"---"))</f>
        <v>---</v>
      </c>
      <c r="H525" s="294" t="str">
        <f>IF(A525="---","---",IF(AND(Geo_Face="y",Geo_Conn="f")=TRUE,"---",IF(Type_Reinf="g",phi_Tensile_Combined*G525*INPUT!L147*I214/MAX(RF_D,1.1),"---")))</f>
        <v>---</v>
      </c>
      <c r="I525" s="441" t="str">
        <f t="shared" si="401"/>
        <v>---</v>
      </c>
      <c r="J525" s="291" t="str">
        <f t="shared" si="402"/>
        <v>---</v>
      </c>
      <c r="K525" s="294" t="str">
        <f>IF(A525="---","---",IF(AND(Geo_Face="y",Geo_Conn="f")=TRUE,"---",IF(Type_Reinf="g",IF(Geo_Conn="m",1,0.8)*phi_Tensile_Combined*INPUT!M147*INPUT!L147*I214/MAX(RF_D,1.1),"---")))</f>
        <v>---</v>
      </c>
      <c r="L525" s="441" t="str">
        <f t="shared" si="403"/>
        <v>---</v>
      </c>
      <c r="M525" s="290" t="str">
        <f t="shared" si="404"/>
        <v>---</v>
      </c>
      <c r="N525" s="294" t="str">
        <f>IF(A525="---","---",IF(AND(Geo_Face="y",Geo_Conn="f")=TRUE,"---",IF(Type_Reinf="g",IF(Geo_Conn="m",1,0.8)*phi_Tensile_Combined*INPUT!N147*INPUT!L147*RF_CR*I214/MAX(RF_D,1.1),"---")))</f>
        <v>---</v>
      </c>
      <c r="O525" s="441" t="str">
        <f t="shared" si="405"/>
        <v>---</v>
      </c>
      <c r="P525" s="294" t="str">
        <f>IF(A525="---","---",IF(AND(Geo_Face="y",Geo_Conn="f")=TRUE,INPUT!Q147,"---"))</f>
        <v>---</v>
      </c>
      <c r="Q525" s="291" t="str">
        <f t="shared" si="406"/>
        <v>---</v>
      </c>
      <c r="R525" s="441" t="str">
        <f t="shared" si="407"/>
        <v>---</v>
      </c>
    </row>
    <row r="526" spans="1:18">
      <c r="A526" s="438" t="str">
        <f t="shared" ref="A526:B526" si="412">A468</f>
        <v>---</v>
      </c>
      <c r="B526" s="294" t="str">
        <f t="shared" si="412"/>
        <v>---</v>
      </c>
      <c r="C526" s="291" t="str">
        <f t="shared" si="367"/>
        <v>---</v>
      </c>
      <c r="D526" s="291" t="str">
        <f>IF(A526="---","---",IF(Type_Reinf="g","---",INPUT!P148))</f>
        <v>---</v>
      </c>
      <c r="E526" s="441" t="str">
        <f t="shared" si="399"/>
        <v>---</v>
      </c>
      <c r="F526" s="291" t="str">
        <f t="shared" si="400"/>
        <v>---</v>
      </c>
      <c r="G526" s="291" t="str">
        <f>IF(A526="---","---",IF(Type_Reinf="g",(INPUT!M148+INPUT!N148),"---"))</f>
        <v>---</v>
      </c>
      <c r="H526" s="294" t="str">
        <f>IF(A526="---","---",IF(AND(Geo_Face="y",Geo_Conn="f")=TRUE,"---",IF(Type_Reinf="g",phi_Tensile_Combined*G526*INPUT!L148*I215/MAX(RF_D,1.1),"---")))</f>
        <v>---</v>
      </c>
      <c r="I526" s="441" t="str">
        <f t="shared" si="401"/>
        <v>---</v>
      </c>
      <c r="J526" s="291" t="str">
        <f t="shared" si="402"/>
        <v>---</v>
      </c>
      <c r="K526" s="294" t="str">
        <f>IF(A526="---","---",IF(AND(Geo_Face="y",Geo_Conn="f")=TRUE,"---",IF(Type_Reinf="g",IF(Geo_Conn="m",1,0.8)*phi_Tensile_Combined*INPUT!M148*INPUT!L148*I215/MAX(RF_D,1.1),"---")))</f>
        <v>---</v>
      </c>
      <c r="L526" s="441" t="str">
        <f t="shared" si="403"/>
        <v>---</v>
      </c>
      <c r="M526" s="290" t="str">
        <f t="shared" si="404"/>
        <v>---</v>
      </c>
      <c r="N526" s="294" t="str">
        <f>IF(A526="---","---",IF(AND(Geo_Face="y",Geo_Conn="f")=TRUE,"---",IF(Type_Reinf="g",IF(Geo_Conn="m",1,0.8)*phi_Tensile_Combined*INPUT!N148*INPUT!L148*RF_CR*I215/MAX(RF_D,1.1),"---")))</f>
        <v>---</v>
      </c>
      <c r="O526" s="441" t="str">
        <f t="shared" si="405"/>
        <v>---</v>
      </c>
      <c r="P526" s="294" t="str">
        <f>IF(A526="---","---",IF(AND(Geo_Face="y",Geo_Conn="f")=TRUE,INPUT!Q148,"---"))</f>
        <v>---</v>
      </c>
      <c r="Q526" s="291" t="str">
        <f t="shared" si="406"/>
        <v>---</v>
      </c>
      <c r="R526" s="441" t="str">
        <f t="shared" si="407"/>
        <v>---</v>
      </c>
    </row>
    <row r="527" spans="1:18">
      <c r="A527" s="438" t="str">
        <f t="shared" ref="A527:B527" si="413">A469</f>
        <v>---</v>
      </c>
      <c r="B527" s="294" t="str">
        <f t="shared" si="413"/>
        <v>---</v>
      </c>
      <c r="C527" s="291" t="str">
        <f t="shared" si="367"/>
        <v>---</v>
      </c>
      <c r="D527" s="291" t="str">
        <f>IF(A527="---","---",IF(Type_Reinf="g","---",INPUT!P149))</f>
        <v>---</v>
      </c>
      <c r="E527" s="441" t="str">
        <f t="shared" si="399"/>
        <v>---</v>
      </c>
      <c r="F527" s="291" t="str">
        <f t="shared" si="400"/>
        <v>---</v>
      </c>
      <c r="G527" s="291" t="str">
        <f>IF(A527="---","---",IF(Type_Reinf="g",(INPUT!M149+INPUT!N149),"---"))</f>
        <v>---</v>
      </c>
      <c r="H527" s="294" t="str">
        <f>IF(A527="---","---",IF(AND(Geo_Face="y",Geo_Conn="f")=TRUE,"---",IF(Type_Reinf="g",phi_Tensile_Combined*G527*INPUT!L149*I216/MAX(RF_D,1.1),"---")))</f>
        <v>---</v>
      </c>
      <c r="I527" s="441" t="str">
        <f t="shared" si="401"/>
        <v>---</v>
      </c>
      <c r="J527" s="291" t="str">
        <f t="shared" si="402"/>
        <v>---</v>
      </c>
      <c r="K527" s="294" t="str">
        <f>IF(A527="---","---",IF(AND(Geo_Face="y",Geo_Conn="f")=TRUE,"---",IF(Type_Reinf="g",IF(Geo_Conn="m",1,0.8)*phi_Tensile_Combined*INPUT!M149*INPUT!L149*I216/MAX(RF_D,1.1),"---")))</f>
        <v>---</v>
      </c>
      <c r="L527" s="441" t="str">
        <f t="shared" si="403"/>
        <v>---</v>
      </c>
      <c r="M527" s="290" t="str">
        <f t="shared" si="404"/>
        <v>---</v>
      </c>
      <c r="N527" s="294" t="str">
        <f>IF(A527="---","---",IF(AND(Geo_Face="y",Geo_Conn="f")=TRUE,"---",IF(Type_Reinf="g",IF(Geo_Conn="m",1,0.8)*phi_Tensile_Combined*INPUT!N149*INPUT!L149*RF_CR*I216/MAX(RF_D,1.1),"---")))</f>
        <v>---</v>
      </c>
      <c r="O527" s="441" t="str">
        <f t="shared" si="405"/>
        <v>---</v>
      </c>
      <c r="P527" s="294" t="str">
        <f>IF(A527="---","---",IF(AND(Geo_Face="y",Geo_Conn="f")=TRUE,INPUT!Q149,"---"))</f>
        <v>---</v>
      </c>
      <c r="Q527" s="291" t="str">
        <f t="shared" si="406"/>
        <v>---</v>
      </c>
      <c r="R527" s="441" t="str">
        <f t="shared" si="407"/>
        <v>---</v>
      </c>
    </row>
    <row r="528" spans="1:18">
      <c r="A528" s="438" t="str">
        <f t="shared" ref="A528:B528" si="414">A470</f>
        <v>---</v>
      </c>
      <c r="B528" s="294" t="str">
        <f t="shared" si="414"/>
        <v>---</v>
      </c>
      <c r="C528" s="291" t="str">
        <f t="shared" si="367"/>
        <v>---</v>
      </c>
      <c r="D528" s="291" t="str">
        <f>IF(A528="---","---",IF(Type_Reinf="g","---",INPUT!P150))</f>
        <v>---</v>
      </c>
      <c r="E528" s="441" t="str">
        <f t="shared" si="399"/>
        <v>---</v>
      </c>
      <c r="F528" s="291" t="str">
        <f t="shared" si="400"/>
        <v>---</v>
      </c>
      <c r="G528" s="291" t="str">
        <f>IF(A528="---","---",IF(Type_Reinf="g",(INPUT!M150+INPUT!N150),"---"))</f>
        <v>---</v>
      </c>
      <c r="H528" s="294" t="str">
        <f>IF(A528="---","---",IF(AND(Geo_Face="y",Geo_Conn="f")=TRUE,"---",IF(Type_Reinf="g",phi_Tensile_Combined*G528*INPUT!L150*I217/MAX(RF_D,1.1),"---")))</f>
        <v>---</v>
      </c>
      <c r="I528" s="441" t="str">
        <f t="shared" si="401"/>
        <v>---</v>
      </c>
      <c r="J528" s="291" t="str">
        <f t="shared" si="402"/>
        <v>---</v>
      </c>
      <c r="K528" s="294" t="str">
        <f>IF(A528="---","---",IF(AND(Geo_Face="y",Geo_Conn="f")=TRUE,"---",IF(Type_Reinf="g",IF(Geo_Conn="m",1,0.8)*phi_Tensile_Combined*INPUT!M150*INPUT!L150*I217/MAX(RF_D,1.1),"---")))</f>
        <v>---</v>
      </c>
      <c r="L528" s="441" t="str">
        <f t="shared" si="403"/>
        <v>---</v>
      </c>
      <c r="M528" s="290" t="str">
        <f t="shared" si="404"/>
        <v>---</v>
      </c>
      <c r="N528" s="294" t="str">
        <f>IF(A528="---","---",IF(AND(Geo_Face="y",Geo_Conn="f")=TRUE,"---",IF(Type_Reinf="g",IF(Geo_Conn="m",1,0.8)*phi_Tensile_Combined*INPUT!N150*INPUT!L150*RF_CR*I217/MAX(RF_D,1.1),"---")))</f>
        <v>---</v>
      </c>
      <c r="O528" s="441" t="str">
        <f t="shared" si="405"/>
        <v>---</v>
      </c>
      <c r="P528" s="294" t="str">
        <f>IF(A528="---","---",IF(AND(Geo_Face="y",Geo_Conn="f")=TRUE,INPUT!Q150,"---"))</f>
        <v>---</v>
      </c>
      <c r="Q528" s="291" t="str">
        <f t="shared" si="406"/>
        <v>---</v>
      </c>
      <c r="R528" s="441" t="str">
        <f t="shared" si="407"/>
        <v>---</v>
      </c>
    </row>
    <row r="529" spans="1:18">
      <c r="A529" s="438" t="str">
        <f t="shared" ref="A529:B529" si="415">A471</f>
        <v>---</v>
      </c>
      <c r="B529" s="294" t="str">
        <f t="shared" si="415"/>
        <v>---</v>
      </c>
      <c r="C529" s="291" t="str">
        <f t="shared" si="367"/>
        <v>---</v>
      </c>
      <c r="D529" s="291" t="str">
        <f>IF(A529="---","---",IF(Type_Reinf="g","---",INPUT!P151))</f>
        <v>---</v>
      </c>
      <c r="E529" s="441" t="str">
        <f t="shared" si="399"/>
        <v>---</v>
      </c>
      <c r="F529" s="291" t="str">
        <f t="shared" si="400"/>
        <v>---</v>
      </c>
      <c r="G529" s="291" t="str">
        <f>IF(A529="---","---",IF(Type_Reinf="g",(INPUT!M151+INPUT!N151),"---"))</f>
        <v>---</v>
      </c>
      <c r="H529" s="294" t="str">
        <f>IF(A529="---","---",IF(AND(Geo_Face="y",Geo_Conn="f")=TRUE,"---",IF(Type_Reinf="g",phi_Tensile_Combined*G529*INPUT!L151*I218/MAX(RF_D,1.1),"---")))</f>
        <v>---</v>
      </c>
      <c r="I529" s="441" t="str">
        <f t="shared" si="401"/>
        <v>---</v>
      </c>
      <c r="J529" s="291" t="str">
        <f t="shared" si="402"/>
        <v>---</v>
      </c>
      <c r="K529" s="294" t="str">
        <f>IF(A529="---","---",IF(AND(Geo_Face="y",Geo_Conn="f")=TRUE,"---",IF(Type_Reinf="g",IF(Geo_Conn="m",1,0.8)*phi_Tensile_Combined*INPUT!M151*INPUT!L151*I218/MAX(RF_D,1.1),"---")))</f>
        <v>---</v>
      </c>
      <c r="L529" s="441" t="str">
        <f t="shared" si="403"/>
        <v>---</v>
      </c>
      <c r="M529" s="290" t="str">
        <f t="shared" si="404"/>
        <v>---</v>
      </c>
      <c r="N529" s="294" t="str">
        <f>IF(A529="---","---",IF(AND(Geo_Face="y",Geo_Conn="f")=TRUE,"---",IF(Type_Reinf="g",IF(Geo_Conn="m",1,0.8)*phi_Tensile_Combined*INPUT!N151*INPUT!L151*RF_CR*I218/MAX(RF_D,1.1),"---")))</f>
        <v>---</v>
      </c>
      <c r="O529" s="441" t="str">
        <f t="shared" si="405"/>
        <v>---</v>
      </c>
      <c r="P529" s="294" t="str">
        <f>IF(A529="---","---",IF(AND(Geo_Face="y",Geo_Conn="f")=TRUE,INPUT!Q151,"---"))</f>
        <v>---</v>
      </c>
      <c r="Q529" s="291" t="str">
        <f t="shared" si="406"/>
        <v>---</v>
      </c>
      <c r="R529" s="441" t="str">
        <f t="shared" si="407"/>
        <v>---</v>
      </c>
    </row>
    <row r="530" spans="1:18">
      <c r="A530" s="438" t="str">
        <f t="shared" ref="A530:B530" si="416">A472</f>
        <v>---</v>
      </c>
      <c r="B530" s="294" t="str">
        <f t="shared" si="416"/>
        <v>---</v>
      </c>
      <c r="C530" s="291" t="str">
        <f t="shared" si="367"/>
        <v>---</v>
      </c>
      <c r="D530" s="291" t="str">
        <f>IF(A530="---","---",IF(Type_Reinf="g","---",INPUT!P152))</f>
        <v>---</v>
      </c>
      <c r="E530" s="441" t="str">
        <f t="shared" si="399"/>
        <v>---</v>
      </c>
      <c r="F530" s="291" t="str">
        <f t="shared" si="400"/>
        <v>---</v>
      </c>
      <c r="G530" s="291" t="str">
        <f>IF(A530="---","---",IF(Type_Reinf="g",(INPUT!M152+INPUT!N152),"---"))</f>
        <v>---</v>
      </c>
      <c r="H530" s="294" t="str">
        <f>IF(A530="---","---",IF(AND(Geo_Face="y",Geo_Conn="f")=TRUE,"---",IF(Type_Reinf="g",phi_Tensile_Combined*G530*INPUT!L152*I219/MAX(RF_D,1.1),"---")))</f>
        <v>---</v>
      </c>
      <c r="I530" s="441" t="str">
        <f t="shared" si="401"/>
        <v>---</v>
      </c>
      <c r="J530" s="291" t="str">
        <f t="shared" si="402"/>
        <v>---</v>
      </c>
      <c r="K530" s="294" t="str">
        <f>IF(A530="---","---",IF(AND(Geo_Face="y",Geo_Conn="f")=TRUE,"---",IF(Type_Reinf="g",IF(Geo_Conn="m",1,0.8)*phi_Tensile_Combined*INPUT!M152*INPUT!L152*I219/MAX(RF_D,1.1),"---")))</f>
        <v>---</v>
      </c>
      <c r="L530" s="441" t="str">
        <f t="shared" si="403"/>
        <v>---</v>
      </c>
      <c r="M530" s="290" t="str">
        <f t="shared" si="404"/>
        <v>---</v>
      </c>
      <c r="N530" s="294" t="str">
        <f>IF(A530="---","---",IF(AND(Geo_Face="y",Geo_Conn="f")=TRUE,"---",IF(Type_Reinf="g",IF(Geo_Conn="m",1,0.8)*phi_Tensile_Combined*INPUT!N152*INPUT!L152*RF_CR*I219/MAX(RF_D,1.1),"---")))</f>
        <v>---</v>
      </c>
      <c r="O530" s="441" t="str">
        <f t="shared" si="405"/>
        <v>---</v>
      </c>
      <c r="P530" s="294" t="str">
        <f>IF(A530="---","---",IF(AND(Geo_Face="y",Geo_Conn="f")=TRUE,INPUT!Q152,"---"))</f>
        <v>---</v>
      </c>
      <c r="Q530" s="291" t="str">
        <f t="shared" si="406"/>
        <v>---</v>
      </c>
      <c r="R530" s="441" t="str">
        <f t="shared" si="407"/>
        <v>---</v>
      </c>
    </row>
    <row r="531" spans="1:18">
      <c r="A531" s="438" t="str">
        <f t="shared" ref="A531:B531" si="417">A473</f>
        <v>---</v>
      </c>
      <c r="B531" s="294" t="str">
        <f t="shared" si="417"/>
        <v>---</v>
      </c>
      <c r="C531" s="291" t="str">
        <f t="shared" si="367"/>
        <v>---</v>
      </c>
      <c r="D531" s="291" t="str">
        <f>IF(A531="---","---",IF(Type_Reinf="g","---",INPUT!P153))</f>
        <v>---</v>
      </c>
      <c r="E531" s="441" t="str">
        <f t="shared" si="399"/>
        <v>---</v>
      </c>
      <c r="F531" s="291" t="str">
        <f t="shared" si="400"/>
        <v>---</v>
      </c>
      <c r="G531" s="291" t="str">
        <f>IF(A531="---","---",IF(Type_Reinf="g",(INPUT!M153+INPUT!N153),"---"))</f>
        <v>---</v>
      </c>
      <c r="H531" s="294" t="str">
        <f>IF(A531="---","---",IF(AND(Geo_Face="y",Geo_Conn="f")=TRUE,"---",IF(Type_Reinf="g",phi_Tensile_Combined*G531*INPUT!L153*I220/MAX(RF_D,1.1),"---")))</f>
        <v>---</v>
      </c>
      <c r="I531" s="441" t="str">
        <f t="shared" si="401"/>
        <v>---</v>
      </c>
      <c r="J531" s="291" t="str">
        <f t="shared" si="402"/>
        <v>---</v>
      </c>
      <c r="K531" s="294" t="str">
        <f>IF(A531="---","---",IF(AND(Geo_Face="y",Geo_Conn="f")=TRUE,"---",IF(Type_Reinf="g",IF(Geo_Conn="m",1,0.8)*phi_Tensile_Combined*INPUT!M153*INPUT!L153*I220/MAX(RF_D,1.1),"---")))</f>
        <v>---</v>
      </c>
      <c r="L531" s="441" t="str">
        <f t="shared" si="403"/>
        <v>---</v>
      </c>
      <c r="M531" s="290" t="str">
        <f t="shared" si="404"/>
        <v>---</v>
      </c>
      <c r="N531" s="294" t="str">
        <f>IF(A531="---","---",IF(AND(Geo_Face="y",Geo_Conn="f")=TRUE,"---",IF(Type_Reinf="g",IF(Geo_Conn="m",1,0.8)*phi_Tensile_Combined*INPUT!N153*INPUT!L153*RF_CR*I220/MAX(RF_D,1.1),"---")))</f>
        <v>---</v>
      </c>
      <c r="O531" s="441" t="str">
        <f t="shared" si="405"/>
        <v>---</v>
      </c>
      <c r="P531" s="294" t="str">
        <f>IF(A531="---","---",IF(AND(Geo_Face="y",Geo_Conn="f")=TRUE,INPUT!Q153,"---"))</f>
        <v>---</v>
      </c>
      <c r="Q531" s="291" t="str">
        <f t="shared" si="406"/>
        <v>---</v>
      </c>
      <c r="R531" s="441" t="str">
        <f t="shared" si="407"/>
        <v>---</v>
      </c>
    </row>
    <row r="532" spans="1:18">
      <c r="A532" s="438" t="str">
        <f t="shared" ref="A532:B532" si="418">A474</f>
        <v>---</v>
      </c>
      <c r="B532" s="294" t="str">
        <f t="shared" si="418"/>
        <v>---</v>
      </c>
      <c r="C532" s="291" t="str">
        <f t="shared" si="367"/>
        <v>---</v>
      </c>
      <c r="D532" s="291" t="str">
        <f>IF(A532="---","---",IF(Type_Reinf="g","---",INPUT!P154))</f>
        <v>---</v>
      </c>
      <c r="E532" s="441" t="str">
        <f t="shared" si="399"/>
        <v>---</v>
      </c>
      <c r="F532" s="291" t="str">
        <f t="shared" si="400"/>
        <v>---</v>
      </c>
      <c r="G532" s="291" t="str">
        <f>IF(A532="---","---",IF(Type_Reinf="g",(INPUT!M154+INPUT!N154),"---"))</f>
        <v>---</v>
      </c>
      <c r="H532" s="294" t="str">
        <f>IF(A532="---","---",IF(AND(Geo_Face="y",Geo_Conn="f")=TRUE,"---",IF(Type_Reinf="g",phi_Tensile_Combined*G532*INPUT!L154*I221/MAX(RF_D,1.1),"---")))</f>
        <v>---</v>
      </c>
      <c r="I532" s="441" t="str">
        <f t="shared" si="401"/>
        <v>---</v>
      </c>
      <c r="J532" s="291" t="str">
        <f t="shared" si="402"/>
        <v>---</v>
      </c>
      <c r="K532" s="294" t="str">
        <f>IF(A532="---","---",IF(AND(Geo_Face="y",Geo_Conn="f")=TRUE,"---",IF(Type_Reinf="g",IF(Geo_Conn="m",1,0.8)*phi_Tensile_Combined*INPUT!M154*INPUT!L154*I221/MAX(RF_D,1.1),"---")))</f>
        <v>---</v>
      </c>
      <c r="L532" s="441" t="str">
        <f t="shared" si="403"/>
        <v>---</v>
      </c>
      <c r="M532" s="290" t="str">
        <f t="shared" si="404"/>
        <v>---</v>
      </c>
      <c r="N532" s="294" t="str">
        <f>IF(A532="---","---",IF(AND(Geo_Face="y",Geo_Conn="f")=TRUE,"---",IF(Type_Reinf="g",IF(Geo_Conn="m",1,0.8)*phi_Tensile_Combined*INPUT!N154*INPUT!L154*RF_CR*I221/MAX(RF_D,1.1),"---")))</f>
        <v>---</v>
      </c>
      <c r="O532" s="441" t="str">
        <f t="shared" si="405"/>
        <v>---</v>
      </c>
      <c r="P532" s="294" t="str">
        <f>IF(A532="---","---",IF(AND(Geo_Face="y",Geo_Conn="f")=TRUE,INPUT!Q154,"---"))</f>
        <v>---</v>
      </c>
      <c r="Q532" s="291" t="str">
        <f t="shared" si="406"/>
        <v>---</v>
      </c>
      <c r="R532" s="441" t="str">
        <f t="shared" si="407"/>
        <v>---</v>
      </c>
    </row>
    <row r="533" spans="1:18">
      <c r="A533" s="438" t="str">
        <f t="shared" ref="A533:B533" si="419">A475</f>
        <v>---</v>
      </c>
      <c r="B533" s="294" t="str">
        <f t="shared" si="419"/>
        <v>---</v>
      </c>
      <c r="C533" s="291" t="str">
        <f t="shared" si="367"/>
        <v>---</v>
      </c>
      <c r="D533" s="291" t="str">
        <f>IF(A533="---","---",IF(Type_Reinf="g","---",INPUT!P155))</f>
        <v>---</v>
      </c>
      <c r="E533" s="441" t="str">
        <f t="shared" si="399"/>
        <v>---</v>
      </c>
      <c r="F533" s="291" t="str">
        <f t="shared" si="400"/>
        <v>---</v>
      </c>
      <c r="G533" s="291" t="str">
        <f>IF(A533="---","---",IF(Type_Reinf="g",(INPUT!M155+INPUT!N155),"---"))</f>
        <v>---</v>
      </c>
      <c r="H533" s="294" t="str">
        <f>IF(A533="---","---",IF(AND(Geo_Face="y",Geo_Conn="f")=TRUE,"---",IF(Type_Reinf="g",phi_Tensile_Combined*G533*INPUT!L155*I222/MAX(RF_D,1.1),"---")))</f>
        <v>---</v>
      </c>
      <c r="I533" s="441" t="str">
        <f t="shared" si="401"/>
        <v>---</v>
      </c>
      <c r="J533" s="291" t="str">
        <f t="shared" si="402"/>
        <v>---</v>
      </c>
      <c r="K533" s="294" t="str">
        <f>IF(A533="---","---",IF(AND(Geo_Face="y",Geo_Conn="f")=TRUE,"---",IF(Type_Reinf="g",IF(Geo_Conn="m",1,0.8)*phi_Tensile_Combined*INPUT!M155*INPUT!L155*I222/MAX(RF_D,1.1),"---")))</f>
        <v>---</v>
      </c>
      <c r="L533" s="441" t="str">
        <f t="shared" si="403"/>
        <v>---</v>
      </c>
      <c r="M533" s="290" t="str">
        <f t="shared" si="404"/>
        <v>---</v>
      </c>
      <c r="N533" s="294" t="str">
        <f>IF(A533="---","---",IF(AND(Geo_Face="y",Geo_Conn="f")=TRUE,"---",IF(Type_Reinf="g",IF(Geo_Conn="m",1,0.8)*phi_Tensile_Combined*INPUT!N155*INPUT!L155*RF_CR*I222/MAX(RF_D,1.1),"---")))</f>
        <v>---</v>
      </c>
      <c r="O533" s="441" t="str">
        <f t="shared" si="405"/>
        <v>---</v>
      </c>
      <c r="P533" s="294" t="str">
        <f>IF(A533="---","---",IF(AND(Geo_Face="y",Geo_Conn="f")=TRUE,INPUT!Q155,"---"))</f>
        <v>---</v>
      </c>
      <c r="Q533" s="291" t="str">
        <f t="shared" si="406"/>
        <v>---</v>
      </c>
      <c r="R533" s="441" t="str">
        <f t="shared" si="407"/>
        <v>---</v>
      </c>
    </row>
    <row r="534" spans="1:18">
      <c r="A534" s="438" t="str">
        <f t="shared" ref="A534:B534" si="420">A476</f>
        <v>---</v>
      </c>
      <c r="B534" s="294" t="str">
        <f t="shared" si="420"/>
        <v>---</v>
      </c>
      <c r="C534" s="291" t="str">
        <f t="shared" si="367"/>
        <v>---</v>
      </c>
      <c r="D534" s="291" t="str">
        <f>IF(A534="---","---",IF(Type_Reinf="g","---",INPUT!P156))</f>
        <v>---</v>
      </c>
      <c r="E534" s="441" t="str">
        <f t="shared" si="399"/>
        <v>---</v>
      </c>
      <c r="F534" s="291" t="str">
        <f t="shared" si="400"/>
        <v>---</v>
      </c>
      <c r="G534" s="291" t="str">
        <f>IF(A534="---","---",IF(Type_Reinf="g",(INPUT!M156+INPUT!N156),"---"))</f>
        <v>---</v>
      </c>
      <c r="H534" s="294" t="str">
        <f>IF(A534="---","---",IF(AND(Geo_Face="y",Geo_Conn="f")=TRUE,"---",IF(Type_Reinf="g",phi_Tensile_Combined*G534*INPUT!L156*I223/MAX(RF_D,1.1),"---")))</f>
        <v>---</v>
      </c>
      <c r="I534" s="441" t="str">
        <f t="shared" si="401"/>
        <v>---</v>
      </c>
      <c r="J534" s="291" t="str">
        <f t="shared" si="402"/>
        <v>---</v>
      </c>
      <c r="K534" s="294" t="str">
        <f>IF(A534="---","---",IF(AND(Geo_Face="y",Geo_Conn="f")=TRUE,"---",IF(Type_Reinf="g",IF(Geo_Conn="m",1,0.8)*phi_Tensile_Combined*INPUT!M156*INPUT!L156*I223/MAX(RF_D,1.1),"---")))</f>
        <v>---</v>
      </c>
      <c r="L534" s="441" t="str">
        <f t="shared" si="403"/>
        <v>---</v>
      </c>
      <c r="M534" s="290" t="str">
        <f t="shared" si="404"/>
        <v>---</v>
      </c>
      <c r="N534" s="294" t="str">
        <f>IF(A534="---","---",IF(AND(Geo_Face="y",Geo_Conn="f")=TRUE,"---",IF(Type_Reinf="g",IF(Geo_Conn="m",1,0.8)*phi_Tensile_Combined*INPUT!N156*INPUT!L156*RF_CR*I223/MAX(RF_D,1.1),"---")))</f>
        <v>---</v>
      </c>
      <c r="O534" s="441" t="str">
        <f t="shared" si="405"/>
        <v>---</v>
      </c>
      <c r="P534" s="294" t="str">
        <f>IF(A534="---","---",IF(AND(Geo_Face="y",Geo_Conn="f")=TRUE,INPUT!Q156,"---"))</f>
        <v>---</v>
      </c>
      <c r="Q534" s="291" t="str">
        <f t="shared" si="406"/>
        <v>---</v>
      </c>
      <c r="R534" s="441" t="str">
        <f t="shared" si="407"/>
        <v>---</v>
      </c>
    </row>
    <row r="535" spans="1:18">
      <c r="A535" s="438" t="str">
        <f t="shared" ref="A535:B535" si="421">A477</f>
        <v>---</v>
      </c>
      <c r="B535" s="294" t="str">
        <f t="shared" si="421"/>
        <v>---</v>
      </c>
      <c r="C535" s="291" t="str">
        <f t="shared" si="367"/>
        <v>---</v>
      </c>
      <c r="D535" s="291" t="str">
        <f>IF(A535="---","---",IF(Type_Reinf="g","---",INPUT!P157))</f>
        <v>---</v>
      </c>
      <c r="E535" s="441" t="str">
        <f t="shared" si="399"/>
        <v>---</v>
      </c>
      <c r="F535" s="291" t="str">
        <f t="shared" si="400"/>
        <v>---</v>
      </c>
      <c r="G535" s="291" t="str">
        <f>IF(A535="---","---",IF(Type_Reinf="g",(INPUT!M157+INPUT!N157),"---"))</f>
        <v>---</v>
      </c>
      <c r="H535" s="294" t="str">
        <f>IF(A535="---","---",IF(AND(Geo_Face="y",Geo_Conn="f")=TRUE,"---",IF(Type_Reinf="g",phi_Tensile_Combined*G535*INPUT!L157*I224/MAX(RF_D,1.1),"---")))</f>
        <v>---</v>
      </c>
      <c r="I535" s="441" t="str">
        <f t="shared" si="401"/>
        <v>---</v>
      </c>
      <c r="J535" s="291" t="str">
        <f t="shared" si="402"/>
        <v>---</v>
      </c>
      <c r="K535" s="294" t="str">
        <f>IF(A535="---","---",IF(AND(Geo_Face="y",Geo_Conn="f")=TRUE,"---",IF(Type_Reinf="g",IF(Geo_Conn="m",1,0.8)*phi_Tensile_Combined*INPUT!M157*INPUT!L157*I224/MAX(RF_D,1.1),"---")))</f>
        <v>---</v>
      </c>
      <c r="L535" s="441" t="str">
        <f t="shared" si="403"/>
        <v>---</v>
      </c>
      <c r="M535" s="290" t="str">
        <f t="shared" si="404"/>
        <v>---</v>
      </c>
      <c r="N535" s="294" t="str">
        <f>IF(A535="---","---",IF(AND(Geo_Face="y",Geo_Conn="f")=TRUE,"---",IF(Type_Reinf="g",IF(Geo_Conn="m",1,0.8)*phi_Tensile_Combined*INPUT!N157*INPUT!L157*RF_CR*I224/MAX(RF_D,1.1),"---")))</f>
        <v>---</v>
      </c>
      <c r="O535" s="441" t="str">
        <f t="shared" si="405"/>
        <v>---</v>
      </c>
      <c r="P535" s="294" t="str">
        <f>IF(A535="---","---",IF(AND(Geo_Face="y",Geo_Conn="f")=TRUE,INPUT!Q157,"---"))</f>
        <v>---</v>
      </c>
      <c r="Q535" s="291" t="str">
        <f t="shared" si="406"/>
        <v>---</v>
      </c>
      <c r="R535" s="441" t="str">
        <f t="shared" si="407"/>
        <v>---</v>
      </c>
    </row>
    <row r="536" spans="1:18">
      <c r="A536" s="438" t="str">
        <f t="shared" ref="A536:B536" si="422">A478</f>
        <v>---</v>
      </c>
      <c r="B536" s="294" t="str">
        <f t="shared" si="422"/>
        <v>---</v>
      </c>
      <c r="C536" s="291" t="str">
        <f t="shared" si="367"/>
        <v>---</v>
      </c>
      <c r="D536" s="291" t="str">
        <f>IF(A536="---","---",IF(Type_Reinf="g","---",INPUT!P158))</f>
        <v>---</v>
      </c>
      <c r="E536" s="441" t="str">
        <f t="shared" si="399"/>
        <v>---</v>
      </c>
      <c r="F536" s="291" t="str">
        <f t="shared" si="400"/>
        <v>---</v>
      </c>
      <c r="G536" s="291" t="str">
        <f>IF(A536="---","---",IF(Type_Reinf="g",(INPUT!M158+INPUT!N158),"---"))</f>
        <v>---</v>
      </c>
      <c r="H536" s="294" t="str">
        <f>IF(A536="---","---",IF(AND(Geo_Face="y",Geo_Conn="f")=TRUE,"---",IF(Type_Reinf="g",phi_Tensile_Combined*G536*INPUT!L158*I225/MAX(RF_D,1.1),"---")))</f>
        <v>---</v>
      </c>
      <c r="I536" s="441" t="str">
        <f t="shared" si="401"/>
        <v>---</v>
      </c>
      <c r="J536" s="291" t="str">
        <f t="shared" si="402"/>
        <v>---</v>
      </c>
      <c r="K536" s="294" t="str">
        <f>IF(A536="---","---",IF(AND(Geo_Face="y",Geo_Conn="f")=TRUE,"---",IF(Type_Reinf="g",IF(Geo_Conn="m",1,0.8)*phi_Tensile_Combined*INPUT!M158*INPUT!L158*I225/MAX(RF_D,1.1),"---")))</f>
        <v>---</v>
      </c>
      <c r="L536" s="441" t="str">
        <f t="shared" si="403"/>
        <v>---</v>
      </c>
      <c r="M536" s="290" t="str">
        <f t="shared" si="404"/>
        <v>---</v>
      </c>
      <c r="N536" s="294" t="str">
        <f>IF(A536="---","---",IF(AND(Geo_Face="y",Geo_Conn="f")=TRUE,"---",IF(Type_Reinf="g",IF(Geo_Conn="m",1,0.8)*phi_Tensile_Combined*INPUT!N158*INPUT!L158*RF_CR*I225/MAX(RF_D,1.1),"---")))</f>
        <v>---</v>
      </c>
      <c r="O536" s="441" t="str">
        <f t="shared" si="405"/>
        <v>---</v>
      </c>
      <c r="P536" s="294" t="str">
        <f>IF(A536="---","---",IF(AND(Geo_Face="y",Geo_Conn="f")=TRUE,INPUT!Q158,"---"))</f>
        <v>---</v>
      </c>
      <c r="Q536" s="291" t="str">
        <f t="shared" si="406"/>
        <v>---</v>
      </c>
      <c r="R536" s="441" t="str">
        <f t="shared" si="407"/>
        <v>---</v>
      </c>
    </row>
    <row r="537" spans="1:18">
      <c r="A537" s="438" t="str">
        <f t="shared" ref="A537:B537" si="423">A479</f>
        <v>---</v>
      </c>
      <c r="B537" s="294" t="str">
        <f t="shared" si="423"/>
        <v>---</v>
      </c>
      <c r="C537" s="291" t="str">
        <f t="shared" si="367"/>
        <v>---</v>
      </c>
      <c r="D537" s="291" t="str">
        <f>IF(A537="---","---",IF(Type_Reinf="g","---",INPUT!P159))</f>
        <v>---</v>
      </c>
      <c r="E537" s="441" t="str">
        <f t="shared" si="399"/>
        <v>---</v>
      </c>
      <c r="F537" s="291" t="str">
        <f t="shared" si="400"/>
        <v>---</v>
      </c>
      <c r="G537" s="291" t="str">
        <f>IF(A537="---","---",IF(Type_Reinf="g",(INPUT!M159+INPUT!N159),"---"))</f>
        <v>---</v>
      </c>
      <c r="H537" s="294" t="str">
        <f>IF(A537="---","---",IF(AND(Geo_Face="y",Geo_Conn="f")=TRUE,"---",IF(Type_Reinf="g",phi_Tensile_Combined*G537*INPUT!L159*I226/MAX(RF_D,1.1),"---")))</f>
        <v>---</v>
      </c>
      <c r="I537" s="441" t="str">
        <f t="shared" si="401"/>
        <v>---</v>
      </c>
      <c r="J537" s="291" t="str">
        <f t="shared" si="402"/>
        <v>---</v>
      </c>
      <c r="K537" s="294" t="str">
        <f>IF(A537="---","---",IF(AND(Geo_Face="y",Geo_Conn="f")=TRUE,"---",IF(Type_Reinf="g",IF(Geo_Conn="m",1,0.8)*phi_Tensile_Combined*INPUT!M159*INPUT!L159*I226/MAX(RF_D,1.1),"---")))</f>
        <v>---</v>
      </c>
      <c r="L537" s="441" t="str">
        <f t="shared" si="403"/>
        <v>---</v>
      </c>
      <c r="M537" s="290" t="str">
        <f t="shared" si="404"/>
        <v>---</v>
      </c>
      <c r="N537" s="294" t="str">
        <f>IF(A537="---","---",IF(AND(Geo_Face="y",Geo_Conn="f")=TRUE,"---",IF(Type_Reinf="g",IF(Geo_Conn="m",1,0.8)*phi_Tensile_Combined*INPUT!N159*INPUT!L159*RF_CR*I226/MAX(RF_D,1.1),"---")))</f>
        <v>---</v>
      </c>
      <c r="O537" s="441" t="str">
        <f t="shared" si="405"/>
        <v>---</v>
      </c>
      <c r="P537" s="294" t="str">
        <f>IF(A537="---","---",IF(AND(Geo_Face="y",Geo_Conn="f")=TRUE,INPUT!Q159,"---"))</f>
        <v>---</v>
      </c>
      <c r="Q537" s="291" t="str">
        <f t="shared" si="406"/>
        <v>---</v>
      </c>
      <c r="R537" s="441" t="str">
        <f t="shared" si="407"/>
        <v>---</v>
      </c>
    </row>
    <row r="538" spans="1:18">
      <c r="A538" s="438" t="str">
        <f t="shared" ref="A538:B538" si="424">A480</f>
        <v>---</v>
      </c>
      <c r="B538" s="294" t="str">
        <f t="shared" si="424"/>
        <v>---</v>
      </c>
      <c r="C538" s="291" t="str">
        <f t="shared" si="367"/>
        <v>---</v>
      </c>
      <c r="D538" s="291" t="str">
        <f>IF(A538="---","---",IF(Type_Reinf="g","---",INPUT!P160))</f>
        <v>---</v>
      </c>
      <c r="E538" s="441" t="str">
        <f t="shared" si="399"/>
        <v>---</v>
      </c>
      <c r="F538" s="291" t="str">
        <f t="shared" si="400"/>
        <v>---</v>
      </c>
      <c r="G538" s="291" t="str">
        <f>IF(A538="---","---",IF(Type_Reinf="g",(INPUT!M160+INPUT!N160),"---"))</f>
        <v>---</v>
      </c>
      <c r="H538" s="294" t="str">
        <f>IF(A538="---","---",IF(AND(Geo_Face="y",Geo_Conn="f")=TRUE,"---",IF(Type_Reinf="g",phi_Tensile_Combined*G538*INPUT!L160*I227/MAX(RF_D,1.1),"---")))</f>
        <v>---</v>
      </c>
      <c r="I538" s="441" t="str">
        <f t="shared" si="401"/>
        <v>---</v>
      </c>
      <c r="J538" s="291" t="str">
        <f t="shared" si="402"/>
        <v>---</v>
      </c>
      <c r="K538" s="294" t="str">
        <f>IF(A538="---","---",IF(AND(Geo_Face="y",Geo_Conn="f")=TRUE,"---",IF(Type_Reinf="g",IF(Geo_Conn="m",1,0.8)*phi_Tensile_Combined*INPUT!M160*INPUT!L160*I227/MAX(RF_D,1.1),"---")))</f>
        <v>---</v>
      </c>
      <c r="L538" s="441" t="str">
        <f t="shared" si="403"/>
        <v>---</v>
      </c>
      <c r="M538" s="290" t="str">
        <f t="shared" si="404"/>
        <v>---</v>
      </c>
      <c r="N538" s="294" t="str">
        <f>IF(A538="---","---",IF(AND(Geo_Face="y",Geo_Conn="f")=TRUE,"---",IF(Type_Reinf="g",IF(Geo_Conn="m",1,0.8)*phi_Tensile_Combined*INPUT!N160*INPUT!L160*RF_CR*I227/MAX(RF_D,1.1),"---")))</f>
        <v>---</v>
      </c>
      <c r="O538" s="441" t="str">
        <f t="shared" si="405"/>
        <v>---</v>
      </c>
      <c r="P538" s="294" t="str">
        <f>IF(A538="---","---",IF(AND(Geo_Face="y",Geo_Conn="f")=TRUE,INPUT!Q160,"---"))</f>
        <v>---</v>
      </c>
      <c r="Q538" s="291" t="str">
        <f t="shared" si="406"/>
        <v>---</v>
      </c>
      <c r="R538" s="441" t="str">
        <f t="shared" si="407"/>
        <v>---</v>
      </c>
    </row>
  </sheetData>
  <mergeCells count="63">
    <mergeCell ref="C49:C50"/>
    <mergeCell ref="C58:C59"/>
    <mergeCell ref="H133:I133"/>
    <mergeCell ref="D49:E49"/>
    <mergeCell ref="F49:G49"/>
    <mergeCell ref="H49:I49"/>
    <mergeCell ref="D109:E109"/>
    <mergeCell ref="F109:G109"/>
    <mergeCell ref="H109:I109"/>
    <mergeCell ref="D79:D80"/>
    <mergeCell ref="D58:E58"/>
    <mergeCell ref="F58:G58"/>
    <mergeCell ref="D133:E133"/>
    <mergeCell ref="F133:G133"/>
    <mergeCell ref="C90:C91"/>
    <mergeCell ref="H293:H294"/>
    <mergeCell ref="I428:J428"/>
    <mergeCell ref="J485:O485"/>
    <mergeCell ref="F291:H291"/>
    <mergeCell ref="I291:N291"/>
    <mergeCell ref="L364:L365"/>
    <mergeCell ref="O428:O429"/>
    <mergeCell ref="C292:E292"/>
    <mergeCell ref="F292:H292"/>
    <mergeCell ref="H235:J235"/>
    <mergeCell ref="C109:C110"/>
    <mergeCell ref="C133:C134"/>
    <mergeCell ref="A77:B77"/>
    <mergeCell ref="E79:F79"/>
    <mergeCell ref="G79:H79"/>
    <mergeCell ref="I79:J79"/>
    <mergeCell ref="H90:I90"/>
    <mergeCell ref="B83:B84"/>
    <mergeCell ref="A85:B85"/>
    <mergeCell ref="D90:E90"/>
    <mergeCell ref="F90:G90"/>
    <mergeCell ref="Q174:R175"/>
    <mergeCell ref="K234:L234"/>
    <mergeCell ref="K235:L235"/>
    <mergeCell ref="M234:N235"/>
    <mergeCell ref="I292:K292"/>
    <mergeCell ref="L292:N292"/>
    <mergeCell ref="N174:P175"/>
    <mergeCell ref="J174:M175"/>
    <mergeCell ref="P17:S21"/>
    <mergeCell ref="B1:H1"/>
    <mergeCell ref="B2:H2"/>
    <mergeCell ref="B3:H3"/>
    <mergeCell ref="D36:E36"/>
    <mergeCell ref="F36:G36"/>
    <mergeCell ref="H36:I36"/>
    <mergeCell ref="G7:K7"/>
    <mergeCell ref="I5:L5"/>
    <mergeCell ref="C36:C37"/>
    <mergeCell ref="B62:B63"/>
    <mergeCell ref="A64:B64"/>
    <mergeCell ref="E71:F71"/>
    <mergeCell ref="G71:H71"/>
    <mergeCell ref="A55:B55"/>
    <mergeCell ref="A56:B56"/>
    <mergeCell ref="H58:I58"/>
    <mergeCell ref="I71:J71"/>
    <mergeCell ref="D71:D72"/>
  </mergeCells>
  <conditionalFormatting sqref="E295:E344 H295:H344 K431:K480 M489:M538">
    <cfRule type="cellIs" dxfId="63" priority="41" operator="equal">
      <formula>"NG!"</formula>
    </cfRule>
  </conditionalFormatting>
  <conditionalFormatting sqref="C98:I98">
    <cfRule type="cellIs" dxfId="62" priority="39" operator="equal">
      <formula>"NG!"</formula>
    </cfRule>
  </conditionalFormatting>
  <conditionalFormatting sqref="C96:I96">
    <cfRule type="cellIs" dxfId="61" priority="38" operator="lessThan">
      <formula>1</formula>
    </cfRule>
  </conditionalFormatting>
  <conditionalFormatting sqref="C116:I116">
    <cfRule type="cellIs" dxfId="60" priority="37" operator="lessThan">
      <formula>1</formula>
    </cfRule>
  </conditionalFormatting>
  <conditionalFormatting sqref="C118:I118">
    <cfRule type="cellIs" dxfId="59" priority="36" operator="equal">
      <formula>"NG!"</formula>
    </cfRule>
  </conditionalFormatting>
  <conditionalFormatting sqref="C154:I154">
    <cfRule type="cellIs" dxfId="58" priority="35" operator="equal">
      <formula>"NG!"</formula>
    </cfRule>
  </conditionalFormatting>
  <conditionalFormatting sqref="C152:I152">
    <cfRule type="cellIs" dxfId="57" priority="34" operator="lessThan">
      <formula>1</formula>
    </cfRule>
  </conditionalFormatting>
  <conditionalFormatting sqref="K295:K344">
    <cfRule type="cellIs" dxfId="56" priority="32" operator="equal">
      <formula>"NG!"</formula>
    </cfRule>
  </conditionalFormatting>
  <conditionalFormatting sqref="N295:N344">
    <cfRule type="cellIs" dxfId="55" priority="31" operator="equal">
      <formula>"NG!"</formula>
    </cfRule>
  </conditionalFormatting>
  <conditionalFormatting sqref="P367:P416 E489:E538">
    <cfRule type="cellIs" dxfId="54" priority="30" operator="equal">
      <formula>"ng!"</formula>
    </cfRule>
  </conditionalFormatting>
  <conditionalFormatting sqref="H431:H480">
    <cfRule type="cellIs" dxfId="53" priority="29" operator="equal">
      <formula>"NG!"</formula>
    </cfRule>
  </conditionalFormatting>
  <conditionalFormatting sqref="Q431:Q480">
    <cfRule type="cellIs" dxfId="52" priority="28" operator="equal">
      <formula>"NG!"</formula>
    </cfRule>
  </conditionalFormatting>
  <conditionalFormatting sqref="N367:N416">
    <cfRule type="cellIs" dxfId="51" priority="27" operator="equal">
      <formula>"NG!"</formula>
    </cfRule>
  </conditionalFormatting>
  <conditionalFormatting sqref="I431:J480">
    <cfRule type="cellIs" dxfId="50" priority="26" operator="equal">
      <formula>"NG!"</formula>
    </cfRule>
  </conditionalFormatting>
  <conditionalFormatting sqref="L489:L538">
    <cfRule type="cellIs" dxfId="49" priority="25" operator="equal">
      <formula>"NG!"</formula>
    </cfRule>
  </conditionalFormatting>
  <conditionalFormatting sqref="I489:I538">
    <cfRule type="cellIs" dxfId="48" priority="24" operator="equal">
      <formula>"ng!"</formula>
    </cfRule>
  </conditionalFormatting>
  <conditionalFormatting sqref="T367:T416">
    <cfRule type="cellIs" dxfId="47" priority="23" operator="equal">
      <formula>"NG!"</formula>
    </cfRule>
  </conditionalFormatting>
  <conditionalFormatting sqref="R489:R538">
    <cfRule type="cellIs" dxfId="46" priority="22" operator="equal">
      <formula>"ng!"</formula>
    </cfRule>
  </conditionalFormatting>
  <conditionalFormatting sqref="C97:I97 C117:I117 C153:I153">
    <cfRule type="cellIs" dxfId="45" priority="5" operator="equal">
      <formula>1</formula>
    </cfRule>
  </conditionalFormatting>
  <conditionalFormatting sqref="P17">
    <cfRule type="containsText" dxfId="44" priority="1" operator="containsText" text="WARNING">
      <formula>NOT(ISERROR(SEARCH("WARNING",P17)))</formula>
    </cfRule>
    <cfRule type="containsText" dxfId="43" priority="2" operator="containsText" text="ERROR">
      <formula>NOT(ISERROR(SEARCH("ERROR",P17)))</formula>
    </cfRule>
  </conditionalFormatting>
  <pageMargins left="0.75" right="0.75" top="1" bottom="1" header="0.5" footer="0.5"/>
  <pageSetup scale="65" orientation="landscape" r:id="rId1"/>
  <headerFooter alignWithMargins="0">
    <oddFooter>&amp;L&amp;F   &amp;A&amp;CPage &amp;P of &amp;N&amp;R&amp;D   &amp;T</oddFooter>
  </headerFooter>
  <rowBreaks count="5" manualBreakCount="5">
    <brk id="46" max="18" man="1"/>
    <brk id="87" max="18" man="1"/>
    <brk id="120" max="18" man="1"/>
    <brk id="156" max="18" man="1"/>
    <brk id="346" max="18" man="1"/>
  </rowBreaks>
  <extLst>
    <ext xmlns:x14="http://schemas.microsoft.com/office/spreadsheetml/2009/9/main" uri="{78C0D931-6437-407d-A8EE-F0AAD7539E65}">
      <x14:conditionalFormattings>
        <x14:conditionalFormatting xmlns:xm="http://schemas.microsoft.com/office/excel/2006/main">
          <x14:cfRule type="cellIs" priority="6" operator="greaterThan" id="{E0E94471-D991-433D-B859-13A222B4EEFE}">
            <xm:f>INPUT!$L$71</xm:f>
            <x14:dxf>
              <font>
                <b/>
                <i val="0"/>
                <color rgb="FFFF0000"/>
              </font>
            </x14:dxf>
          </x14:cfRule>
          <xm:sqref>P367:P416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P100"/>
  <sheetViews>
    <sheetView topLeftCell="A2" zoomScaleNormal="100" workbookViewId="0">
      <selection activeCell="C9" sqref="C9:L9"/>
    </sheetView>
  </sheetViews>
  <sheetFormatPr defaultRowHeight="12.75"/>
  <cols>
    <col min="1" max="1" width="4.5703125" customWidth="1"/>
    <col min="2" max="2" width="6.28515625" customWidth="1"/>
    <col min="6" max="6" width="18" bestFit="1" customWidth="1"/>
    <col min="8" max="8" width="3.85546875" bestFit="1" customWidth="1"/>
    <col min="9" max="10" width="5.7109375" customWidth="1"/>
    <col min="11" max="11" width="9.7109375" bestFit="1" customWidth="1"/>
    <col min="13" max="13" width="10.7109375" customWidth="1"/>
    <col min="14" max="14" width="10.7109375" style="2" customWidth="1"/>
    <col min="15" max="17" width="10.7109375" customWidth="1"/>
  </cols>
  <sheetData>
    <row r="1" spans="1:16">
      <c r="B1" s="70" t="s">
        <v>121</v>
      </c>
      <c r="C1" s="565" t="str">
        <f>IF(INPUT!$C$1="","",INPUT!$C$1)</f>
        <v>Test Run</v>
      </c>
      <c r="D1" s="622"/>
      <c r="E1" s="622"/>
      <c r="F1" s="622"/>
      <c r="G1" s="622"/>
      <c r="H1" s="72"/>
      <c r="I1" s="71" t="s">
        <v>122</v>
      </c>
      <c r="J1" s="88" t="str">
        <f>IF(INPUT!$K$1="","",INPUT!$K$1)</f>
        <v/>
      </c>
      <c r="K1" s="70" t="s">
        <v>124</v>
      </c>
      <c r="L1" s="90" t="str">
        <f>IF(INPUT!$M$1="","",INPUT!$M$1)</f>
        <v/>
      </c>
    </row>
    <row r="2" spans="1:16">
      <c r="C2" s="566" t="str">
        <f>IF(INPUT!$C$2="","",INPUT!$C$2)</f>
        <v/>
      </c>
      <c r="D2" s="623"/>
      <c r="E2" s="623"/>
      <c r="F2" s="623"/>
      <c r="G2" s="623"/>
      <c r="H2" s="72"/>
      <c r="I2" s="71" t="s">
        <v>125</v>
      </c>
      <c r="J2" s="89" t="str">
        <f>IF(INPUT!$K$2="","",INPUT!$K$2)</f>
        <v/>
      </c>
      <c r="K2" s="70" t="s">
        <v>124</v>
      </c>
      <c r="L2" s="91" t="str">
        <f>IF(INPUT!$M$2="","",INPUT!$M$2)</f>
        <v/>
      </c>
    </row>
    <row r="3" spans="1:16">
      <c r="C3" s="566" t="str">
        <f>IF(INPUT!$C$3="","",INPUT!$C$3)</f>
        <v/>
      </c>
      <c r="D3" s="623"/>
      <c r="E3" s="623"/>
      <c r="F3" s="623"/>
      <c r="G3" s="623"/>
      <c r="H3" s="72"/>
      <c r="I3" s="72"/>
      <c r="J3" s="72"/>
      <c r="K3" s="72"/>
      <c r="L3" s="1"/>
    </row>
    <row r="5" spans="1:16" ht="18">
      <c r="A5" s="392"/>
      <c r="B5" s="392" t="s">
        <v>145</v>
      </c>
      <c r="C5" s="392"/>
      <c r="D5" s="392"/>
      <c r="E5" s="392"/>
      <c r="F5" s="392"/>
      <c r="G5" s="393"/>
      <c r="H5" s="392"/>
      <c r="I5" s="397"/>
      <c r="J5" s="397"/>
      <c r="K5" s="575" t="s">
        <v>718</v>
      </c>
      <c r="L5" s="576"/>
      <c r="N5" s="285"/>
    </row>
    <row r="6" spans="1:16">
      <c r="N6" s="285"/>
    </row>
    <row r="7" spans="1:16" ht="18">
      <c r="C7" s="649" t="s">
        <v>717</v>
      </c>
      <c r="D7" s="650"/>
      <c r="E7" s="650"/>
      <c r="F7" s="650"/>
      <c r="G7" s="650"/>
      <c r="H7" s="650"/>
      <c r="I7" s="650"/>
      <c r="J7" s="650"/>
      <c r="K7" s="650"/>
      <c r="L7" s="651"/>
      <c r="M7" s="63"/>
    </row>
    <row r="8" spans="1:16" s="37" customFormat="1" ht="15">
      <c r="C8" s="396"/>
      <c r="D8" s="280"/>
      <c r="G8" s="86" t="s">
        <v>114</v>
      </c>
      <c r="H8" s="274">
        <f>COUNTIF(INPUT!M13:M26,"&gt;""")+COUNTIF(INPUT!M28,"&gt;""")+COUNTIF(INPUT!O30,"&gt;""")+COUNTIF(INPUT!M37:M44,"&gt;""")-COUNTIF(INPUT!M37,"REMINDER*")+COUNTIF(INPUT!M51:M57,"&gt;""")+COUNTIF(INPUT!M60:M64,"&gt;""")+COUNTIF(INPUT!M66:M67,"&gt;""")+COUNTIF(INPUT!M69,"&gt;""")+COUNTIF(INPUT!M71:M73,"&gt;""")+COUNTIF(INPUT!N74,"&gt;""")+COUNTIF(INPUT!M82:M84,"&gt;""")+COUNTIF(INPUT!M86,"&gt;""")+COUNTIF(INPUT!M96:M99,"&gt;""")+COUNTIF(INPUT!R111:R127,"&gt;""")+COUNTIF(INPUT!V72:V95,"&gt;""")+COUNTIF(INPUT!AC71:AC95,"&gt;""")+COUNTIF(INPUT!W96,"&gt;""")+IF(Abut_on_Piles="y",COUNTIF(INPUT!Q169:Q187,"&gt;""")+COUNTIF(INPUT!V103:V106,"&gt;""")+COUNTIF(INPUT!AC102:AC106,"&gt;""")+COUNTIF(INPUT!W107,"&gt;"""),0)</f>
        <v>0</v>
      </c>
      <c r="I8" s="266"/>
      <c r="J8" s="280"/>
      <c r="K8" s="280"/>
      <c r="L8" s="281"/>
      <c r="M8" s="278"/>
      <c r="N8" s="277"/>
    </row>
    <row r="9" spans="1:16" ht="18">
      <c r="C9" s="652" t="s">
        <v>83</v>
      </c>
      <c r="D9" s="653"/>
      <c r="E9" s="653"/>
      <c r="F9" s="653"/>
      <c r="G9" s="653"/>
      <c r="H9" s="653"/>
      <c r="I9" s="653"/>
      <c r="J9" s="653"/>
      <c r="K9" s="653"/>
      <c r="L9" s="635"/>
      <c r="M9" s="63"/>
    </row>
    <row r="10" spans="1:16">
      <c r="C10" s="224" t="s">
        <v>639</v>
      </c>
      <c r="D10" s="270"/>
      <c r="E10" s="270"/>
      <c r="F10" s="225"/>
      <c r="G10" s="225"/>
      <c r="H10" s="248"/>
      <c r="I10" s="633" t="s">
        <v>84</v>
      </c>
      <c r="J10" s="635"/>
      <c r="K10" s="276" t="s">
        <v>85</v>
      </c>
      <c r="L10" s="281" t="s">
        <v>104</v>
      </c>
      <c r="M10" s="53"/>
    </row>
    <row r="11" spans="1:16" ht="15.75">
      <c r="C11" s="398" t="s">
        <v>675</v>
      </c>
      <c r="D11" s="399"/>
      <c r="E11" s="399"/>
      <c r="F11" s="400" t="s">
        <v>117</v>
      </c>
      <c r="G11" s="401">
        <f t="array" ref="G11">(MIN(IF(WORKSHEET_FINAL!$C$154:$K$154=1,WORKSHEET_FINAL!$C$151:$K$151))+MIN(IF(WORKSHEET_CONSTR!$C$97:$I$97=1,WORKSHEET_CONSTR!$C$94:$I$94)))/(MIN(IF(WORKSHEET_FINAL!$C$154:$K$154=1,WORKSHEET_FINAL!$C$154:$K$154))+MIN(IF(WORKSHEET_CONSTR!$C$97:$I$97=1,WORKSHEET_CONSTR!$C$97:$I$97)))</f>
        <v>3.5548891780574543</v>
      </c>
      <c r="H11" s="139" t="s">
        <v>56</v>
      </c>
      <c r="I11" s="656" t="str">
        <f>VLOOKUP(N11,$O$11:$P$26,2)</f>
        <v>STR-I MIN</v>
      </c>
      <c r="J11" s="657"/>
      <c r="K11" s="667">
        <f>G12/ABS(G11)</f>
        <v>2.0122521336212862</v>
      </c>
      <c r="L11" s="654" t="str">
        <f>IF(K11="---","---",IF(K11&gt;=1,"OK","NG!"))</f>
        <v>OK</v>
      </c>
      <c r="M11" s="57"/>
      <c r="N11" s="428">
        <f t="array" ref="N11">(MIN(IF(WORKSHEET_FINAL!$C$154:$K$154=1,WORKSHEET_FINAL!$C$146:$K$146))+MIN(IF(WORKSHEET_CONSTR!$C$97:$I$97=1,WORKSHEET_CONSTR!$C$89:$I$89)))/(MIN(IF(WORKSHEET_FINAL!$C$154:$K$154=1,WORKSHEET_FINAL!$C$154:$K$154))+MIN(IF(WORKSHEET_CONSTR!$C$97:$I$97=1,WORKSHEET_CONSTR!$C$97:$I$97)))</f>
        <v>2</v>
      </c>
      <c r="O11" s="60">
        <v>1</v>
      </c>
      <c r="P11" s="264" t="s">
        <v>6</v>
      </c>
    </row>
    <row r="12" spans="1:16" ht="15.75">
      <c r="C12" s="402"/>
      <c r="D12" s="403"/>
      <c r="E12" s="403"/>
      <c r="F12" s="404" t="s">
        <v>86</v>
      </c>
      <c r="G12" s="381">
        <f t="array" ref="G12">(MIN(IF(WORKSHEET_FINAL!$C$154:$K$154=1,WORKSHEET_FINAL!$C$152:$K$152))+MIN(IF(WORKSHEET_CONSTR!$C$97:$I$97=1,WORKSHEET_CONSTR!$C$95:$I$95)))/(MIN(IF(WORKSHEET_FINAL!$C$154:$K$154=1,WORKSHEET_FINAL!$C$154:$K$154))+MIN(IF(WORKSHEET_CONSTR!$C$97:$I$97=1,WORKSHEET_CONSTR!$C$97:$I$97)))</f>
        <v>7.1533333333333333</v>
      </c>
      <c r="H12" s="405" t="s">
        <v>56</v>
      </c>
      <c r="I12" s="658"/>
      <c r="J12" s="659"/>
      <c r="K12" s="668"/>
      <c r="L12" s="655"/>
      <c r="M12" s="64"/>
      <c r="N12" s="429"/>
      <c r="O12" s="61">
        <v>2</v>
      </c>
      <c r="P12" s="44" t="s">
        <v>105</v>
      </c>
    </row>
    <row r="13" spans="1:16">
      <c r="C13" s="398" t="s">
        <v>87</v>
      </c>
      <c r="D13" s="399"/>
      <c r="E13" s="399"/>
      <c r="F13" s="406" t="s">
        <v>450</v>
      </c>
      <c r="G13" s="407">
        <f t="array" ref="G13">(MIN(IF(WORKSHEET_FINAL!$C$174:$K$174=1,WORKSHEET_FINAL!$C$172:$K$172))+MIN(IF(WORKSHEET_CONSTR!$C$117:$I$117=1,WORKSHEET_CONSTR!$C$115:$I$115)))/(MIN(IF(WORKSHEET_FINAL!$C$174:$K$174=1,WORKSHEET_FINAL!$C$174:$K$174))+MIN(IF(WORKSHEET_CONSTR!$C$117:$I$117=1,WORKSHEET_CONSTR!$C$117:$I$117)))</f>
        <v>11.600956500000002</v>
      </c>
      <c r="H13" s="139" t="s">
        <v>52</v>
      </c>
      <c r="I13" s="656" t="str">
        <f>VLOOKUP(N13,$O$11:$P$26,2)</f>
        <v>STR-I MIN</v>
      </c>
      <c r="J13" s="657"/>
      <c r="K13" s="667">
        <f>G14/G13</f>
        <v>1.3759404722111783</v>
      </c>
      <c r="L13" s="654" t="str">
        <f>IF(K13="---","---",IF(K13&gt;=1,"OK","NG!"))</f>
        <v>OK</v>
      </c>
      <c r="M13" s="57"/>
      <c r="N13" s="428">
        <f t="array" ref="N13">(MIN(IF(WORKSHEET_FINAL!$C$174:$K$174=1,WORKSHEET_FINAL!$C$146:$K$146))+MIN(IF(WORKSHEET_CONSTR!$C$117:$I$117=1,WORKSHEET_CONSTR!$C$89:$I$89)))/(MIN(IF(WORKSHEET_FINAL!$C$174:$K$174=1,WORKSHEET_FINAL!$C$174:$K$174))+MIN(IF(WORKSHEET_CONSTR!$C$117:$I$117=1,WORKSHEET_CONSTR!$C$117:$I$117)))</f>
        <v>2</v>
      </c>
      <c r="O13" s="61">
        <v>3</v>
      </c>
      <c r="P13" s="44" t="s">
        <v>106</v>
      </c>
    </row>
    <row r="14" spans="1:16" ht="15.75">
      <c r="C14" s="402"/>
      <c r="D14" s="403"/>
      <c r="E14" s="403"/>
      <c r="F14" s="404" t="s">
        <v>464</v>
      </c>
      <c r="G14" s="381">
        <f t="array" ref="G14">(MIN(IF(WORKSHEET_FINAL!$C$174:$K$174=1,WORKSHEET_FINAL!$C$171:$K$171))+MIN(IF(WORKSHEET_CONSTR!$C$117:$I$117=1,WORKSHEET_CONSTR!$C$114:$I$114)))/(MIN(IF(WORKSHEET_FINAL!$C$174:$K$174=1,WORKSHEET_FINAL!$C$174:$K$174))+MIN(IF(WORKSHEET_CONSTR!$C$117:$I$117=1,WORKSHEET_CONSTR!$C$117:$I$117)))</f>
        <v>15.962225564711343</v>
      </c>
      <c r="H14" s="405" t="s">
        <v>52</v>
      </c>
      <c r="I14" s="658"/>
      <c r="J14" s="659"/>
      <c r="K14" s="668"/>
      <c r="L14" s="655"/>
      <c r="M14" s="64"/>
      <c r="N14" s="429"/>
      <c r="O14" s="61">
        <v>4</v>
      </c>
      <c r="P14" s="44" t="s">
        <v>107</v>
      </c>
    </row>
    <row r="15" spans="1:16" ht="14.25">
      <c r="C15" s="408" t="s">
        <v>88</v>
      </c>
      <c r="D15" s="74"/>
      <c r="E15" s="74"/>
      <c r="F15" s="406" t="s">
        <v>89</v>
      </c>
      <c r="G15" s="407">
        <f t="array" ref="G15">(MIN(IF(WORKSHEET_FINAL!$C$210:$K$210=1,WORKSHEET_FINAL!$C$208:$K$208))+MIN(IF(WORKSHEET_CONSTR!$C$153:$I$153=1,WORKSHEET_CONSTR!$C$151:$I$151)))/(MIN(IF(WORKSHEET_FINAL!$C$210:$K$210=1,WORKSHEET_FINAL!$C$210:$K$210))+MIN(IF(WORKSHEET_CONSTR!$C$153:$I$153=1,WORKSHEET_CONSTR!$C$153:$I$153)))</f>
        <v>1.9132235101281649</v>
      </c>
      <c r="H15" s="75" t="s">
        <v>116</v>
      </c>
      <c r="I15" s="656" t="str">
        <f>VLOOKUP(N15,$O$11:$P$26,2)</f>
        <v>STR-I MIN</v>
      </c>
      <c r="J15" s="657"/>
      <c r="K15" s="669">
        <f>G16/G15</f>
        <v>1.1575196304897819</v>
      </c>
      <c r="L15" s="654" t="str">
        <f>IF(K15="---","---",IF(K15&gt;=1,"OK","NG!"))</f>
        <v>OK</v>
      </c>
      <c r="M15" s="57"/>
      <c r="N15" s="429">
        <f t="array" ref="N15">(MIN(IF(WORKSHEET_FINAL!$C$210:$K$210=1,WORKSHEET_FINAL!$C$146:$K$146))+MIN(IF(WORKSHEET_CONSTR!$C$153:$I$153=1,WORKSHEET_CONSTR!$C$89:$I$89)))/(MIN(IF(WORKSHEET_FINAL!$C$210:$K$210=1,WORKSHEET_FINAL!$C$210:$K$210))+MIN(IF(WORKSHEET_CONSTR!$C$153:$I$153=1,WORKSHEET_CONSTR!$C$153:$I$153)))</f>
        <v>2</v>
      </c>
      <c r="O15" s="61">
        <v>5</v>
      </c>
      <c r="P15" s="44" t="s">
        <v>108</v>
      </c>
    </row>
    <row r="16" spans="1:16" ht="15.75">
      <c r="C16" s="402"/>
      <c r="D16" s="403"/>
      <c r="E16" s="403"/>
      <c r="F16" s="404" t="s">
        <v>472</v>
      </c>
      <c r="G16" s="381">
        <f t="array" ref="G16">(MIN(IF(WORKSHEET_FINAL!$C$210:$K$210=1,WORKSHEET_FINAL!$C$207:$K$207))+MIN(IF(WORKSHEET_CONSTR!$C$153:$I$153=1,WORKSHEET_CONSTR!$C$150:$I$150)))/(MIN(IF(WORKSHEET_FINAL!$C$210:$K$210=1,WORKSHEET_FINAL!$C$210:$K$210))+MIN(IF(WORKSHEET_CONSTR!$C$153:$I$153=1,WORKSHEET_CONSTR!$C$153:$I$153)))</f>
        <v>2.2145937704879168</v>
      </c>
      <c r="H16" s="75" t="s">
        <v>116</v>
      </c>
      <c r="I16" s="658"/>
      <c r="J16" s="659"/>
      <c r="K16" s="668"/>
      <c r="L16" s="655"/>
      <c r="M16" s="65"/>
      <c r="N16" s="7"/>
      <c r="O16" s="61">
        <v>6</v>
      </c>
      <c r="P16" s="44" t="s">
        <v>109</v>
      </c>
    </row>
    <row r="17" spans="3:16" ht="18">
      <c r="C17" s="652" t="s">
        <v>90</v>
      </c>
      <c r="D17" s="653"/>
      <c r="E17" s="653"/>
      <c r="F17" s="653"/>
      <c r="G17" s="653"/>
      <c r="H17" s="653"/>
      <c r="I17" s="653"/>
      <c r="J17" s="653"/>
      <c r="K17" s="653"/>
      <c r="L17" s="635"/>
      <c r="M17" s="63"/>
      <c r="N17" s="7"/>
      <c r="O17" s="61">
        <v>7</v>
      </c>
      <c r="P17" s="44" t="s">
        <v>110</v>
      </c>
    </row>
    <row r="18" spans="3:16">
      <c r="C18" s="224" t="s">
        <v>639</v>
      </c>
      <c r="D18" s="256"/>
      <c r="E18" s="256"/>
      <c r="F18" s="256"/>
      <c r="G18" s="256"/>
      <c r="H18" s="254"/>
      <c r="I18" s="633" t="s">
        <v>676</v>
      </c>
      <c r="J18" s="590"/>
      <c r="K18" s="257" t="s">
        <v>85</v>
      </c>
      <c r="L18" s="134" t="s">
        <v>104</v>
      </c>
      <c r="M18" s="53"/>
      <c r="N18" s="7"/>
      <c r="O18" s="61">
        <v>8</v>
      </c>
      <c r="P18" s="44" t="s">
        <v>111</v>
      </c>
    </row>
    <row r="19" spans="3:16" ht="15.75">
      <c r="C19" s="409" t="s">
        <v>91</v>
      </c>
      <c r="D19" s="399"/>
      <c r="E19" s="399"/>
      <c r="F19" s="400" t="s">
        <v>640</v>
      </c>
      <c r="G19" s="84">
        <f t="array" ref="G19">IF(INPUT!L60="G","---",((MIN(IF(WORKSHEET_FINAL!$AI$298:$AI$347=1,WORKSHEET_FINAL!$AG$298:$AG$347))+MIN(IF(WORKSHEET_FINAL!$AM$298:$AM$347=1,WORKSHEET_FINAL!$AK$298:$AK$347))+MIN(IF(WORKSHEET_FINAL!$AQ$298:$AQ$347=1,WORKSHEET_FINAL!$AO$298:$AO$347)))/(MIN(IF(WORKSHEET_FINAL!$AI$298:$AI$347=1,WORKSHEET_FINAL!$AI$298:$AI$347))+MIN(IF(WORKSHEET_FINAL!$AM$298:$AM$347=1,WORKSHEET_FINAL!$AM$298:$AM$347))+MIN(IF(WORKSHEET_FINAL!$AQ$298:$AQ$347=1,WORKSHEET_FINAL!$AQ$298:$AQ$347)))))</f>
        <v>1.8764192654267711</v>
      </c>
      <c r="H19" s="410" t="s">
        <v>52</v>
      </c>
      <c r="I19" s="663" t="str">
        <f>IF(INPUT!$L$60="G","---",CONCATENATE("LAYER # ",N19))</f>
        <v>LAYER # 6</v>
      </c>
      <c r="J19" s="664"/>
      <c r="K19" s="667">
        <f>IF(INPUT!L60="G","---",G20/G19)</f>
        <v>0.54178344997677752</v>
      </c>
      <c r="L19" s="654" t="str">
        <f>IF(K19="---","---",IF(K19&gt;=1,"OK","NG!"))</f>
        <v>NG!</v>
      </c>
      <c r="M19" s="59"/>
      <c r="N19" s="7">
        <f t="array" ref="N19">IF(INPUT!L60="G","---",((MIN(IF(WORKSHEET_FINAL!$AI$298:$AI$347=1,WORKSHEET_FINAL!$A$298:$A$347))+MIN(IF(WORKSHEET_FINAL!$AM$298:$AM$347=1,WORKSHEET_FINAL!$A$298:$A$347))+MIN(IF(WORKSHEET_FINAL!$AQ$298:$AQ$347=1,WORKSHEET_FINAL!$A$298:$A$347)))/(MIN(IF(WORKSHEET_FINAL!$AI$298:$AI$347=1,WORKSHEET_FINAL!$AI$298:$AI$347))+MIN(IF(WORKSHEET_FINAL!$AM$298:$AM$347=1,WORKSHEET_FINAL!$AM$298:$AM$347))+MIN(IF(WORKSHEET_FINAL!$AQ$298:$AQ$347=1,WORKSHEET_FINAL!$AQ$298:$AQ$347)))))</f>
        <v>6</v>
      </c>
      <c r="O19" s="62">
        <v>9</v>
      </c>
      <c r="P19" s="49" t="s">
        <v>112</v>
      </c>
    </row>
    <row r="20" spans="3:16" ht="15.75">
      <c r="C20" s="411"/>
      <c r="D20" s="403"/>
      <c r="E20" s="403"/>
      <c r="F20" s="412" t="s">
        <v>647</v>
      </c>
      <c r="G20" s="413">
        <f t="array" ref="G20">IF(INPUT!L60="G","---",((MIN(IF(WORKSHEET_FINAL!$AI$298:$AI$347=1,WORKSHEET_FINAL!$AF$298:$AF$347))+MIN(IF(WORKSHEET_FINAL!$AM$298:$AM$347=1,WORKSHEET_FINAL!$AJ$298:$AJ$347))+MIN(IF(WORKSHEET_FINAL!$AQ$298:$AQ$347=1,WORKSHEET_FINAL!$AN$298:$AN$347)))/(MIN(IF(WORKSHEET_FINAL!$AI$298:$AI$347=1,WORKSHEET_FINAL!$AI$298:$AI$347))+MIN(IF(WORKSHEET_FINAL!$AM$298:$AM$347=1,WORKSHEET_FINAL!$AM$298:$AM$347))+MIN(IF(WORKSHEET_FINAL!$AQ$298:$AQ$347=1,WORKSHEET_FINAL!$AQ$298:$AQ$347)))))</f>
        <v>1.0166129032258067</v>
      </c>
      <c r="H20" s="414" t="s">
        <v>52</v>
      </c>
      <c r="I20" s="665"/>
      <c r="J20" s="666"/>
      <c r="K20" s="668"/>
      <c r="L20" s="655"/>
      <c r="M20" s="65"/>
      <c r="N20" s="7"/>
      <c r="O20" s="81">
        <v>10</v>
      </c>
      <c r="P20" s="264" t="s">
        <v>641</v>
      </c>
    </row>
    <row r="21" spans="3:16" ht="15.75">
      <c r="C21" s="415" t="s">
        <v>92</v>
      </c>
      <c r="D21" s="74"/>
      <c r="E21" s="74"/>
      <c r="F21" s="400" t="s">
        <v>640</v>
      </c>
      <c r="G21" s="401">
        <f t="array" ref="G21">IF(INPUT!L60="G","---",((MIN(IF(WORKSHEET_FINAL!$AU$298:$AU$347=1,WORKSHEET_FINAL!$AS$298:$AS$347))+MIN(IF(WORKSHEET_FINAL!$AY$298:$AY$347=1,WORKSHEET_FINAL!$AW$298:$AW$347)))/(MIN(IF(WORKSHEET_FINAL!$AU$298:$AU$347=1,WORKSHEET_FINAL!$AU$298:$AU$347))+MIN(IF(WORKSHEET_FINAL!$AY$298:$AY$347=1,WORKSHEET_FINAL!$AY$298:$AY$347)))))</f>
        <v>2.3028781893874006</v>
      </c>
      <c r="H21" s="76" t="s">
        <v>52</v>
      </c>
      <c r="I21" s="663" t="str">
        <f>IF(INPUT!$L$60="G","---",CONCATENATE("LAYER # ",N21))</f>
        <v>LAYER # 6</v>
      </c>
      <c r="J21" s="664"/>
      <c r="K21" s="669">
        <f>IF(INPUT!L60="G","---",G22/G21)</f>
        <v>2.1711960376549806</v>
      </c>
      <c r="L21" s="654" t="str">
        <f>IF(K21="---","---",IF(K21&gt;=1,"OK","NG!"))</f>
        <v>OK</v>
      </c>
      <c r="M21" s="59"/>
      <c r="N21" s="428">
        <f t="array" ref="N21">IF(INPUT!L60="G","---",((MIN(IF(WORKSHEET_FINAL!$AU$298:$AU$347=1,WORKSHEET_FINAL!$A$298:$A$347))+MIN(IF(WORKSHEET_FINAL!$AY$298:$AY$347=1,WORKSHEET_FINAL!$A$298:$A$347)))/(MIN(IF(WORKSHEET_FINAL!$AU$298:$AU$347=1,WORKSHEET_FINAL!$AU$298:$AU$347))+MIN(IF(WORKSHEET_FINAL!$AY$298:$AY$347=1,WORKSHEET_FINAL!$AY$298:$AY$347)))))</f>
        <v>6</v>
      </c>
      <c r="O21" s="81">
        <v>11</v>
      </c>
      <c r="P21" s="44" t="s">
        <v>147</v>
      </c>
    </row>
    <row r="22" spans="3:16">
      <c r="C22" s="415"/>
      <c r="D22" s="74"/>
      <c r="E22" s="74"/>
      <c r="F22" s="406" t="s">
        <v>649</v>
      </c>
      <c r="G22" s="407">
        <f t="array" ref="G22">IF(INPUT!L60="G","---",((MIN(IF(WORKSHEET_FINAL!$AU$298:$AU$347=1,WORKSHEET_FINAL!$AR$298:$AR$347))+MIN(IF(WORKSHEET_FINAL!$AY$298:$AY$347=1,WORKSHEET_FINAL!$AV$298:$AV$347)))/(MIN(IF(WORKSHEET_FINAL!$AU$298:$AU$347=1,WORKSHEET_FINAL!$AU$298:$AU$347))+MIN(IF(WORKSHEET_FINAL!$AY$298:$AY$347=1,WORKSHEET_FINAL!$AY$298:$AY$347)))))</f>
        <v>5</v>
      </c>
      <c r="H22" s="76" t="s">
        <v>52</v>
      </c>
      <c r="I22" s="665"/>
      <c r="J22" s="666"/>
      <c r="K22" s="671"/>
      <c r="L22" s="655"/>
      <c r="M22" s="65"/>
      <c r="N22" s="7"/>
      <c r="O22" s="81">
        <v>12</v>
      </c>
      <c r="P22" s="44" t="s">
        <v>148</v>
      </c>
    </row>
    <row r="23" spans="3:16" ht="15.75">
      <c r="C23" s="398" t="s">
        <v>673</v>
      </c>
      <c r="D23" s="399"/>
      <c r="E23" s="399"/>
      <c r="F23" s="400" t="s">
        <v>650</v>
      </c>
      <c r="G23" s="84">
        <f t="array" ref="G23">IF(INPUT!L60="G","---",((MIN(IF(WORKSHEET_FINAL!$AJ$428:$AJ$477=1,WORKSHEET_FINAL!$AH$428:$AH$477))+MIN(IF(WORKSHEET_FINAL!$AN$428:$AN$477=1,WORKSHEET_FINAL!$AL$428:$AL$477)))/(MIN(IF(WORKSHEET_FINAL!$AJ$428:$AJ$477=1,WORKSHEET_FINAL!$AJ$428:$AJ$477))+MIN(IF(WORKSHEET_FINAL!$AN$428:$AN$477=1,WORKSHEET_FINAL!$AN$428:$AN$477)))))</f>
        <v>15.460241246809009</v>
      </c>
      <c r="H23" s="410" t="s">
        <v>56</v>
      </c>
      <c r="I23" s="663" t="str">
        <f>IF(INPUT!$L$60="G","---",CONCATENATE("LAYER # ",N23))</f>
        <v>LAYER # 1</v>
      </c>
      <c r="J23" s="664"/>
      <c r="K23" s="667">
        <f>IF(INPUT!L60="G","---",G24/G23)</f>
        <v>1.0484312463976289</v>
      </c>
      <c r="L23" s="654" t="str">
        <f>IF(K23="---","---",IF(K23&gt;=1,"OK","NG!"))</f>
        <v>OK</v>
      </c>
      <c r="M23" s="59"/>
      <c r="N23" s="7">
        <f t="array" ref="N23">IF(INPUT!L60="G","---",((MIN(IF(WORKSHEET_FINAL!$AJ$428:$AJ$477=1,WORKSHEET_FINAL!$A$428:$A$477))+MIN(IF(WORKSHEET_FINAL!$AN$428:$AN$477=1,WORKSHEET_FINAL!$A$428:$A$477)))/(MIN(IF(WORKSHEET_FINAL!$AJ$428:$AJ$477=1,WORKSHEET_FINAL!$AJ$428:$AJ$477))+MIN(IF(WORKSHEET_FINAL!$AN$428:$AN$477=1,WORKSHEET_FINAL!$AN$428:$AN$477)))))</f>
        <v>1</v>
      </c>
      <c r="O23" s="81">
        <v>13</v>
      </c>
      <c r="P23" s="44" t="s">
        <v>149</v>
      </c>
    </row>
    <row r="24" spans="3:16" ht="15.75">
      <c r="C24" s="411"/>
      <c r="D24" s="403"/>
      <c r="E24" s="403"/>
      <c r="F24" s="404" t="s">
        <v>651</v>
      </c>
      <c r="G24" s="413">
        <f t="array" ref="G24">IF(INPUT!L60="G","---",((MIN(IF(WORKSHEET_FINAL!$AJ$428:$AJ$477=1,WORKSHEET_FINAL!$AG$428:$AG$477))+MIN(IF(WORKSHEET_FINAL!$AN$428:$AN$477=1,WORKSHEET_FINAL!$AK$428:$AK$477)))/(MIN(IF(WORKSHEET_FINAL!$AJ$428:$AJ$477=1,WORKSHEET_FINAL!$AJ$428:$AJ$477))+MIN(IF(WORKSHEET_FINAL!$AN$428:$AN$477=1,WORKSHEET_FINAL!$AN$428:$AN$477)))))</f>
        <v>16.209</v>
      </c>
      <c r="H24" s="414" t="s">
        <v>56</v>
      </c>
      <c r="I24" s="665"/>
      <c r="J24" s="666"/>
      <c r="K24" s="668"/>
      <c r="L24" s="655"/>
      <c r="M24" s="65"/>
      <c r="N24" s="7"/>
      <c r="O24" s="81">
        <v>14</v>
      </c>
      <c r="P24" s="44" t="s">
        <v>150</v>
      </c>
    </row>
    <row r="25" spans="3:16" ht="15.75">
      <c r="C25" s="415" t="s">
        <v>91</v>
      </c>
      <c r="D25" s="74"/>
      <c r="E25" s="74"/>
      <c r="F25" s="400" t="s">
        <v>667</v>
      </c>
      <c r="G25" s="416">
        <f t="array" ref="G25">IF(INPUT!L60="G","---",((MIN(IF(WORKSHEET_FINAL!$AH$492:$AH$541=1,WORKSHEET_FINAL!$AF$492:$AF$541))+MIN(IF(WORKSHEET_FINAL!$AL$492:$AL$541=1,WORKSHEET_FINAL!$AJ$492:$AJ$541))/(MIN(IF(WORKSHEET_FINAL!$AH$492:$AH$541=1,WORKSHEET_FINAL!$AH$492:$AH$541))+MIN(IF(WORKSHEET_FINAL!$AL$492:$AL$541=1,WORKSHEET_FINAL!$AL$492:$AL$541))))))</f>
        <v>2.1325497426136328</v>
      </c>
      <c r="H25" s="76" t="s">
        <v>52</v>
      </c>
      <c r="I25" s="663" t="str">
        <f>IF(INPUT!$L$60="G","---",CONCATENATE("LAYER # ",N25))</f>
        <v>LAYER # 6</v>
      </c>
      <c r="J25" s="664"/>
      <c r="K25" s="669">
        <f>IF(INPUT!L60="G","---",G26/G25)</f>
        <v>0.95342479747258368</v>
      </c>
      <c r="L25" s="654" t="str">
        <f>IF(K25="---","---",IF(K25&gt;=1,"OK","NG!"))</f>
        <v>NG!</v>
      </c>
      <c r="M25" s="59"/>
      <c r="N25" s="7">
        <f t="array" ref="N25">IF(INPUT!L60="G","---",((MIN(IF(WORKSHEET_FINAL!$AH$492:$AH$541=1,WORKSHEET_FINAL!$A$492:$A$541))+MIN(IF(WORKSHEET_FINAL!$AL$492:$AL$541=1,WORKSHEET_FINAL!$A$492:$A$541))/(MIN(IF(WORKSHEET_FINAL!$AH$492:$AH$541=1,WORKSHEET_FINAL!$AH$492:$AH$541))+MIN(IF(WORKSHEET_FINAL!$AL$492:$AL$541=1,WORKSHEET_FINAL!$AL$492:$AL$541))))))</f>
        <v>6</v>
      </c>
      <c r="O25" s="81">
        <v>15</v>
      </c>
      <c r="P25" s="44" t="s">
        <v>151</v>
      </c>
    </row>
    <row r="26" spans="3:16" ht="15.75">
      <c r="C26" s="415" t="s">
        <v>93</v>
      </c>
      <c r="D26" s="74"/>
      <c r="E26" s="74"/>
      <c r="F26" s="412" t="s">
        <v>647</v>
      </c>
      <c r="G26" s="416">
        <f t="array" ref="G26">IF(INPUT!L60="G","---",((MIN(IF(WORKSHEET_FINAL!$AH$492:$AH$541=1,WORKSHEET_FINAL!$AE$492:$AE$541))+MIN(IF(WORKSHEET_FINAL!$AL$492:$AL$541=1,WORKSHEET_FINAL!$AI$492:$AI$541))/(MIN(IF(WORKSHEET_FINAL!$AH$492:$AH$541=1,WORKSHEET_FINAL!$AH$492:$AH$541))+MIN(IF(WORKSHEET_FINAL!$AL$492:$AL$541=1,WORKSHEET_FINAL!$AL$492:$AL$541))))))</f>
        <v>2.0332258064516133</v>
      </c>
      <c r="H26" s="76" t="s">
        <v>52</v>
      </c>
      <c r="I26" s="665"/>
      <c r="J26" s="666"/>
      <c r="K26" s="671"/>
      <c r="L26" s="655"/>
      <c r="M26" s="65"/>
      <c r="N26" s="7"/>
      <c r="O26" s="82">
        <v>16</v>
      </c>
      <c r="P26" s="49" t="s">
        <v>152</v>
      </c>
    </row>
    <row r="27" spans="3:16" ht="15.75">
      <c r="C27" s="409" t="s">
        <v>92</v>
      </c>
      <c r="D27" s="399"/>
      <c r="E27" s="399"/>
      <c r="F27" s="400" t="s">
        <v>667</v>
      </c>
      <c r="G27" s="84">
        <f t="array" ref="G27">IF(INPUT!L60="G","---",((MIN(IF(WORKSHEET_FINAL!$BF$492:$BF$541=1,WORKSHEET_FINAL!$BD$492:$BD$541))+MIN(IF(WORKSHEET_FINAL!$BJ$492:$BJ$541=1,WORKSHEET_FINAL!$BH$492:$BH$541)))/(MIN(IF(WORKSHEET_FINAL!$BF$492:$BF$541=1,WORKSHEET_FINAL!$BF$492:$BF$541))+MIN(IF(WORKSHEET_FINAL!$BJ$492:$BJ$541=1,WORKSHEET_FINAL!$BJ$492:$BJ$541)))))</f>
        <v>2.1325497426136328</v>
      </c>
      <c r="H27" s="410" t="s">
        <v>52</v>
      </c>
      <c r="I27" s="663" t="str">
        <f>IF(INPUT!$L$60="G","---",CONCATENATE("LAYER # ",N27))</f>
        <v>LAYER # 6</v>
      </c>
      <c r="J27" s="664"/>
      <c r="K27" s="667">
        <f>IF(INPUT!L60="G","---",G28/G27)</f>
        <v>2.8135334337601225</v>
      </c>
      <c r="L27" s="654" t="str">
        <f>IF(K27="---","---",IF(K27&gt;=1,"OK","NG!"))</f>
        <v>OK</v>
      </c>
      <c r="M27" s="59"/>
      <c r="N27" s="7">
        <f t="array" ref="N27">IF(INPUT!L60="G","---",((MIN(IF(WORKSHEET_FINAL!$BF$492:$BF$541=1,WORKSHEET_FINAL!$A$492:$A$541))+MIN(IF(WORKSHEET_FINAL!$BJ$492:$BJ$541=1,WORKSHEET_FINAL!$A$492:$A$541)))/(MIN(IF(WORKSHEET_FINAL!$BF$492:$BF$541=1,WORKSHEET_FINAL!$BF$492:$BF$541))+MIN(IF(WORKSHEET_FINAL!$BJ$492:$BJ$541=1,WORKSHEET_FINAL!$BJ$492:$BJ$541)))))</f>
        <v>6</v>
      </c>
    </row>
    <row r="28" spans="3:16">
      <c r="C28" s="411" t="s">
        <v>93</v>
      </c>
      <c r="D28" s="403"/>
      <c r="E28" s="403"/>
      <c r="F28" s="406" t="s">
        <v>668</v>
      </c>
      <c r="G28" s="413">
        <f t="array" ref="G28">IF(INPUT!L60="G","---",((MIN(IF(WORKSHEET_FINAL!$BF$492:$BF$541=1,WORKSHEET_FINAL!$BC$492:$BC$541))+MIN(IF(WORKSHEET_FINAL!$BJ$492:$BJ$541=1,WORKSHEET_FINAL!$BG$492:$BG$541)))/(MIN(IF(WORKSHEET_FINAL!$BF$492:$BF$541=1,WORKSHEET_FINAL!$BF$492:$BF$541))+MIN(IF(WORKSHEET_FINAL!$BJ$492:$BJ$541=1,WORKSHEET_FINAL!$BJ$492:$BJ$541)))))</f>
        <v>6</v>
      </c>
      <c r="H28" s="414" t="s">
        <v>52</v>
      </c>
      <c r="I28" s="665"/>
      <c r="J28" s="666"/>
      <c r="K28" s="668"/>
      <c r="L28" s="655"/>
      <c r="M28" s="65"/>
      <c r="N28" s="7"/>
    </row>
    <row r="29" spans="3:16" ht="15.75">
      <c r="C29" s="398" t="s">
        <v>673</v>
      </c>
      <c r="D29" s="74"/>
      <c r="E29" s="74"/>
      <c r="F29" s="400" t="s">
        <v>650</v>
      </c>
      <c r="G29" s="407">
        <f t="array" ref="G29">IF(INPUT!L60="G","---",((MIN(IF(WORKSHEET_FINAL!$AS$428:$AS$477=1,WORKSHEET_FINAL!$AQ$428:$AQ$477))+MIN(IF(WORKSHEET_FINAL!$AW$428:$AW$477=1,WORKSHEET_FINAL!$AU$428:$AU$477)))/(MIN(IF(WORKSHEET_FINAL!$AS$428:$AS$477=1,WORKSHEET_FINAL!$AS$428:$AS$477))+MIN(IF(WORKSHEET_FINAL!$AW$428:$AW$477=1,WORKSHEET_FINAL!$AW$428:$AW$477)))))</f>
        <v>15.247991466426082</v>
      </c>
      <c r="H29" s="76" t="s">
        <v>56</v>
      </c>
      <c r="I29" s="663" t="str">
        <f>IF(INPUT!$L$60="G","---",CONCATENATE("LAYER # ",N29))</f>
        <v>LAYER # 1</v>
      </c>
      <c r="J29" s="664"/>
      <c r="K29" s="669">
        <f>IF(INPUT!L60="G","---",G30/G29)</f>
        <v>1.0630252538958933</v>
      </c>
      <c r="L29" s="654" t="str">
        <f>IF(K29="---","---",IF(K29&gt;=1,"OK","NG!"))</f>
        <v>OK</v>
      </c>
      <c r="N29" s="7">
        <f t="array" ref="N29">IF(INPUT!L60="G","---",((MIN(IF(WORKSHEET_FINAL!$AS$428:$AS$477=1,WORKSHEET_FINAL!$A$428:$A$477))+MIN(IF(WORKSHEET_FINAL!$AW$428:$AW$477=1,WORKSHEET_FINAL!$A$428:$A$477)))/(MIN(IF(WORKSHEET_FINAL!$AS$428:$AS$477=1,WORKSHEET_FINAL!$AS$428:$AS$477))+MIN(IF(WORKSHEET_FINAL!$AW$428:$AW$477=1,WORKSHEET_FINAL!$AW$428:$AW$477)))))</f>
        <v>1</v>
      </c>
      <c r="O29" s="559"/>
    </row>
    <row r="30" spans="3:16" ht="15.75">
      <c r="C30" s="411" t="s">
        <v>93</v>
      </c>
      <c r="D30" s="403"/>
      <c r="E30" s="403"/>
      <c r="F30" s="404" t="s">
        <v>651</v>
      </c>
      <c r="G30" s="413">
        <f t="array" ref="G30">IF(INPUT!L60="G","---",((MIN(IF(WORKSHEET_FINAL!$AS$428:$AS$477=1,WORKSHEET_FINAL!$AP$428:$AP$477))+MIN(IF(WORKSHEET_FINAL!$AW$428:$AW$477=1,WORKSHEET_FINAL!$AT$428:$AT$477)))/(MIN(IF(WORKSHEET_FINAL!$AS$428:$AS$477=1,WORKSHEET_FINAL!$AS$428:$AS$477))+MIN(IF(WORKSHEET_FINAL!$AW$428:$AW$477=1,WORKSHEET_FINAL!$AW$428:$AW$477)))))</f>
        <v>16.209</v>
      </c>
      <c r="H30" s="414" t="s">
        <v>56</v>
      </c>
      <c r="I30" s="665"/>
      <c r="J30" s="666"/>
      <c r="K30" s="668"/>
      <c r="L30" s="670"/>
      <c r="M30" s="65"/>
      <c r="N30" s="7"/>
    </row>
    <row r="31" spans="3:16" ht="18">
      <c r="C31" s="684" t="s">
        <v>94</v>
      </c>
      <c r="D31" s="685"/>
      <c r="E31" s="685"/>
      <c r="F31" s="685"/>
      <c r="G31" s="685"/>
      <c r="H31" s="685"/>
      <c r="I31" s="685"/>
      <c r="J31" s="685"/>
      <c r="K31" s="685"/>
      <c r="L31" s="638"/>
      <c r="M31" s="63"/>
      <c r="N31" s="7"/>
    </row>
    <row r="32" spans="3:16">
      <c r="C32" s="224" t="s">
        <v>639</v>
      </c>
      <c r="D32" s="256"/>
      <c r="E32" s="256"/>
      <c r="F32" s="256"/>
      <c r="G32" s="256"/>
      <c r="H32" s="254"/>
      <c r="I32" s="633" t="s">
        <v>676</v>
      </c>
      <c r="J32" s="590"/>
      <c r="K32" s="257" t="s">
        <v>85</v>
      </c>
      <c r="L32" s="134" t="s">
        <v>104</v>
      </c>
      <c r="M32" s="53"/>
      <c r="N32" s="7"/>
    </row>
    <row r="33" spans="3:14" ht="15.75">
      <c r="C33" s="409" t="s">
        <v>91</v>
      </c>
      <c r="D33" s="399"/>
      <c r="E33" s="399"/>
      <c r="F33" s="400" t="s">
        <v>640</v>
      </c>
      <c r="G33" s="401" t="str">
        <f t="array" ref="G33">IF(INPUT!L60&lt;&gt;"G","---",((MIN(IF(WORKSHEET_FINAL!$AI$298:$AI$347=1,WORKSHEET_FINAL!$AG$298:$AG$347))+MIN(IF(WORKSHEET_FINAL!$AM$298:$AM$347=1,WORKSHEET_FINAL!$AK$298:$AK$347))+MIN(IF(WORKSHEET_FINAL!$AQ$298:$AQ$347=1,WORKSHEET_FINAL!$AO$298:$AO$347)))/(MIN(IF(WORKSHEET_FINAL!$AI$298:$AI$347=1,WORKSHEET_FINAL!$AI$298:$AI$347))+MIN(IF(WORKSHEET_FINAL!$AM$298:$AM$347=1,WORKSHEET_FINAL!$AM$298:$AM$347))+MIN(IF(WORKSHEET_FINAL!$AQ$298:$AQ$347=1,WORKSHEET_FINAL!$AQ$298:$AQ$347)))))</f>
        <v>---</v>
      </c>
      <c r="H33" s="410" t="s">
        <v>52</v>
      </c>
      <c r="I33" s="663" t="str">
        <f>IF(INPUT!$L$60&lt;&gt;"G","---",CONCATENATE("LAYER # ",N33))</f>
        <v>---</v>
      </c>
      <c r="J33" s="664"/>
      <c r="K33" s="667" t="str">
        <f>IF(INPUT!L60&lt;&gt;"G","---",G34/G33)</f>
        <v>---</v>
      </c>
      <c r="L33" s="654" t="str">
        <f>IF(K33="---","---",IF(K33&gt;=1,"OK","NG!"))</f>
        <v>---</v>
      </c>
      <c r="M33" s="59"/>
      <c r="N33" s="428" t="str">
        <f t="array" ref="N33">IF(INPUT!L60&lt;&gt;"G","---",((MIN(IF(WORKSHEET_FINAL!$AI$298:$AI$347=1,WORKSHEET_FINAL!$A$298:$A$347))+MIN(IF(WORKSHEET_FINAL!$AM$298:$AM$347=1,WORKSHEET_FINAL!$A$298:$A$347))+MIN(IF(WORKSHEET_FINAL!$AQ$298:$AQ$347=1,WORKSHEET_FINAL!$A$298:$A$347)))/(MIN(IF(WORKSHEET_FINAL!$AI$298:$AI$347=1,WORKSHEET_FINAL!$AI$298:$AI$347))+MIN(IF(WORKSHEET_FINAL!$AM$298:$AM$347=1,WORKSHEET_FINAL!$AM$298:$AM$347))+MIN(IF(WORKSHEET_FINAL!$AQ$298:$AQ$347=1,WORKSHEET_FINAL!$AQ$298:$AQ$347)))))</f>
        <v>---</v>
      </c>
    </row>
    <row r="34" spans="3:14" ht="15.75">
      <c r="C34" s="415"/>
      <c r="D34" s="74"/>
      <c r="E34" s="74"/>
      <c r="F34" s="412" t="s">
        <v>647</v>
      </c>
      <c r="G34" s="407" t="str">
        <f t="array" ref="G34">IF(INPUT!L60&lt;&gt;"G","---",((MIN(IF(WORKSHEET_FINAL!$AI$298:$AI$347=1,WORKSHEET_FINAL!$AF$298:$AF$347))+MIN(IF(WORKSHEET_FINAL!$AM$298:$AM$347=1,WORKSHEET_FINAL!$AJ$298:$AJ$347))+MIN(IF(WORKSHEET_FINAL!$AQ$298:$AQ$347=1,WORKSHEET_FINAL!$AN$298:$AN$347)))/(MIN(IF(WORKSHEET_FINAL!$AI$298:$AI$347=1,WORKSHEET_FINAL!$AI$298:$AI$347))+MIN(IF(WORKSHEET_FINAL!$AM$298:$AM$347=1,WORKSHEET_FINAL!$AM$298:$AM$347))+MIN(IF(WORKSHEET_FINAL!$AQ$298:$AQ$347=1,WORKSHEET_FINAL!$AQ$298:$AQ$347)))))</f>
        <v>---</v>
      </c>
      <c r="H34" s="76" t="s">
        <v>52</v>
      </c>
      <c r="I34" s="665"/>
      <c r="J34" s="666"/>
      <c r="K34" s="671"/>
      <c r="L34" s="655"/>
      <c r="M34" s="65"/>
      <c r="N34" s="7"/>
    </row>
    <row r="35" spans="3:14" ht="15.75">
      <c r="C35" s="409" t="s">
        <v>95</v>
      </c>
      <c r="D35" s="399"/>
      <c r="E35" s="399"/>
      <c r="F35" s="400" t="s">
        <v>662</v>
      </c>
      <c r="G35" s="401" t="str">
        <f t="array" ref="G35">IF(INPUT!L60&lt;&gt;"G","---",((MIN(IF(WORKSHEET_FINAL!$BC$298:$BC$347=1,WORKSHEET_FINAL!$BA$298:$BA$347))+MIN(IF(WORKSHEET_FINAL!$BG$298:$BG$347=1,WORKSHEET_FINAL!$BE$298:$BE$347)))/(MIN(IF(WORKSHEET_FINAL!$BC$298:$BC$347=1,WORKSHEET_FINAL!$BC$298:$BC$347))+MIN(IF(WORKSHEET_FINAL!$BG$298:$BG$347=1,WORKSHEET_FINAL!$BG$298:$BG$347)))))</f>
        <v>---</v>
      </c>
      <c r="H35" s="410" t="s">
        <v>52</v>
      </c>
      <c r="I35" s="663" t="str">
        <f>IF(INPUT!$L$60&lt;&gt;"G","---",CONCATENATE("LAYER # ",N35))</f>
        <v>---</v>
      </c>
      <c r="J35" s="664"/>
      <c r="K35" s="667" t="str">
        <f>IF(INPUT!L60&lt;&gt;"G","---",G36/G35)</f>
        <v>---</v>
      </c>
      <c r="L35" s="654" t="str">
        <f>IF(K35="---","---",IF(K35&gt;=1,"OK","NG!"))</f>
        <v>---</v>
      </c>
      <c r="M35" s="59"/>
      <c r="N35" s="7" t="str">
        <f t="array" ref="N35">IF(INPUT!L60&lt;&gt;"G","---",((MIN(IF(WORKSHEET_FINAL!$BC$298:$BC$347=1,WORKSHEET_FINAL!$A$298:$A$347))+MIN(IF(WORKSHEET_FINAL!$BG$298:$BG$347=1,WORKSHEET_FINAL!$A$298:$A$347)))/(MIN(IF(WORKSHEET_FINAL!$BC$298:$BC$347=1,WORKSHEET_FINAL!$BC$298:$BC$347))+MIN(IF(WORKSHEET_FINAL!$BG$298:$BG$347=1,WORKSHEET_FINAL!$BG$298:$BG$347)))))</f>
        <v>---</v>
      </c>
    </row>
    <row r="36" spans="3:14" ht="15.75">
      <c r="C36" s="411"/>
      <c r="D36" s="403"/>
      <c r="E36" s="403"/>
      <c r="F36" s="412" t="s">
        <v>96</v>
      </c>
      <c r="G36" s="381" t="str">
        <f t="array" ref="G36">IF(INPUT!L60&lt;&gt;"G","---",((MIN(IF(WORKSHEET_FINAL!$BC$298:$BC$347=1,WORKSHEET_FINAL!$AZ$298:$AZ$347))+MIN(IF(WORKSHEET_FINAL!$BG$298:$BG$347=1,WORKSHEET_FINAL!$BD$298:$BD$347)))/(MIN(IF(WORKSHEET_FINAL!$BC$298:$BC$347=1,WORKSHEET_FINAL!$BC$298:$BC$347))+MIN(IF(WORKSHEET_FINAL!$BG$298:$BG$347=1,WORKSHEET_FINAL!$BG$298:$BG$347)))))</f>
        <v>---</v>
      </c>
      <c r="H36" s="414" t="s">
        <v>52</v>
      </c>
      <c r="I36" s="665"/>
      <c r="J36" s="666"/>
      <c r="K36" s="668"/>
      <c r="L36" s="655"/>
      <c r="M36" s="65"/>
      <c r="N36" s="7"/>
    </row>
    <row r="37" spans="3:14" ht="15.75">
      <c r="C37" s="409" t="s">
        <v>97</v>
      </c>
      <c r="D37" s="399"/>
      <c r="E37" s="399"/>
      <c r="F37" s="400" t="s">
        <v>663</v>
      </c>
      <c r="G37" s="401" t="str">
        <f t="array" ref="G37">IF(INPUT!L60&lt;&gt;"G","---",((MIN(IF(WORKSHEET_FINAL!$BK$298:$BK$347=1,WORKSHEET_FINAL!$BI$298:$BI$347))+MIN(IF(WORKSHEET_FINAL!$BO$298:$BO$347=1,WORKSHEET_FINAL!$BM$298:$BM$347)))/(MIN(IF(WORKSHEET_FINAL!$BK$298:$BK$347=1,WORKSHEET_FINAL!$BK$298:$BK$347))+MIN(IF(WORKSHEET_FINAL!$BO$298:$BO$347=1,WORKSHEET_FINAL!$BO$298:$BO$347)))))</f>
        <v>---</v>
      </c>
      <c r="H37" s="410" t="s">
        <v>52</v>
      </c>
      <c r="I37" s="663" t="str">
        <f>IF(INPUT!$L$60&lt;&gt;"G","---",CONCATENATE("LAYER # ",N37))</f>
        <v>---</v>
      </c>
      <c r="J37" s="664"/>
      <c r="K37" s="667" t="str">
        <f>IF(WORKSHEET_FINAL!K51=0,"---",IF(INPUT!L60&lt;&gt;"G","---",G38/G37))</f>
        <v>---</v>
      </c>
      <c r="L37" s="654" t="str">
        <f>IF(K37="---","---",IF(K37&gt;=1,"OK","NG!"))</f>
        <v>---</v>
      </c>
      <c r="M37" s="59"/>
      <c r="N37" s="7" t="str">
        <f t="array" ref="N37">IF(INPUT!L60&lt;&gt;"G","---",((MIN(IF(WORKSHEET_FINAL!$BK$298:$BK$347=1,WORKSHEET_FINAL!$A$298:$A$347))+MIN(IF(WORKSHEET_FINAL!$BO$298:$BO$347=1,WORKSHEET_FINAL!$A$298:$A$347)))/(MIN(IF(WORKSHEET_FINAL!$BK$298:$BK$347=1,WORKSHEET_FINAL!$BK$298:$BK$347))+MIN(IF(WORKSHEET_FINAL!$BO$298:$BO$347=1,WORKSHEET_FINAL!$BO$298:$BO$347)))))</f>
        <v>---</v>
      </c>
    </row>
    <row r="38" spans="3:14" ht="15.75">
      <c r="C38" s="411"/>
      <c r="D38" s="403"/>
      <c r="E38" s="403"/>
      <c r="F38" s="417" t="s">
        <v>98</v>
      </c>
      <c r="G38" s="381" t="str">
        <f t="array" ref="G38">IF(INPUT!L60&lt;&gt;"G","---",((MIN(IF(WORKSHEET_FINAL!$BK$298:$BK$347=1,WORKSHEET_FINAL!$BH$298:$BH$347))+MIN(IF(WORKSHEET_FINAL!$BO$298:$BO$347=1,WORKSHEET_FINAL!$BL$298:$BL$347)))/(MIN(IF(WORKSHEET_FINAL!$BK$298:$BK$347=1,WORKSHEET_FINAL!$BK$298:$BK$347))+MIN(IF(WORKSHEET_FINAL!$BO$298:$BO$347=1,WORKSHEET_FINAL!$BO$298:$BO$347)))))</f>
        <v>---</v>
      </c>
      <c r="H38" s="414" t="s">
        <v>52</v>
      </c>
      <c r="I38" s="665"/>
      <c r="J38" s="666"/>
      <c r="K38" s="668"/>
      <c r="L38" s="655"/>
      <c r="M38" s="65"/>
      <c r="N38" s="7"/>
    </row>
    <row r="39" spans="3:14" ht="15.75">
      <c r="C39" s="409" t="s">
        <v>92</v>
      </c>
      <c r="D39" s="399"/>
      <c r="E39" s="399"/>
      <c r="F39" s="400" t="s">
        <v>640</v>
      </c>
      <c r="G39" s="401" t="str">
        <f t="array" ref="G39">IF(AND(Geo_Face="y",Geo_Conn="f")=TRUE,"---",IF(INPUT!L60&lt;&gt;"G","---",((MIN(IF(WORKSHEET_FINAL!$AU$298:$AU$347=1,WORKSHEET_FINAL!$AS$298:$AS$347))+MIN(IF(WORKSHEET_FINAL!$AY$298:$AY$347=1,WORKSHEET_FINAL!$AW$298:$AW$347)))/(MIN(IF(WORKSHEET_FINAL!$AU$298:$AU$347=1,WORKSHEET_FINAL!$AU$298:$AU$347))+MIN(IF(WORKSHEET_FINAL!$AY$298:$AY$347=1,WORKSHEET_FINAL!$AY$298:$AY$347))))))</f>
        <v>---</v>
      </c>
      <c r="H39" s="410" t="s">
        <v>52</v>
      </c>
      <c r="I39" s="663" t="str">
        <f>IF(INPUT!$L$60&lt;&gt;"G","---",CONCATENATE("LAYER # ",N39))</f>
        <v>---</v>
      </c>
      <c r="J39" s="664"/>
      <c r="K39" s="667" t="str">
        <f>IF(AND(Geo_Face="y",Geo_Conn="f")=TRUE,"---",IF(INPUT!L60&lt;&gt;"G","---",G40/G39))</f>
        <v>---</v>
      </c>
      <c r="L39" s="654" t="str">
        <f>IF(K39="---","---",IF(K39&gt;=1,"OK","NG!"))</f>
        <v>---</v>
      </c>
      <c r="M39" s="59"/>
      <c r="N39" s="7" t="str">
        <f t="array" ref="N39">IF(AND(Geo_Face="y",Geo_Conn="f")=TRUE,"---",IF(INPUT!L60&lt;&gt;"G","---",((MIN(IF(WORKSHEET_FINAL!$AU$298:$AU$347=1,WORKSHEET_FINAL!$A$298:$A$347))+MIN(IF(WORKSHEET_FINAL!$AY$298:$AY$347=1,WORKSHEET_FINAL!$A$298:$A$347)))/(MIN(IF(WORKSHEET_FINAL!$AU$298:$AU$347=1,WORKSHEET_FINAL!$AU$298:$AU$347))+MIN(IF(WORKSHEET_FINAL!$AY$298:$AY$347=1,WORKSHEET_FINAL!$AY$298:$AY$347))))))</f>
        <v>---</v>
      </c>
    </row>
    <row r="40" spans="3:14" ht="15.75">
      <c r="C40" s="411"/>
      <c r="D40" s="403"/>
      <c r="E40" s="403"/>
      <c r="F40" s="412" t="s">
        <v>656</v>
      </c>
      <c r="G40" s="381" t="str">
        <f t="array" ref="G40">IF(AND(Geo_Face="y",Geo_Conn="f")=TRUE,"---",IF(INPUT!L60&lt;&gt;"G","---",((MIN(IF(WORKSHEET_FINAL!$AU$298:$AU$347=1,WORKSHEET_FINAL!$AR$298:$AR$347))+MIN(IF(WORKSHEET_FINAL!$AY$298:$AY$347=1,WORKSHEET_FINAL!$AV$298:$AV$347)))/(MIN(IF(WORKSHEET_FINAL!$AU$298:$AU$347=1,WORKSHEET_FINAL!$AU$298:$AU$347))+MIN(IF(WORKSHEET_FINAL!$AY$298:$AY$347=1,WORKSHEET_FINAL!$AY$298:$AY$347))))))</f>
        <v>---</v>
      </c>
      <c r="H40" s="414" t="s">
        <v>52</v>
      </c>
      <c r="I40" s="665"/>
      <c r="J40" s="666"/>
      <c r="K40" s="668"/>
      <c r="L40" s="655"/>
      <c r="M40" s="65"/>
      <c r="N40" s="7"/>
    </row>
    <row r="41" spans="3:14" ht="15.75">
      <c r="C41" s="408" t="s">
        <v>674</v>
      </c>
      <c r="D41" s="74"/>
      <c r="E41" s="74"/>
      <c r="F41" s="400" t="s">
        <v>671</v>
      </c>
      <c r="G41" s="407" t="str">
        <f t="array" ref="G41">IF(AND(Geo_Face="y",Geo_Conn="f")=TRUE,IF(INPUT!L60&lt;&gt;"G","---",((MIN(IF(WORKSHEET_FINAL!$BA$428:$BA$477=1,WORKSHEET_FINAL!$AY$428:$AY$477))+MIN(IF(WORKSHEET_FINAL!$BE$428:$BE$477=1,WORKSHEET_FINAL!$BC$428:$BC$477)))/(MIN(IF(WORKSHEET_FINAL!$BA$428:$BA$477=1,WORKSHEET_FINAL!$BA$428:$BA$477))+MIN(IF(WORKSHEET_FINAL!$BE$428:$BE$477=1,WORKSHEET_FINAL!$BE$428:$BE$477))))),"---")</f>
        <v>---</v>
      </c>
      <c r="H41" s="410" t="s">
        <v>56</v>
      </c>
      <c r="I41" s="663" t="str">
        <f>IF(INPUT!$L$60&lt;&gt;"G","---",CONCATENATE("LAYER # ",N41))</f>
        <v>---</v>
      </c>
      <c r="J41" s="664"/>
      <c r="K41" s="667" t="str">
        <f>IF(AND(Geo_Face="y",Geo_Conn="f")=TRUE,IF(INPUT!L60&lt;&gt;"G","---",G42/G41),"---")</f>
        <v>---</v>
      </c>
      <c r="L41" s="654" t="str">
        <f>IF(K41="---","---",IF(K41&gt;=1,"OK","NG!"))</f>
        <v>---</v>
      </c>
      <c r="M41" s="65"/>
      <c r="N41" s="7" t="str">
        <f t="array" ref="N41">IF(AND(Geo_Face="y",Geo_Conn="f")=TRUE,IF(INPUT!L60&lt;&gt;"G","---",((MIN(IF(WORKSHEET_FINAL!$BA$428:$BA$477=1,WORKSHEET_FINAL!$A$428:$A$477))+MIN(IF(WORKSHEET_FINAL!$BE$428:$BE$477=1,WORKSHEET_FINAL!$A$428:$A$477)))/(MIN(IF(WORKSHEET_FINAL!$BA$428:$BA$477=1,WORKSHEET_FINAL!$BA$428:$BA$477))+MIN(IF(WORKSHEET_FINAL!$BE$428:$BE$477=1,WORKSHEET_FINAL!$BE$428:$BE$477))))),"---")</f>
        <v>---</v>
      </c>
    </row>
    <row r="42" spans="3:14" ht="15.75">
      <c r="C42" s="415"/>
      <c r="D42" s="74"/>
      <c r="E42" s="74"/>
      <c r="F42" s="418" t="s">
        <v>144</v>
      </c>
      <c r="G42" s="407" t="str">
        <f t="array" ref="G42">IF(AND(Geo_Face="y",Geo_Conn="f")=TRUE,IF(INPUT!L60&lt;&gt;"G","---",((MIN(IF(WORKSHEET_FINAL!$BA$428:$BA$477=1,WORKSHEET_FINAL!$AX$428:$AX$477))+MIN(IF(WORKSHEET_FINAL!$BE$428:$BE$477=1,WORKSHEET_FINAL!$BB$428:$BB$477)))/(MIN(IF(WORKSHEET_FINAL!$BA$428:$BA$477=1,WORKSHEET_FINAL!$BA$428:$BA$477))+MIN(IF(WORKSHEET_FINAL!$BE$428:$BE$477=1,WORKSHEET_FINAL!$BE$428:$BE$477))))),"---")</f>
        <v>---</v>
      </c>
      <c r="H42" s="414" t="s">
        <v>56</v>
      </c>
      <c r="I42" s="665"/>
      <c r="J42" s="666"/>
      <c r="K42" s="668"/>
      <c r="L42" s="655"/>
      <c r="M42" s="65"/>
      <c r="N42" s="7"/>
    </row>
    <row r="43" spans="3:14" ht="15.75">
      <c r="C43" s="398" t="s">
        <v>673</v>
      </c>
      <c r="D43" s="399"/>
      <c r="E43" s="399"/>
      <c r="F43" s="400" t="s">
        <v>650</v>
      </c>
      <c r="G43" s="84" t="str">
        <f t="array" ref="G43">IF(INPUT!L60&lt;&gt;"G","---",((MIN(IF(WORKSHEET_FINAL!$AJ$428:$AJ$477=1,WORKSHEET_FINAL!$AH$428:$AH$477))+MIN(IF(WORKSHEET_FINAL!$AN$428:$AN$477=1,WORKSHEET_FINAL!$AL$428:$AL$477)))/(MIN(IF(WORKSHEET_FINAL!$AJ$428:$AJ$477=1,WORKSHEET_FINAL!$AJ$428:$AJ$477))+MIN(IF(WORKSHEET_FINAL!$AN$428:$AN$477=1,WORKSHEET_FINAL!$AN$428:$AN$477)))))</f>
        <v>---</v>
      </c>
      <c r="H43" s="410" t="s">
        <v>56</v>
      </c>
      <c r="I43" s="663" t="str">
        <f>IF(INPUT!$L$60&lt;&gt;"G","---",CONCATENATE("LAYER # ",N43))</f>
        <v>---</v>
      </c>
      <c r="J43" s="664"/>
      <c r="K43" s="667" t="str">
        <f>IF(INPUT!L60&lt;&gt;"G","---",G44/G43)</f>
        <v>---</v>
      </c>
      <c r="L43" s="654" t="str">
        <f>IF(K43="---","---",IF(K43&gt;=1,"OK","NG!"))</f>
        <v>---</v>
      </c>
      <c r="M43" s="59"/>
      <c r="N43" s="7" t="str">
        <f t="array" ref="N43">IF(INPUT!L60&lt;&gt;"G","---",((MIN(IF(WORKSHEET_FINAL!$AJ$428:$AJ$477=1,WORKSHEET_FINAL!$A$428:$A$477))+MIN(IF(WORKSHEET_FINAL!$AN$428:$AN$477=1,WORKSHEET_FINAL!$A$428:$A$477)))/(MIN(IF(WORKSHEET_FINAL!$AJ$428:$AJ$477=1,WORKSHEET_FINAL!$AJ$428:$AJ$477))+MIN(IF(WORKSHEET_FINAL!$AN$428:$AN$477=1,WORKSHEET_FINAL!$AN$428:$AN$477)))))</f>
        <v>---</v>
      </c>
    </row>
    <row r="44" spans="3:14" ht="15.75">
      <c r="C44" s="411"/>
      <c r="D44" s="403"/>
      <c r="E44" s="403"/>
      <c r="F44" s="404" t="s">
        <v>651</v>
      </c>
      <c r="G44" s="413" t="str">
        <f t="array" ref="G44">IF(INPUT!L60&lt;&gt;"G","---",((MIN(IF(WORKSHEET_FINAL!$AJ$428:$AJ$477=1,WORKSHEET_FINAL!$AG$428:$AG$477))+MIN(IF(WORKSHEET_FINAL!$AN$428:$AN$477=1,WORKSHEET_FINAL!$AK$428:$AK$477)))/(MIN(IF(WORKSHEET_FINAL!$AJ$428:$AJ$477=1,WORKSHEET_FINAL!$AJ$428:$AJ$477))+MIN(IF(WORKSHEET_FINAL!$AN$428:$AN$477=1,WORKSHEET_FINAL!$AN$428:$AN$477)))))</f>
        <v>---</v>
      </c>
      <c r="H44" s="414" t="s">
        <v>56</v>
      </c>
      <c r="I44" s="665"/>
      <c r="J44" s="666"/>
      <c r="K44" s="668"/>
      <c r="L44" s="655"/>
      <c r="M44" s="65"/>
      <c r="N44" s="7"/>
    </row>
    <row r="45" spans="3:14" ht="15.75">
      <c r="C45" s="409" t="s">
        <v>99</v>
      </c>
      <c r="D45" s="399"/>
      <c r="E45" s="399"/>
      <c r="F45" s="400" t="s">
        <v>667</v>
      </c>
      <c r="G45" s="84" t="str">
        <f t="array" ref="G45">IF(INPUT!L60&lt;&gt;"G","---",((MIN(IF(WORKSHEET_FINAL!$AH$492:$AH$541=1,WORKSHEET_FINAL!$AF$492:$AF$541))+MIN(IF(WORKSHEET_FINAL!$AL$492:$AL$541=1,WORKSHEET_FINAL!$AJ$492:$AJ$541))/(MIN(IF(WORKSHEET_FINAL!$AH$492:$AH$541=1,WORKSHEET_FINAL!$AH$492:$AH$541))+MIN(IF(WORKSHEET_FINAL!$AL$492:$AL$541=1,WORKSHEET_FINAL!$AL$492:$AL$541))))))</f>
        <v>---</v>
      </c>
      <c r="H45" s="410" t="s">
        <v>52</v>
      </c>
      <c r="I45" s="663" t="str">
        <f>IF(INPUT!$L$60&lt;&gt;"G","---",CONCATENATE("LAYER # ",N45))</f>
        <v>---</v>
      </c>
      <c r="J45" s="664"/>
      <c r="K45" s="667" t="str">
        <f>IF(INPUT!L60&lt;&gt;"G","---",G46/G45)</f>
        <v>---</v>
      </c>
      <c r="L45" s="654" t="str">
        <f>IF(K45="---","---",IF(K45&gt;=1,"OK","NG!"))</f>
        <v>---</v>
      </c>
      <c r="M45" s="59"/>
      <c r="N45" s="7" t="str">
        <f t="array" ref="N45">IF(INPUT!L60&lt;&gt;"G","---",((MIN(IF(WORKSHEET_FINAL!$AH$492:$AH$541=1,WORKSHEET_FINAL!$A$492:$A$541))+MIN(IF(WORKSHEET_FINAL!$AL$492:$AL$541=1,WORKSHEET_FINAL!$A$492:$A$541))/(MIN(IF(WORKSHEET_FINAL!$AH$492:$AH$541=1,WORKSHEET_FINAL!$AH$492:$AH$541))+MIN(IF(WORKSHEET_FINAL!$AL$492:$AL$541=1,WORKSHEET_FINAL!$AL$492:$AL$541))))))</f>
        <v>---</v>
      </c>
    </row>
    <row r="46" spans="3:14" ht="15.75">
      <c r="C46" s="411" t="s">
        <v>93</v>
      </c>
      <c r="D46" s="403"/>
      <c r="E46" s="403"/>
      <c r="F46" s="412" t="s">
        <v>647</v>
      </c>
      <c r="G46" s="413" t="str">
        <f t="array" ref="G46">IF(INPUT!L60&lt;&gt;"G","---",((MIN(IF(WORKSHEET_FINAL!$AH$492:$AH$541=1,WORKSHEET_FINAL!$AE$492:$AE$541))+MIN(IF(WORKSHEET_FINAL!$AL$492:$AL$541=1,WORKSHEET_FINAL!$AI$492:$AI$541))/(MIN(IF(WORKSHEET_FINAL!$AH$492:$AH$541=1,WORKSHEET_FINAL!$AH$492:$AH$541))+MIN(IF(WORKSHEET_FINAL!$AL$492:$AL$541=1,WORKSHEET_FINAL!$AL$492:$AL$541))))))</f>
        <v>---</v>
      </c>
      <c r="H46" s="414" t="s">
        <v>52</v>
      </c>
      <c r="I46" s="665"/>
      <c r="J46" s="666"/>
      <c r="K46" s="668"/>
      <c r="L46" s="655"/>
      <c r="M46" s="65"/>
      <c r="N46" s="7"/>
    </row>
    <row r="47" spans="3:14" ht="15.75">
      <c r="C47" s="415" t="s">
        <v>100</v>
      </c>
      <c r="D47" s="74"/>
      <c r="E47" s="74"/>
      <c r="F47" s="400" t="s">
        <v>640</v>
      </c>
      <c r="G47" s="416" t="str">
        <f t="array" ref="G47">IF(INPUT!L60&lt;&gt;"G","---",((MIN(IF(WORKSHEET_FINAL!$AP$492:$AP$541=1,WORKSHEET_FINAL!$AN$492:$AN$541))+MIN(IF(WORKSHEET_FINAL!$AT$492:$AT$541=1,WORKSHEET_FINAL!$AR$492:$AR$541)))/(MIN(IF(WORKSHEET_FINAL!$AP$492:$AP$541=1,WORKSHEET_FINAL!$AP$492:$AP$541))+MIN(IF(WORKSHEET_FINAL!$AT$492:$AT$541=1,WORKSHEET_FINAL!$AT$492:$AT$541)))))</f>
        <v>---</v>
      </c>
      <c r="H47" s="76" t="s">
        <v>52</v>
      </c>
      <c r="I47" s="663" t="str">
        <f>IF(INPUT!$L$60&lt;&gt;"G","---",CONCATENATE("LAYER # ",N47))</f>
        <v>---</v>
      </c>
      <c r="J47" s="664"/>
      <c r="K47" s="669" t="str">
        <f>IF(INPUT!L60&lt;&gt;"G","---",G48/G47)</f>
        <v>---</v>
      </c>
      <c r="L47" s="654" t="str">
        <f>IF(K47="---","---",IF(K47&gt;=1,"OK","NG!"))</f>
        <v>---</v>
      </c>
      <c r="M47" s="59"/>
      <c r="N47" s="7" t="str">
        <f t="array" ref="N47">IF(INPUT!L60&lt;&gt;"G","---",((MIN(IF(WORKSHEET_FINAL!$AP$492:$AP$541=1,WORKSHEET_FINAL!$A$492:$A$541))+MIN(IF(WORKSHEET_FINAL!$AT$492:$AT$541=1,WORKSHEET_FINAL!$A$492:$A$541)))/(MIN(IF(WORKSHEET_FINAL!$AP$492:$AP$541=1,WORKSHEET_FINAL!$AP$492:$AP$541))+MIN(IF(WORKSHEET_FINAL!$AT$492:$AT$541=1,WORKSHEET_FINAL!$AT$492:$AT$541)))))</f>
        <v>---</v>
      </c>
    </row>
    <row r="48" spans="3:14" ht="15.75">
      <c r="C48" s="415" t="s">
        <v>93</v>
      </c>
      <c r="D48" s="74"/>
      <c r="E48" s="74"/>
      <c r="F48" s="419" t="s">
        <v>96</v>
      </c>
      <c r="G48" s="416" t="str">
        <f t="array" ref="G48">IF(INPUT!L60&lt;&gt;"G","---",((MIN(IF(WORKSHEET_FINAL!$AP$492:$AP$541=1,WORKSHEET_FINAL!$AM$492:$AM$541))+MIN(IF(WORKSHEET_FINAL!$AT$492:$AT$541=1,WORKSHEET_FINAL!$AQ$492:$AQ$541)))/(MIN(IF(WORKSHEET_FINAL!$AP$492:$AP$541=1,WORKSHEET_FINAL!$AP$492:$AP$541))+MIN(IF(WORKSHEET_FINAL!$AT$492:$AT$541=1,WORKSHEET_FINAL!$AT$492:$AT$541)))))</f>
        <v>---</v>
      </c>
      <c r="H48" s="76" t="s">
        <v>52</v>
      </c>
      <c r="I48" s="665"/>
      <c r="J48" s="666"/>
      <c r="K48" s="671"/>
      <c r="L48" s="655"/>
      <c r="M48" s="65"/>
      <c r="N48" s="7"/>
    </row>
    <row r="49" spans="3:14" ht="15.75">
      <c r="C49" s="409" t="s">
        <v>101</v>
      </c>
      <c r="D49" s="399"/>
      <c r="E49" s="399"/>
      <c r="F49" s="400" t="s">
        <v>677</v>
      </c>
      <c r="G49" s="84" t="str">
        <f t="array" ref="G49">IF(INPUT!L60&lt;&gt;"G","---",((MIN(IF(WORKSHEET_FINAL!$AX$492:$AX$541=1,WORKSHEET_FINAL!$AV$492:$AV$541))+MIN(IF(WORKSHEET_FINAL!$BB$492:$BB$541=1,WORKSHEET_FINAL!$AZ$492:$AZ$541)))/(MIN(IF(WORKSHEET_FINAL!$AX$492:$AX$541=1,WORKSHEET_FINAL!$AX$492:$AX$541))+MIN(IF(WORKSHEET_FINAL!$BB$492:$BB$541=1,WORKSHEET_FINAL!$BB$492:$BB$541)))))</f>
        <v>---</v>
      </c>
      <c r="H49" s="410" t="s">
        <v>52</v>
      </c>
      <c r="I49" s="663" t="str">
        <f>IF(INPUT!$L$60&lt;&gt;"G","---",CONCATENATE("LAYER # ",N49))</f>
        <v>---</v>
      </c>
      <c r="J49" s="664"/>
      <c r="K49" s="667" t="str">
        <f>IF(INPUT!L60&lt;&gt;"G","---",G50/G49)</f>
        <v>---</v>
      </c>
      <c r="L49" s="654" t="str">
        <f>IF(K49="---","---",IF(K49&gt;=1,"OK","NG!"))</f>
        <v>---</v>
      </c>
      <c r="M49" s="59"/>
      <c r="N49" s="7" t="str">
        <f t="array" ref="N49">IF(INPUT!L60&lt;&gt;"G","---",((MIN(IF(WORKSHEET_FINAL!$AX$492:$AX$541=1,WORKSHEET_FINAL!$A$492:$A$541))+MIN(IF(WORKSHEET_FINAL!$BB$492:$BB$541=1,WORKSHEET_FINAL!$A$492:$A$541)))/(MIN(IF(WORKSHEET_FINAL!$AX$492:$AX$541=1,WORKSHEET_FINAL!$AX$492:$AX$541))+MIN(IF(WORKSHEET_FINAL!$BB$492:$BB$541=1,WORKSHEET_FINAL!$BB$492:$BB$541)))))</f>
        <v>---</v>
      </c>
    </row>
    <row r="50" spans="3:14" ht="15.75">
      <c r="C50" s="411" t="s">
        <v>93</v>
      </c>
      <c r="D50" s="403"/>
      <c r="E50" s="403"/>
      <c r="F50" s="417" t="s">
        <v>98</v>
      </c>
      <c r="G50" s="413" t="str">
        <f t="array" ref="G50">IF(INPUT!L60&lt;&gt;"G","---",((MIN(IF(WORKSHEET_FINAL!$AX$492:$AX$541=1,WORKSHEET_FINAL!$AU$492:$AU$541))+MIN(IF(WORKSHEET_FINAL!$BB$492:$BB$541=1,WORKSHEET_FINAL!$AY$492:$AY$541)))/(MIN(IF(WORKSHEET_FINAL!$AX$492:$AX$541=1,WORKSHEET_FINAL!$AX$492:$AX$541))+MIN(IF(WORKSHEET_FINAL!$BB$492:$BB$541=1,WORKSHEET_FINAL!$BB$492:$BB$541)))))</f>
        <v>---</v>
      </c>
      <c r="H50" s="414" t="s">
        <v>52</v>
      </c>
      <c r="I50" s="665"/>
      <c r="J50" s="666"/>
      <c r="K50" s="668"/>
      <c r="L50" s="655"/>
      <c r="M50" s="65"/>
      <c r="N50" s="7"/>
    </row>
    <row r="51" spans="3:14" ht="15.75">
      <c r="C51" s="415" t="s">
        <v>92</v>
      </c>
      <c r="D51" s="74"/>
      <c r="E51" s="74"/>
      <c r="F51" s="400" t="s">
        <v>667</v>
      </c>
      <c r="G51" s="416" t="str">
        <f t="array" ref="G51">IF(AND(Geo_Face="y",Geo_Conn="f")=TRUE,"---",IF(INPUT!L60&lt;&gt;"G","---",((MIN(IF(WORKSHEET_FINAL!$BN$492:$BN$541=1,WORKSHEET_FINAL!$BL$492:$BL$541))+MIN(IF(WORKSHEET_FINAL!$BR$492:$BR$541=1,WORKSHEET_FINAL!$BP$492:$BP$541)))/(MIN(IF(WORKSHEET_FINAL!$BN$492:$BN$541=1,WORKSHEET_FINAL!$BN$492:$BN$541))+MIN(IF(WORKSHEET_FINAL!$BR$492:$BR$541=1,WORKSHEET_FINAL!$BR$492:$BR$541))))))</f>
        <v>---</v>
      </c>
      <c r="H51" s="76" t="s">
        <v>52</v>
      </c>
      <c r="I51" s="663" t="str">
        <f>IF(INPUT!$L$60&lt;&gt;"G","---",CONCATENATE("LAYER # ",N51))</f>
        <v>---</v>
      </c>
      <c r="J51" s="664"/>
      <c r="K51" s="669" t="str">
        <f>IF(AND(Geo_Face="y",Geo_Conn="f")=TRUE,"---",IF(INPUT!L60&lt;&gt;"G","---",G52/G51))</f>
        <v>---</v>
      </c>
      <c r="L51" s="654" t="str">
        <f>IF(K51="---","---",IF(K51&gt;=1,"OK","NG!"))</f>
        <v>---</v>
      </c>
      <c r="M51" s="59"/>
      <c r="N51" s="7" t="str">
        <f t="array" ref="N51">IF(AND(Geo_Face="y",Geo_Conn="f")=TRUE,"---",IF(INPUT!L60&lt;&gt;"G","---",((MIN(IF(WORKSHEET_FINAL!$BN$492:$BN$541=1,WORKSHEET_FINAL!$A$492:$A$541))+MIN(IF(WORKSHEET_FINAL!$BR$492:$BR$541=1,WORKSHEET_FINAL!$A$492:$A$541)))/(MIN(IF(WORKSHEET_FINAL!$BN$492:$BN$541=1,WORKSHEET_FINAL!$BN$492:$BN$541))+MIN(IF(WORKSHEET_FINAL!$BR$492:$BR$541=1,WORKSHEET_FINAL!$BR$492:$BR$541))))))</f>
        <v>---</v>
      </c>
    </row>
    <row r="52" spans="3:14" ht="15.75">
      <c r="C52" s="415" t="s">
        <v>93</v>
      </c>
      <c r="D52" s="74"/>
      <c r="E52" s="74"/>
      <c r="F52" s="412" t="s">
        <v>656</v>
      </c>
      <c r="G52" s="416" t="str">
        <f t="array" ref="G52">IF(AND(Geo_Face="y",Geo_Conn="f")=TRUE,"---",IF(INPUT!L60&lt;&gt;"G","---",((MIN(IF(WORKSHEET_FINAL!$BN$492:$BN$541=1,WORKSHEET_FINAL!$BK$492:$BK$541))+MIN(IF(WORKSHEET_FINAL!$BR$492:$BR$541=1,WORKSHEET_FINAL!$BO$492:$BO$541)))/(MIN(IF(WORKSHEET_FINAL!$BN$492:$BN$541=1,WORKSHEET_FINAL!$BN$492:$BN$541))+MIN(IF(WORKSHEET_FINAL!$BR$492:$BR$541=1,WORKSHEET_FINAL!$BR$492:$BR$541))))))</f>
        <v>---</v>
      </c>
      <c r="H52" s="76" t="s">
        <v>52</v>
      </c>
      <c r="I52" s="665"/>
      <c r="J52" s="666"/>
      <c r="K52" s="671"/>
      <c r="L52" s="655"/>
      <c r="M52" s="65"/>
      <c r="N52" s="7"/>
    </row>
    <row r="53" spans="3:14" ht="15.75">
      <c r="C53" s="409" t="s">
        <v>102</v>
      </c>
      <c r="D53" s="399"/>
      <c r="E53" s="399"/>
      <c r="F53" s="400" t="s">
        <v>640</v>
      </c>
      <c r="G53" s="84" t="str">
        <f t="array" ref="G53">IF(AND(Geo_Face="y",Geo_Conn="f")=TRUE,"---",IF(INPUT!L60&lt;&gt;"G","---",((MIN(IF(WORKSHEET_FINAL!$BV$492:$BV$541=1,WORKSHEET_FINAL!$BT$492:$BT$541))+MIN(IF(WORKSHEET_FINAL!$BZ$492:$BZ$541=1,WORKSHEET_FINAL!$BX$492:$BX$541)))/(MIN(IF(WORKSHEET_FINAL!$BV$492:$BV$541=1,WORKSHEET_FINAL!$BV$492:$BV$541))+MIN(IF(WORKSHEET_FINAL!$BZ$492:$BZ$541=1,WORKSHEET_FINAL!$BZ$492:$BZ$541))))))</f>
        <v>---</v>
      </c>
      <c r="H53" s="410" t="s">
        <v>52</v>
      </c>
      <c r="I53" s="663" t="str">
        <f>IF(INPUT!$L$60&lt;&gt;"G","---",CONCATENATE("LAYER # ",N53))</f>
        <v>---</v>
      </c>
      <c r="J53" s="664"/>
      <c r="K53" s="654" t="str">
        <f>IF(AND(Geo_Face="y",Geo_Conn="f")=TRUE,"---",IF(INPUT!L60&lt;&gt;"G","---",G54/G53))</f>
        <v>---</v>
      </c>
      <c r="L53" s="654" t="str">
        <f>IF(K53="---","---",IF(K53&gt;=1,"OK","NG!"))</f>
        <v>---</v>
      </c>
      <c r="M53" s="59"/>
      <c r="N53" s="7" t="str">
        <f t="array" ref="N53">IF(AND(Geo_Face="y",Geo_Conn="f")=TRUE,"---",IF(INPUT!L60&lt;&gt;"G","---",((MIN(IF(WORKSHEET_FINAL!$BV$492:$BV$541=1,WORKSHEET_FINAL!$A$492:$A$541))+MIN(IF(WORKSHEET_FINAL!$BZ$492:$BZ$541=1,WORKSHEET_FINAL!$A$492:$A$541)))/(MIN(IF(WORKSHEET_FINAL!$BV$492:$BV$541=1,WORKSHEET_FINAL!$BV$492:$BV$541))+MIN(IF(WORKSHEET_FINAL!$BZ$492:$BZ$541=1,WORKSHEET_FINAL!$BZ$492:$BZ$541))))))</f>
        <v>---</v>
      </c>
    </row>
    <row r="54" spans="3:14" ht="15.75">
      <c r="C54" s="411" t="s">
        <v>93</v>
      </c>
      <c r="D54" s="403"/>
      <c r="E54" s="403"/>
      <c r="F54" s="412" t="s">
        <v>690</v>
      </c>
      <c r="G54" s="413" t="str">
        <f t="array" ref="G54">IF(AND(Geo_Face="y",Geo_Conn="f")=TRUE,"---",IF(INPUT!L60&lt;&gt;"G","---",((MIN(IF(WORKSHEET_FINAL!$BV$492:$BV$541=1,WORKSHEET_FINAL!$BS$492:$BS$541))+MIN(IF(WORKSHEET_FINAL!$BZ$492:$BZ$541=1,WORKSHEET_FINAL!$BW$492:$BW$541)))/(MIN(IF(WORKSHEET_FINAL!$BV$492:$BV$541=1,WORKSHEET_FINAL!$BV$492:$BV$541))+MIN(IF(WORKSHEET_FINAL!$BZ$492:$BZ$541=1,WORKSHEET_FINAL!$BZ$492:$BZ$541))))))</f>
        <v>---</v>
      </c>
      <c r="H54" s="414" t="s">
        <v>52</v>
      </c>
      <c r="I54" s="665"/>
      <c r="J54" s="666"/>
      <c r="K54" s="674"/>
      <c r="L54" s="655"/>
      <c r="M54" s="65"/>
      <c r="N54" s="7"/>
    </row>
    <row r="55" spans="3:14" ht="15.75">
      <c r="C55" s="415" t="s">
        <v>103</v>
      </c>
      <c r="D55" s="74"/>
      <c r="E55" s="74"/>
      <c r="F55" s="400" t="s">
        <v>677</v>
      </c>
      <c r="G55" s="416" t="str">
        <f t="array" ref="G55">IF(AND(Geo_Face="y",Geo_Conn="f")=TRUE,"---",IF(INPUT!L60&lt;&gt;"G","---",((MIN(IF(WORKSHEET_FINAL!$CD$492:$CD$541=1,WORKSHEET_FINAL!$CB$492:$CB$541))+MIN(IF(WORKSHEET_FINAL!$CH$492:$CH$541=1,WORKSHEET_FINAL!$CF$492:$CF$541)))/(MIN(IF(WORKSHEET_FINAL!$CD$492:$CD$541=1,WORKSHEET_FINAL!$CD$492:$CD$541))+MIN(IF(WORKSHEET_FINAL!$CH$492:$CH$541=1,WORKSHEET_FINAL!$CH$492:$CH$541))))))</f>
        <v>---</v>
      </c>
      <c r="H55" s="76" t="s">
        <v>52</v>
      </c>
      <c r="I55" s="663" t="str">
        <f>IF(INPUT!$L$60&lt;&gt;"G","---",CONCATENATE("LAYER # ",N55))</f>
        <v>---</v>
      </c>
      <c r="J55" s="664"/>
      <c r="K55" s="669" t="str">
        <f>IF(AND(Geo_Face="y",Geo_Conn="f")=TRUE,"---",IF(INPUT!L60&lt;&gt;"G","---",G56/G55))</f>
        <v>---</v>
      </c>
      <c r="L55" s="654" t="str">
        <f>IF(K55="---","---",IF(K55&gt;=1,"OK","NG!"))</f>
        <v>---</v>
      </c>
      <c r="M55" s="59"/>
      <c r="N55" s="7" t="str">
        <f t="array" ref="N55">IF(AND(Geo_Face="y",Geo_Conn="f")=TRUE,"---",IF(INPUT!L60&lt;&gt;"G","---",((MIN(IF(WORKSHEET_FINAL!$CD$492:$CD$541=1,WORKSHEET_FINAL!$A$492:$A$541))+MIN(IF(WORKSHEET_FINAL!$CH$492:$CH$541=1,WORKSHEET_FINAL!$A$492:$A$541)))/(MIN(IF(WORKSHEET_FINAL!$CD$492:$CD$541=1,WORKSHEET_FINAL!$CD$492:$CD$541))+MIN(IF(WORKSHEET_FINAL!$CH$492:$CH$541=1,WORKSHEET_FINAL!$CH$492:$CH$541))))))</f>
        <v>---</v>
      </c>
    </row>
    <row r="56" spans="3:14" ht="15.75">
      <c r="C56" s="415" t="s">
        <v>93</v>
      </c>
      <c r="D56" s="74"/>
      <c r="E56" s="74"/>
      <c r="F56" s="419" t="s">
        <v>691</v>
      </c>
      <c r="G56" s="416" t="str">
        <f t="array" ref="G56">IF(AND(Geo_Face="y",Geo_Conn="f")=TRUE,"---",IF(INPUT!L60&lt;&gt;"G","---",((MIN(IF(WORKSHEET_FINAL!$CD$492:$CD$541=1,WORKSHEET_FINAL!$CA$492:$CA$541))+MIN(IF(WORKSHEET_FINAL!$CH$492:$CH$541=1,WORKSHEET_FINAL!$CE$492:$CE$541)))/(MIN(IF(WORKSHEET_FINAL!$CD$492:$CD$541=1,WORKSHEET_FINAL!$CD$492:$CD$541))+MIN(IF(WORKSHEET_FINAL!$CH$492:$CH$541=1,WORKSHEET_FINAL!$CH$492:$CH$541))))))</f>
        <v>---</v>
      </c>
      <c r="H56" s="76" t="s">
        <v>52</v>
      </c>
      <c r="I56" s="665"/>
      <c r="J56" s="666"/>
      <c r="K56" s="671"/>
      <c r="L56" s="655"/>
      <c r="M56" s="65"/>
      <c r="N56" s="7"/>
    </row>
    <row r="57" spans="3:14" ht="15.75">
      <c r="C57" s="398" t="s">
        <v>674</v>
      </c>
      <c r="D57" s="399"/>
      <c r="E57" s="420"/>
      <c r="F57" s="400" t="s">
        <v>671</v>
      </c>
      <c r="G57" s="84" t="str">
        <f t="array" ref="G57">IF(AND(Geo_Face="y",Geo_Conn="f")=TRUE,IF(INPUT!L60&lt;&gt;"G","---",((MIN(IF(WORKSHEET_FINAL!$BJ$428:$BJ$477=1,WORKSHEET_FINAL!$BH$428:$BH$477))+MIN(IF(WORKSHEET_FINAL!$BN$428:$BN$477=1,WORKSHEET_FINAL!$BL$428:$BL$477)))/(MIN(IF(WORKSHEET_FINAL!$BJ$428:$BJ$477=1,WORKSHEET_FINAL!$BJ$428:$BJ$477))+MIN(IF(WORKSHEET_FINAL!$BN$428:$BN$477=1,WORKSHEET_FINAL!$BN$428:$BN$477))))),"---")</f>
        <v>---</v>
      </c>
      <c r="H57" s="410" t="s">
        <v>56</v>
      </c>
      <c r="I57" s="663" t="str">
        <f>IF(INPUT!$L$60&lt;&gt;"G","---",CONCATENATE("LAYER # ",N57))</f>
        <v>---</v>
      </c>
      <c r="J57" s="664"/>
      <c r="K57" s="667" t="str">
        <f>IF(AND(Geo_Face="y",Geo_Conn="f")=TRUE,IF(INPUT!L60&lt;&gt;"G","---",G58/G57),"---")</f>
        <v>---</v>
      </c>
      <c r="L57" s="654" t="str">
        <f>IF(K57="---","---",IF(K57&gt;=1,"OK","NG!"))</f>
        <v>---</v>
      </c>
      <c r="M57" s="65"/>
      <c r="N57" s="7" t="str">
        <f t="array" ref="N57">IF(AND(Geo_Face="y",Geo_Conn="f")=TRUE,IF(INPUT!L60&lt;&gt;"G","---",((MIN(IF(WORKSHEET_FINAL!$BJ$428:$BJ$477=1,WORKSHEET_FINAL!$A$428:$A$477))+MIN(IF(WORKSHEET_FINAL!$BN$428:$BN$477=1,WORKSHEET_FINAL!$A$428:$A$477)))/(MIN(IF(WORKSHEET_FINAL!$BJ$428:$BJ$477=1,WORKSHEET_FINAL!$BJ$428:$BJ$477))+MIN(IF(WORKSHEET_FINAL!$BN$428:$BN$477=1,WORKSHEET_FINAL!$BN$428:$BN$477))))),"---")</f>
        <v>---</v>
      </c>
    </row>
    <row r="58" spans="3:14" ht="15.75">
      <c r="C58" s="411" t="s">
        <v>93</v>
      </c>
      <c r="D58" s="403"/>
      <c r="E58" s="421"/>
      <c r="F58" s="418" t="s">
        <v>144</v>
      </c>
      <c r="G58" s="413" t="str">
        <f t="array" ref="G58">IF(AND(Geo_Face="y",Geo_Conn="f")=TRUE,IF(INPUT!L60&lt;&gt;"G","---",((MIN(IF(WORKSHEET_FINAL!$BJ$428:$BJ$477=1,WORKSHEET_FINAL!$BG$428:$BG$477))+MIN(IF(WORKSHEET_FINAL!$BN$428:$BN$477=1,WORKSHEET_FINAL!$BK$428:$BK$477)))/(MIN(IF(WORKSHEET_FINAL!$BJ$428:$BJ$477=1,WORKSHEET_FINAL!$BJ$428:$BJ$477))+MIN(IF(WORKSHEET_FINAL!$BN$428:$BN$477=1,WORKSHEET_FINAL!$BN$428:$BN$477))))),"---")</f>
        <v>---</v>
      </c>
      <c r="H58" s="414" t="s">
        <v>56</v>
      </c>
      <c r="I58" s="665"/>
      <c r="J58" s="666"/>
      <c r="K58" s="668"/>
      <c r="L58" s="655"/>
      <c r="M58" s="65"/>
      <c r="N58" s="7"/>
    </row>
    <row r="59" spans="3:14" ht="15.75">
      <c r="C59" s="398" t="s">
        <v>673</v>
      </c>
      <c r="D59" s="399"/>
      <c r="E59" s="399"/>
      <c r="F59" s="400" t="s">
        <v>650</v>
      </c>
      <c r="G59" s="84" t="str">
        <f t="array" ref="G59">IF(INPUT!L60&lt;&gt;"G","---",((MIN(IF(WORKSHEET_FINAL!$AS$428:$AS$477=1,WORKSHEET_FINAL!$AQ$428:$AQ$477))+MIN(IF(WORKSHEET_FINAL!$AW$428:$AW$477=1,WORKSHEET_FINAL!$AU$428:$AU$477)))/(MIN(IF(WORKSHEET_FINAL!$AS$428:$AS$477=1,WORKSHEET_FINAL!$AS$428:$AS$477))+MIN(IF(WORKSHEET_FINAL!$AW$428:$AW$477=1,WORKSHEET_FINAL!$AW$428:$AW$477)))))</f>
        <v>---</v>
      </c>
      <c r="H59" s="410" t="s">
        <v>56</v>
      </c>
      <c r="I59" s="663" t="str">
        <f>IF(INPUT!$L$60&lt;&gt;"G","---",CONCATENATE("LAYER # ",N59))</f>
        <v>---</v>
      </c>
      <c r="J59" s="664"/>
      <c r="K59" s="667" t="str">
        <f>IF(INPUT!L60&lt;&gt;"G","---",G60/G59)</f>
        <v>---</v>
      </c>
      <c r="L59" s="654" t="str">
        <f>IF(K59="---","---",IF(K59&gt;=1,"OK","NG!"))</f>
        <v>---</v>
      </c>
      <c r="M59" s="59"/>
      <c r="N59" s="7" t="str">
        <f t="array" ref="N59">IF(INPUT!L60&lt;&gt;"G","---",((MIN(IF(WORKSHEET_FINAL!$AS$428:$AS$477=1,WORKSHEET_FINAL!$A$428:$A$477))+MIN(IF(WORKSHEET_FINAL!$AW$428:$AW$477=1,WORKSHEET_FINAL!$A$428:$A$477)))/(MIN(IF(WORKSHEET_FINAL!$AS$428:$AS$477=1,WORKSHEET_FINAL!$AS$428:$AS$477))+MIN(IF(WORKSHEET_FINAL!$AW$428:$AW$477=1,WORKSHEET_FINAL!$AW$428:$AW$477)))))</f>
        <v>---</v>
      </c>
    </row>
    <row r="60" spans="3:14" ht="15.75">
      <c r="C60" s="411" t="s">
        <v>93</v>
      </c>
      <c r="D60" s="403"/>
      <c r="E60" s="403"/>
      <c r="F60" s="404" t="s">
        <v>651</v>
      </c>
      <c r="G60" s="413" t="str">
        <f t="array" ref="G60">IF(INPUT!L60&lt;&gt;"G","---",((MIN(IF(WORKSHEET_FINAL!$AS$428:$AS$477=1,WORKSHEET_FINAL!$AP$428:$AP$477))+MIN(IF(WORKSHEET_FINAL!$AW$428:$AW$477=1,WORKSHEET_FINAL!$AT$428:$AT$477)))/(MIN(IF(WORKSHEET_FINAL!$AS$428:$AS$477=1,WORKSHEET_FINAL!$AS$428:$AS$477))+MIN(IF(WORKSHEET_FINAL!$AW$428:$AW$477=1,WORKSHEET_FINAL!$AW$428:$AW$477)))))</f>
        <v>---</v>
      </c>
      <c r="H60" s="414" t="s">
        <v>56</v>
      </c>
      <c r="I60" s="665"/>
      <c r="J60" s="666"/>
      <c r="K60" s="668"/>
      <c r="L60" s="655"/>
      <c r="M60" s="65"/>
      <c r="N60" s="7"/>
    </row>
    <row r="61" spans="3:14" ht="18">
      <c r="C61" s="660" t="s">
        <v>118</v>
      </c>
      <c r="D61" s="661"/>
      <c r="E61" s="661"/>
      <c r="F61" s="661"/>
      <c r="G61" s="661"/>
      <c r="H61" s="661"/>
      <c r="I61" s="661"/>
      <c r="J61" s="661"/>
      <c r="K61" s="661"/>
      <c r="L61" s="662"/>
      <c r="M61" s="63"/>
      <c r="N61" s="7"/>
    </row>
    <row r="62" spans="3:14">
      <c r="C62" s="422" t="s">
        <v>639</v>
      </c>
      <c r="D62" s="423"/>
      <c r="E62" s="423"/>
      <c r="F62" s="423"/>
      <c r="G62" s="423"/>
      <c r="H62" s="424"/>
      <c r="I62" s="672" t="s">
        <v>676</v>
      </c>
      <c r="J62" s="673"/>
      <c r="K62" s="425" t="s">
        <v>85</v>
      </c>
      <c r="L62" s="426" t="s">
        <v>104</v>
      </c>
      <c r="M62" s="53"/>
      <c r="N62" s="7"/>
    </row>
    <row r="63" spans="3:14" ht="15.75">
      <c r="C63" s="409" t="s">
        <v>91</v>
      </c>
      <c r="D63" s="399"/>
      <c r="E63" s="399"/>
      <c r="F63" s="400" t="s">
        <v>640</v>
      </c>
      <c r="G63" s="84">
        <f t="array" ref="G63">IF(INPUT!$L$16="N","---",IF(INPUT!L60="G","---",MIN(IF(WORKSHEET_FINAL!$AH$624:$AH$633=1,WORKSHEET_FINAL!$AF$624:$AF$633))))</f>
        <v>0.773149462421865</v>
      </c>
      <c r="H63" s="410" t="s">
        <v>52</v>
      </c>
      <c r="I63" s="675" t="str">
        <f>IF(INPUT!$L$16="N","---",IF(INPUT!$L$60="G","---",CONCATENATE("LAYER # ",N63)))</f>
        <v>LAYER # 3</v>
      </c>
      <c r="J63" s="676"/>
      <c r="K63" s="667">
        <f>IF(INPUT!$L$16="N","---",IF(INPUT!$L$60="G","---",G64/G63))</f>
        <v>1.9723474295150525</v>
      </c>
      <c r="L63" s="654" t="str">
        <f>IF(K63="---","---",IF(K63&gt;=1,"OK","NG!"))</f>
        <v>OK</v>
      </c>
      <c r="M63" s="59"/>
      <c r="N63" s="7">
        <f t="array" ref="N63">IF(INPUT!$L$16="N","---",IF(INPUT!L60="G","---",MIN(IF(WORKSHEET_FINAL!$AH$624:$AH$633=1,WORKSHEET_FINAL!$A$624:$A$633))))</f>
        <v>3</v>
      </c>
    </row>
    <row r="64" spans="3:14" ht="15.75">
      <c r="C64" s="411"/>
      <c r="D64" s="403"/>
      <c r="E64" s="403"/>
      <c r="F64" s="412" t="s">
        <v>647</v>
      </c>
      <c r="G64" s="413">
        <f t="array" ref="G64">IF(INPUT!$L$16="N","---",IF(INPUT!L60="G","---",MIN(IF(WORKSHEET_FINAL!$AH$624:$AH$633=1,WORKSHEET_FINAL!$AE$624:$AE$633))))</f>
        <v>1.5249193548387101</v>
      </c>
      <c r="H64" s="414" t="s">
        <v>52</v>
      </c>
      <c r="I64" s="677"/>
      <c r="J64" s="678"/>
      <c r="K64" s="668"/>
      <c r="L64" s="655"/>
      <c r="M64" s="65"/>
      <c r="N64" s="7"/>
    </row>
    <row r="65" spans="3:14" ht="15.75">
      <c r="C65" s="415" t="s">
        <v>92</v>
      </c>
      <c r="D65" s="74"/>
      <c r="E65" s="74"/>
      <c r="F65" s="400" t="s">
        <v>640</v>
      </c>
      <c r="G65" s="416">
        <f t="array" ref="G65">IF(INPUT!$L$16="N","---",IF(INPUT!L60="G","---",MIN(IF(WORKSHEET_FINAL!$AP$624:$AP$633=1,WORKSHEET_FINAL!$AN$624:$AN$633))))</f>
        <v>0.773149462421865</v>
      </c>
      <c r="H65" s="76" t="s">
        <v>52</v>
      </c>
      <c r="I65" s="675" t="str">
        <f>IF(INPUT!$L$16="N","---",IF(INPUT!$L$60="G","---",CONCATENATE("LAYER # ",N65)))</f>
        <v>LAYER # 3</v>
      </c>
      <c r="J65" s="676"/>
      <c r="K65" s="667">
        <f>IF(INPUT!$L$16="N","---",IF(INPUT!$L$60="G","---",G66/G65))</f>
        <v>6.4670548749237513</v>
      </c>
      <c r="L65" s="654" t="str">
        <f>IF(K65="---","---",IF(K65&gt;=1,"OK","NG!"))</f>
        <v>OK</v>
      </c>
      <c r="M65" s="59"/>
      <c r="N65" s="7">
        <f t="array" ref="N65">IF(INPUT!$L$16="N","---",IF(INPUT!L60="G","---",MIN(IF(WORKSHEET_FINAL!$AP$624:$AP$633=1,WORKSHEET_FINAL!$A$624:$A$633))))</f>
        <v>3</v>
      </c>
    </row>
    <row r="66" spans="3:14">
      <c r="C66" s="415"/>
      <c r="D66" s="74"/>
      <c r="E66" s="74"/>
      <c r="F66" s="406" t="s">
        <v>648</v>
      </c>
      <c r="G66" s="416">
        <f t="array" ref="G66">IF(INPUT!$L$16="N","---",IF(INPUT!L60="G","---",MIN(IF(WORKSHEET_FINAL!$AP$624:$AP$633=1,WORKSHEET_FINAL!$AM$624:$AM$633))))</f>
        <v>5</v>
      </c>
      <c r="H66" s="76" t="s">
        <v>52</v>
      </c>
      <c r="I66" s="677"/>
      <c r="J66" s="678"/>
      <c r="K66" s="668"/>
      <c r="L66" s="655"/>
      <c r="M66" s="65"/>
      <c r="N66" s="7"/>
    </row>
    <row r="67" spans="3:14" ht="15.75">
      <c r="C67" s="398" t="s">
        <v>673</v>
      </c>
      <c r="D67" s="399"/>
      <c r="E67" s="399"/>
      <c r="F67" s="400" t="s">
        <v>650</v>
      </c>
      <c r="G67" s="84">
        <f t="array" ref="G67">IF(INPUT!$L$16="N","---",IF(INPUT!L60="G","---",MIN(IF(WORKSHEET_FINAL!$AH$641:$AH$650=1,WORKSHEET_FINAL!$AF$641:$AF$650))))</f>
        <v>7.8648251328360947</v>
      </c>
      <c r="H67" s="410" t="s">
        <v>56</v>
      </c>
      <c r="I67" s="675" t="str">
        <f>IF(INPUT!$L$16="N","---",IF(INPUT!$L$60="G","---",CONCATENATE("LAYER # ",N67)))</f>
        <v>LAYER # 1</v>
      </c>
      <c r="J67" s="676"/>
      <c r="K67" s="667">
        <f>IF(INPUT!$L$16="N","---",IF(INPUT!$L$60="G","---",G68/G67))</f>
        <v>1.7635484280625586</v>
      </c>
      <c r="L67" s="654" t="str">
        <f>IF(K67="---","---",IF(K67&gt;=1,"OK","NG!"))</f>
        <v>OK</v>
      </c>
      <c r="M67" s="59"/>
      <c r="N67" s="7">
        <f t="array" ref="N67">IF(INPUT!$L$16="N","---",IF(INPUT!L60="G","---",MIN(IF(WORKSHEET_FINAL!$AH$641:$AH$650=1,WORKSHEET_FINAL!$A$641:$A$650))))</f>
        <v>1</v>
      </c>
    </row>
    <row r="68" spans="3:14" ht="15.75">
      <c r="C68" s="411"/>
      <c r="D68" s="403"/>
      <c r="E68" s="403"/>
      <c r="F68" s="404" t="s">
        <v>651</v>
      </c>
      <c r="G68" s="413">
        <f t="array" ref="G68">IF(INPUT!$L$16="N","---",IF(INPUT!L60="G","---",MIN(IF(WORKSHEET_FINAL!$AH$641:$AH$650=1,WORKSHEET_FINAL!$AE$641:$AE$650))))</f>
        <v>13.87</v>
      </c>
      <c r="H68" s="414" t="s">
        <v>56</v>
      </c>
      <c r="I68" s="677"/>
      <c r="J68" s="678"/>
      <c r="K68" s="668"/>
      <c r="L68" s="655"/>
      <c r="M68" s="65"/>
      <c r="N68" s="7"/>
    </row>
    <row r="69" spans="3:14" ht="15.75">
      <c r="C69" s="415" t="s">
        <v>91</v>
      </c>
      <c r="D69" s="74"/>
      <c r="E69" s="74"/>
      <c r="F69" s="400" t="s">
        <v>664</v>
      </c>
      <c r="G69" s="416">
        <f t="array" ref="G69">IF(INPUT!$L$16="N","---",IF(INPUT!L60="G","---",MIN(IF(WORKSHEET_FINAL!$AH$665:$AH$674=1,WORKSHEET_FINAL!$AF$665:$AF$674))))</f>
        <v>0.67403816577030162</v>
      </c>
      <c r="H69" s="76" t="s">
        <v>52</v>
      </c>
      <c r="I69" s="675" t="str">
        <f>IF(INPUT!$L$16="N","---",IF(INPUT!$L$60="G","---",CONCATENATE("LAYER # ",N69)))</f>
        <v>LAYER # 3</v>
      </c>
      <c r="J69" s="676"/>
      <c r="K69" s="667">
        <f>IF(INPUT!$L$16="N","---",IF(INPUT!$L$60="G","---",G70/G69))</f>
        <v>3.0164846884122802</v>
      </c>
      <c r="L69" s="654" t="str">
        <f>IF(K69="---","---",IF(K69&gt;=1,"OK","NG!"))</f>
        <v>OK</v>
      </c>
      <c r="M69" s="59"/>
      <c r="N69" s="7">
        <f t="array" ref="N69">IF(INPUT!$L$16="N","---",IF(INPUT!L60="G","---",MIN(IF(WORKSHEET_FINAL!$AH$665:$AH$674=1,WORKSHEET_FINAL!$A$665:$A$674))))</f>
        <v>3</v>
      </c>
    </row>
    <row r="70" spans="3:14" ht="15.75">
      <c r="C70" s="415" t="s">
        <v>93</v>
      </c>
      <c r="D70" s="74"/>
      <c r="E70" s="74"/>
      <c r="F70" s="412" t="s">
        <v>647</v>
      </c>
      <c r="G70" s="416">
        <f t="array" ref="G70">IF(INPUT!$L$16="N","---",IF(INPUT!L60="G","---",MIN(IF(WORKSHEET_FINAL!$AH$665:$AH$674=1,WORKSHEET_FINAL!$AE$665:$AE$674))))</f>
        <v>2.0332258064516133</v>
      </c>
      <c r="H70" s="76" t="s">
        <v>52</v>
      </c>
      <c r="I70" s="677"/>
      <c r="J70" s="678"/>
      <c r="K70" s="668"/>
      <c r="L70" s="655"/>
      <c r="M70" s="65"/>
      <c r="N70" s="7"/>
    </row>
    <row r="71" spans="3:14" ht="15.75">
      <c r="C71" s="409" t="s">
        <v>92</v>
      </c>
      <c r="D71" s="399"/>
      <c r="E71" s="399"/>
      <c r="F71" s="400" t="s">
        <v>664</v>
      </c>
      <c r="G71" s="84">
        <f t="array" ref="G71">IF(INPUT!$L$16="N","---",IF(INPUT!L60="G","---",MIN(IF(WORKSHEET_FINAL!$AT$665:$AT$674=1,WORKSHEET_FINAL!$AR$665:$AR$674))))</f>
        <v>0.67403816577030162</v>
      </c>
      <c r="H71" s="410" t="s">
        <v>52</v>
      </c>
      <c r="I71" s="675" t="str">
        <f>IF(INPUT!$L$16="N","---",IF(INPUT!$L$60="G","---",CONCATENATE("LAYER # ",N71)))</f>
        <v>LAYER # 3</v>
      </c>
      <c r="J71" s="676"/>
      <c r="K71" s="667">
        <f>IF(INPUT!$L$16="N","---",IF(INPUT!$L$60="G","---",G72/G71))</f>
        <v>8.9015730928872614</v>
      </c>
      <c r="L71" s="654" t="str">
        <f>IF(K71="---","---",IF(K71&gt;=1,"OK","NG!"))</f>
        <v>OK</v>
      </c>
      <c r="M71" s="59"/>
      <c r="N71" s="7">
        <f t="array" ref="N71">IF(INPUT!$L$16="N","---",IF(INPUT!L60="G","---",MIN(IF(WORKSHEET_FINAL!$AT$665:$AT$674=1,WORKSHEET_FINAL!$A$665:$A$674))))</f>
        <v>3</v>
      </c>
    </row>
    <row r="72" spans="3:14">
      <c r="C72" s="411" t="s">
        <v>93</v>
      </c>
      <c r="D72" s="403"/>
      <c r="E72" s="403"/>
      <c r="F72" s="406" t="s">
        <v>665</v>
      </c>
      <c r="G72" s="413">
        <f t="array" ref="G72">IF(INPUT!$L$16="N","---",IF(INPUT!L60="G","---",MIN(IF(WORKSHEET_FINAL!$AT$665:$AT$674=1,WORKSHEET_FINAL!$AQ$665:$AQ$674))))</f>
        <v>6</v>
      </c>
      <c r="H72" s="414" t="s">
        <v>52</v>
      </c>
      <c r="I72" s="677"/>
      <c r="J72" s="678"/>
      <c r="K72" s="668"/>
      <c r="L72" s="655"/>
      <c r="M72" s="65"/>
      <c r="N72" s="7"/>
    </row>
    <row r="73" spans="3:14" ht="15.75">
      <c r="C73" s="398" t="s">
        <v>673</v>
      </c>
      <c r="D73" s="74"/>
      <c r="E73" s="74"/>
      <c r="F73" s="400" t="s">
        <v>650</v>
      </c>
      <c r="G73" s="416">
        <f t="array" ref="G73">IF(INPUT!$L$16="N","---",IF(INPUT!L60="G","---",MIN(IF(WORKSHEET_FINAL!$AL$641:$AL$650=1,WORKSHEET_FINAL!$AJ$641:$AJ$650))))</f>
        <v>7.5914046973970519</v>
      </c>
      <c r="H73" s="76" t="s">
        <v>56</v>
      </c>
      <c r="I73" s="675" t="str">
        <f>IF(INPUT!$L$16="N","---",IF(INPUT!$L$60="G","---",CONCATENATE("LAYER # ",N73)))</f>
        <v>LAYER # 1</v>
      </c>
      <c r="J73" s="676"/>
      <c r="K73" s="667">
        <f>IF(INPUT!$L$16="N","---",IF(INPUT!$L$60="G","---",G74/G73))</f>
        <v>1.827066340535864</v>
      </c>
      <c r="L73" s="654" t="str">
        <f>IF(K73="---","---",IF(K73&gt;=1,"OK","NG!"))</f>
        <v>OK</v>
      </c>
      <c r="M73" s="59"/>
      <c r="N73" s="7">
        <f t="array" ref="N73">IF(INPUT!$L$16="N","---",IF(INPUT!L60="G","---",MIN(IF(WORKSHEET_FINAL!$AL$641:$AL$650=1,WORKSHEET_FINAL!$A$641:$A$650))))</f>
        <v>1</v>
      </c>
    </row>
    <row r="74" spans="3:14" ht="15.75">
      <c r="C74" s="411" t="s">
        <v>93</v>
      </c>
      <c r="D74" s="403"/>
      <c r="E74" s="403"/>
      <c r="F74" s="404" t="s">
        <v>651</v>
      </c>
      <c r="G74" s="413">
        <f t="array" ref="G74">IF(INPUT!$L$16="N","---",IF(INPUT!L60="G","---",MIN(IF(WORKSHEET_FINAL!$AL$641:$AL$650=1,WORKSHEET_FINAL!$AI$641:$AI$650))))</f>
        <v>13.87</v>
      </c>
      <c r="H74" s="414" t="s">
        <v>56</v>
      </c>
      <c r="I74" s="677"/>
      <c r="J74" s="678"/>
      <c r="K74" s="668"/>
      <c r="L74" s="670"/>
      <c r="M74" s="65"/>
      <c r="N74" s="7"/>
    </row>
    <row r="75" spans="3:14" ht="18">
      <c r="C75" s="679" t="s">
        <v>119</v>
      </c>
      <c r="D75" s="680"/>
      <c r="E75" s="680"/>
      <c r="F75" s="680"/>
      <c r="G75" s="680"/>
      <c r="H75" s="680"/>
      <c r="I75" s="680"/>
      <c r="J75" s="680"/>
      <c r="K75" s="680"/>
      <c r="L75" s="681"/>
      <c r="M75" s="63"/>
      <c r="N75" s="7"/>
    </row>
    <row r="76" spans="3:14">
      <c r="C76" s="422" t="s">
        <v>639</v>
      </c>
      <c r="D76" s="423"/>
      <c r="E76" s="423"/>
      <c r="F76" s="423"/>
      <c r="G76" s="423"/>
      <c r="H76" s="424"/>
      <c r="I76" s="672" t="s">
        <v>676</v>
      </c>
      <c r="J76" s="673"/>
      <c r="K76" s="427" t="s">
        <v>85</v>
      </c>
      <c r="L76" s="426" t="s">
        <v>104</v>
      </c>
      <c r="M76" s="53"/>
      <c r="N76" s="7"/>
    </row>
    <row r="77" spans="3:14" ht="15.75">
      <c r="C77" s="409" t="s">
        <v>91</v>
      </c>
      <c r="D77" s="399"/>
      <c r="E77" s="399"/>
      <c r="F77" s="400" t="s">
        <v>640</v>
      </c>
      <c r="G77" s="84" t="str">
        <f t="array" ref="G77">IF(INPUT!$L$16="N","---",IF(INPUT!L60&lt;&gt;"G","---",((MIN(IF(WORKSHEET_FINAL!$AH$624:$AH$633=1,WORKSHEET_FINAL!$AF$624:$AF$633))+MIN(IF(WORKSHEET_FINAL!#REF!=1,WORKSHEET_FINAL!#REF!)))/(MIN(IF(WORKSHEET_FINAL!$AH$624:$AH$633=1,WORKSHEET_FINAL!$AH$624:$AH$633))+MIN(IF(WORKSHEET_FINAL!#REF!=1,WORKSHEET_FINAL!#REF!))))))</f>
        <v>---</v>
      </c>
      <c r="H77" s="410" t="s">
        <v>52</v>
      </c>
      <c r="I77" s="675" t="str">
        <f>IF(INPUT!$L$16="N","---",IF(INPUT!$L$60&lt;&gt;"G","---",CONCATENATE("LAYER # ",N77)))</f>
        <v>---</v>
      </c>
      <c r="J77" s="676"/>
      <c r="K77" s="667" t="str">
        <f>IF(INPUT!$L$16="N","---",IF(INPUT!$L$60&lt;&gt;"G","---",G78/G77))</f>
        <v>---</v>
      </c>
      <c r="L77" s="654" t="str">
        <f>IF(K77="---","---",IF(K77&gt;=1,"OK","NG!"))</f>
        <v>---</v>
      </c>
      <c r="M77" s="59"/>
      <c r="N77" s="7" t="str">
        <f t="array" ref="N77">IF(INPUT!$L$16="N","---",IF(INPUT!L60&lt;&gt;"G","---",((MIN(IF(WORKSHEET_FINAL!$AH$624:$AH$633=1,WORKSHEET_FINAL!$A$624:$A$633))+MIN(IF(WORKSHEET_FINAL!#REF!=1,WORKSHEET_FINAL!$A$624:$A$633)))/(MIN(IF(WORKSHEET_FINAL!$AH$624:$AH$633=1,WORKSHEET_FINAL!$AH$624:$AH$633))+MIN(IF(WORKSHEET_FINAL!#REF!=1,WORKSHEET_FINAL!#REF!))))))</f>
        <v>---</v>
      </c>
    </row>
    <row r="78" spans="3:14" ht="15.75">
      <c r="C78" s="415"/>
      <c r="D78" s="74"/>
      <c r="E78" s="74"/>
      <c r="F78" s="412" t="s">
        <v>647</v>
      </c>
      <c r="G78" s="416" t="str">
        <f t="array" ref="G78">IF(INPUT!$L$16="N","---",IF(INPUT!L60&lt;&gt;"G","---",((MIN(IF(WORKSHEET_FINAL!$AH$624:$AH$633=1,WORKSHEET_FINAL!$AE$624:$AE$633))+MIN(IF(WORKSHEET_FINAL!#REF!=1,WORKSHEET_FINAL!#REF!)))/(MIN(IF(WORKSHEET_FINAL!$AH$624:$AH$633=1,WORKSHEET_FINAL!$AH$624:$AH$633))+MIN(IF(WORKSHEET_FINAL!#REF!=1,WORKSHEET_FINAL!#REF!))))))</f>
        <v>---</v>
      </c>
      <c r="H78" s="76" t="s">
        <v>52</v>
      </c>
      <c r="I78" s="682"/>
      <c r="J78" s="683"/>
      <c r="K78" s="671"/>
      <c r="L78" s="655"/>
      <c r="M78" s="65"/>
      <c r="N78" s="7"/>
    </row>
    <row r="79" spans="3:14" ht="15.75">
      <c r="C79" s="409" t="s">
        <v>95</v>
      </c>
      <c r="D79" s="399"/>
      <c r="E79" s="399"/>
      <c r="F79" s="400" t="s">
        <v>662</v>
      </c>
      <c r="G79" s="84" t="str">
        <f t="array" ref="G79">IF(INPUT!$L$16="N","---",IF(INPUT!L60&lt;&gt;"G","---",MIN(IF(WORKSHEET_FINAL!$AT$624:$AT$633=1,WORKSHEET_FINAL!$AR$624:$AR$633))))</f>
        <v>---</v>
      </c>
      <c r="H79" s="410" t="s">
        <v>52</v>
      </c>
      <c r="I79" s="675" t="str">
        <f>IF(INPUT!$L$16="N","---",IF(INPUT!$L$60&lt;&gt;"G","---",CONCATENATE("LAYER # ",N79)))</f>
        <v>---</v>
      </c>
      <c r="J79" s="676"/>
      <c r="K79" s="667" t="str">
        <f>IF(INPUT!$L$16="N","---",IF(INPUT!$L$60&lt;&gt;"G","---",G80/G79))</f>
        <v>---</v>
      </c>
      <c r="L79" s="654" t="str">
        <f>IF(K79="---","---",IF(K79&gt;=1,"OK","NG!"))</f>
        <v>---</v>
      </c>
      <c r="M79" s="59"/>
      <c r="N79" s="7" t="str">
        <f t="array" ref="N79">IF(INPUT!$L$16="N","---",IF(INPUT!L60&lt;&gt;"G","---",MIN(IF(WORKSHEET_FINAL!$AT$624:$AT$633=1,WORKSHEET_FINAL!$A$624:$A$633))))</f>
        <v>---</v>
      </c>
    </row>
    <row r="80" spans="3:14" ht="15.75">
      <c r="C80" s="411"/>
      <c r="D80" s="403"/>
      <c r="E80" s="403"/>
      <c r="F80" s="412" t="s">
        <v>96</v>
      </c>
      <c r="G80" s="413" t="str">
        <f t="array" ref="G80">IF(INPUT!$L$16="N","---",IF(INPUT!L60&lt;&gt;"G","---",MIN(IF(WORKSHEET_FINAL!$AT$624:$AT$633=1,WORKSHEET_FINAL!$AQ$624:$AQ$633))))</f>
        <v>---</v>
      </c>
      <c r="H80" s="414" t="s">
        <v>52</v>
      </c>
      <c r="I80" s="682"/>
      <c r="J80" s="683"/>
      <c r="K80" s="671"/>
      <c r="L80" s="655"/>
      <c r="M80" s="65"/>
      <c r="N80" s="7"/>
    </row>
    <row r="81" spans="3:14" ht="15.75">
      <c r="C81" s="409" t="s">
        <v>97</v>
      </c>
      <c r="D81" s="399"/>
      <c r="E81" s="399"/>
      <c r="F81" s="400" t="s">
        <v>663</v>
      </c>
      <c r="G81" s="84" t="str">
        <f t="array" ref="G81">IF(INPUT!$L$16="N","---",IF(INPUT!L60&lt;&gt;"G","---",MIN(IF(WORKSHEET_FINAL!$AX$624:$AX$633=1,WORKSHEET_FINAL!$AV$624:$AV$633))))</f>
        <v>---</v>
      </c>
      <c r="H81" s="410" t="s">
        <v>52</v>
      </c>
      <c r="I81" s="675" t="str">
        <f>IF(INPUT!$L$16="N","---",IF(INPUT!$L$60&lt;&gt;"G","---",CONCATENATE("LAYER # ",N81)))</f>
        <v>---</v>
      </c>
      <c r="J81" s="676"/>
      <c r="K81" s="667" t="str">
        <f>IF(INPUT!$L$16="N","---",IF(INPUT!$L$60&lt;&gt;"G","---",IF(G81=0,99.99,G82/G81)))</f>
        <v>---</v>
      </c>
      <c r="L81" s="654" t="str">
        <f>IF(K81="---","---",IF(K81&gt;=1,"OK","NG!"))</f>
        <v>---</v>
      </c>
      <c r="M81" s="59"/>
      <c r="N81" s="7" t="str">
        <f t="array" ref="N81">IF(INPUT!$L$16="N","---",IF(INPUT!L60&lt;&gt;"G","---",MIN(IF(WORKSHEET_FINAL!$AX$624:$AX$633=1,WORKSHEET_FINAL!$A$624:$A$633))))</f>
        <v>---</v>
      </c>
    </row>
    <row r="82" spans="3:14" ht="15.75">
      <c r="C82" s="411"/>
      <c r="D82" s="403"/>
      <c r="E82" s="403"/>
      <c r="F82" s="417" t="s">
        <v>98</v>
      </c>
      <c r="G82" s="413" t="str">
        <f t="array" ref="G82">IF(INPUT!$L$16="N","---",IF(INPUT!L60&lt;&gt;"G","---",MIN(IF(WORKSHEET_FINAL!$AX$624:$AX$633=1,WORKSHEET_FINAL!$AU$624:$AU$633))))</f>
        <v>---</v>
      </c>
      <c r="H82" s="414" t="s">
        <v>52</v>
      </c>
      <c r="I82" s="682"/>
      <c r="J82" s="683"/>
      <c r="K82" s="671"/>
      <c r="L82" s="655"/>
      <c r="M82" s="65"/>
      <c r="N82" s="7"/>
    </row>
    <row r="83" spans="3:14" ht="15.75">
      <c r="C83" s="409" t="s">
        <v>92</v>
      </c>
      <c r="D83" s="399"/>
      <c r="E83" s="399"/>
      <c r="F83" s="400" t="s">
        <v>640</v>
      </c>
      <c r="G83" s="84" t="str">
        <f t="array" ref="G83">IF(INPUT!$L$16="N","---",IF(INPUT!L60&lt;&gt;"G","---",MIN(IF(WORKSHEET_FINAL!$AL$624:$AL$633=1,WORKSHEET_FINAL!$AJ$624:$AJ$633))))</f>
        <v>---</v>
      </c>
      <c r="H83" s="410" t="s">
        <v>52</v>
      </c>
      <c r="I83" s="675" t="str">
        <f>IF(INPUT!$L$16="N","---",IF(INPUT!$L$60&lt;&gt;"G","---",CONCATENATE("LAYER # ",N83)))</f>
        <v>---</v>
      </c>
      <c r="J83" s="676"/>
      <c r="K83" s="667" t="str">
        <f>IF(INPUT!$L$16="N","---",IF(INPUT!$L$60&lt;&gt;"G","---",G84/G83))</f>
        <v>---</v>
      </c>
      <c r="L83" s="654" t="str">
        <f>IF(K83="---","---",IF(K83&gt;=1,"OK","NG!"))</f>
        <v>---</v>
      </c>
      <c r="M83" s="59"/>
      <c r="N83" s="7" t="str">
        <f t="array" ref="N83">IF(INPUT!$L$16="N","---",IF(INPUT!L60&lt;&gt;"G","---",MIN(IF(WORKSHEET_FINAL!$AL$624:$AL$633=1,WORKSHEET_FINAL!$A$624:$A$633))))</f>
        <v>---</v>
      </c>
    </row>
    <row r="84" spans="3:14" ht="15.75">
      <c r="C84" s="411"/>
      <c r="D84" s="403"/>
      <c r="E84" s="403"/>
      <c r="F84" s="412" t="s">
        <v>656</v>
      </c>
      <c r="G84" s="413" t="str">
        <f t="array" ref="G84">IF(INPUT!$L$16="N","---",IF(INPUT!L60&lt;&gt;"G","---",MIN(IF(WORKSHEET_FINAL!$AL$624:$AL$633=1,WORKSHEET_FINAL!$AI$624:$AI$633))))</f>
        <v>---</v>
      </c>
      <c r="H84" s="414" t="s">
        <v>52</v>
      </c>
      <c r="I84" s="682"/>
      <c r="J84" s="683"/>
      <c r="K84" s="671"/>
      <c r="L84" s="655"/>
      <c r="M84" s="65"/>
      <c r="N84" s="7"/>
    </row>
    <row r="85" spans="3:14" ht="15.75">
      <c r="C85" s="398" t="s">
        <v>673</v>
      </c>
      <c r="D85" s="399"/>
      <c r="E85" s="420"/>
      <c r="F85" s="400" t="s">
        <v>650</v>
      </c>
      <c r="G85" s="416" t="str">
        <f t="array" ref="G85">IF(INPUT!$L$16="N","---",IF(INPUT!L60&lt;&gt;"G","---",MIN(IF(WORKSHEET_FINAL!$AH$641:$AH$650=1,WORKSHEET_FINAL!$AF$641:$AF$650))))</f>
        <v>---</v>
      </c>
      <c r="H85" s="76" t="s">
        <v>56</v>
      </c>
      <c r="I85" s="675" t="str">
        <f>IF(INPUT!$L$16="N","---",IF(INPUT!$L$60&lt;&gt;"G","---",CONCATENATE("LAYER # ",N85)))</f>
        <v>---</v>
      </c>
      <c r="J85" s="676"/>
      <c r="K85" s="667" t="str">
        <f>IF(INPUT!$L$16="N","---",IF(INPUT!$L$60&lt;&gt;"G","---",G86/G85))</f>
        <v>---</v>
      </c>
      <c r="L85" s="654" t="str">
        <f>IF(K85="---","---",IF(K85&gt;=1,"OK","NG!"))</f>
        <v>---</v>
      </c>
      <c r="M85" s="59"/>
      <c r="N85" s="7" t="str">
        <f t="array" ref="N85">IF(INPUT!$L$16="N","---",IF(INPUT!L60&lt;&gt;"G","---",MIN(IF(WORKSHEET_FINAL!$AH$641:$AH$650=1,WORKSHEET_FINAL!$A$641:$A$650))))</f>
        <v>---</v>
      </c>
    </row>
    <row r="86" spans="3:14" ht="15.75">
      <c r="C86" s="411"/>
      <c r="D86" s="403"/>
      <c r="E86" s="421"/>
      <c r="F86" s="404" t="s">
        <v>651</v>
      </c>
      <c r="G86" s="416" t="str">
        <f t="array" ref="G86">IF(INPUT!$L$16="N","---",IF(INPUT!L60&lt;&gt;"G","---",MIN(IF(WORKSHEET_FINAL!$AH$641:$AH$650=1,WORKSHEET_FINAL!$AE$641:$AE$650))))</f>
        <v>---</v>
      </c>
      <c r="H86" s="76" t="s">
        <v>56</v>
      </c>
      <c r="I86" s="682"/>
      <c r="J86" s="683"/>
      <c r="K86" s="671"/>
      <c r="L86" s="655"/>
      <c r="M86" s="65"/>
      <c r="N86" s="7"/>
    </row>
    <row r="87" spans="3:14" ht="15.75">
      <c r="C87" s="409" t="s">
        <v>91</v>
      </c>
      <c r="D87" s="399"/>
      <c r="E87" s="420"/>
      <c r="F87" s="400" t="s">
        <v>664</v>
      </c>
      <c r="G87" s="84" t="str">
        <f t="array" ref="G87">IF(INPUT!$L$16="N","---",IF(INPUT!L60&lt;&gt;"G","---",MIN(IF(WORKSHEET_FINAL!$AH$665:$AH$674=1,WORKSHEET_FINAL!$AF$665:$AF$674))))</f>
        <v>---</v>
      </c>
      <c r="H87" s="410" t="s">
        <v>52</v>
      </c>
      <c r="I87" s="675" t="str">
        <f>IF(INPUT!$L$16="N","---",IF(INPUT!$L$60&lt;&gt;"G","---",CONCATENATE("LAYER # ",N87)))</f>
        <v>---</v>
      </c>
      <c r="J87" s="676"/>
      <c r="K87" s="667" t="str">
        <f>IF(INPUT!$L$16="N","---",IF(INPUT!$L$60&lt;&gt;"G","---",G88/G87))</f>
        <v>---</v>
      </c>
      <c r="L87" s="654" t="str">
        <f>IF(K87="---","---",IF(K87&gt;=1,"OK","NG!"))</f>
        <v>---</v>
      </c>
      <c r="M87" s="59"/>
      <c r="N87" s="7" t="str">
        <f t="array" ref="N87">IF(INPUT!$L$16="N","---",IF(INPUT!L60&lt;&gt;"G","---",MIN(IF(WORKSHEET_FINAL!$AH$665:$AH$674=1,WORKSHEET_FINAL!$A$665:$A$674))))</f>
        <v>---</v>
      </c>
    </row>
    <row r="88" spans="3:14" ht="15.75">
      <c r="C88" s="411" t="s">
        <v>93</v>
      </c>
      <c r="D88" s="403"/>
      <c r="E88" s="421"/>
      <c r="F88" s="412" t="s">
        <v>647</v>
      </c>
      <c r="G88" s="413" t="str">
        <f t="array" ref="G88">IF(INPUT!$L$16="N","---",IF(INPUT!L60&lt;&gt;"G","---",MIN(IF(WORKSHEET_FINAL!$AH$665:$AH$674=1,WORKSHEET_FINAL!$AE$665:$AE$674))))</f>
        <v>---</v>
      </c>
      <c r="H88" s="414" t="s">
        <v>52</v>
      </c>
      <c r="I88" s="682"/>
      <c r="J88" s="683"/>
      <c r="K88" s="671"/>
      <c r="L88" s="655"/>
      <c r="M88" s="65"/>
      <c r="N88" s="7"/>
    </row>
    <row r="89" spans="3:14" ht="15.75">
      <c r="C89" s="415" t="s">
        <v>100</v>
      </c>
      <c r="D89" s="74"/>
      <c r="E89" s="74"/>
      <c r="F89" s="400" t="s">
        <v>640</v>
      </c>
      <c r="G89" s="416" t="str">
        <f t="array" ref="G89">IF(INPUT!$L$16="N","---",IF(INPUT!L60&lt;&gt;"G","---",MIN(IF(WORKSHEET_FINAL!$AL$665:$AL$674=1,WORKSHEET_FINAL!$AJ$665:$AJ$674))))</f>
        <v>---</v>
      </c>
      <c r="H89" s="76" t="s">
        <v>52</v>
      </c>
      <c r="I89" s="675" t="str">
        <f>IF(INPUT!$L$16="N","---",IF(INPUT!$L$60&lt;&gt;"G","---",CONCATENATE("LAYER # ",N89)))</f>
        <v>---</v>
      </c>
      <c r="J89" s="676"/>
      <c r="K89" s="667" t="str">
        <f>IF(INPUT!$L$16="N","---",IF(INPUT!$L$60&lt;&gt;"G","---",G90/G89))</f>
        <v>---</v>
      </c>
      <c r="L89" s="654" t="str">
        <f>IF(K89="---","---",IF(K89&gt;=1,"OK","NG!"))</f>
        <v>---</v>
      </c>
      <c r="M89" s="59"/>
      <c r="N89" s="7" t="str">
        <f t="array" ref="N89">IF(INPUT!$L$16="N","---",IF(INPUT!L60&lt;&gt;"G","---",MIN(IF(WORKSHEET_FINAL!$AL$665:$AL$674=1,WORKSHEET_FINAL!$A$665:$A$674))))</f>
        <v>---</v>
      </c>
    </row>
    <row r="90" spans="3:14" ht="15.75">
      <c r="C90" s="415" t="s">
        <v>93</v>
      </c>
      <c r="D90" s="74"/>
      <c r="E90" s="74"/>
      <c r="F90" s="419" t="s">
        <v>96</v>
      </c>
      <c r="G90" s="416" t="str">
        <f t="array" ref="G90">IF(INPUT!$L$16="N","---",IF(INPUT!L60&lt;&gt;"G","---",MIN(IF(WORKSHEET_FINAL!$AL$665:$AL$674=1,WORKSHEET_FINAL!$AI$665:$AI$674))))</f>
        <v>---</v>
      </c>
      <c r="H90" s="76" t="s">
        <v>52</v>
      </c>
      <c r="I90" s="682"/>
      <c r="J90" s="683"/>
      <c r="K90" s="671"/>
      <c r="L90" s="655"/>
      <c r="M90" s="65"/>
      <c r="N90" s="7"/>
    </row>
    <row r="91" spans="3:14" ht="15.75">
      <c r="C91" s="409" t="s">
        <v>101</v>
      </c>
      <c r="D91" s="399"/>
      <c r="E91" s="399"/>
      <c r="F91" s="400" t="s">
        <v>677</v>
      </c>
      <c r="G91" s="84" t="str">
        <f t="array" ref="G91">IF(INPUT!$L$16="N","---",IF(INPUT!L60&lt;&gt;"G","---",MIN(IF(WORKSHEET_FINAL!$AP$665:$AP$674=1,WORKSHEET_FINAL!$AN$665:$AN$674))))</f>
        <v>---</v>
      </c>
      <c r="H91" s="410" t="s">
        <v>52</v>
      </c>
      <c r="I91" s="675" t="str">
        <f>IF(INPUT!$L$16="N","---",IF(INPUT!$L$60&lt;&gt;"G","---",CONCATENATE("LAYER # ",N91)))</f>
        <v>---</v>
      </c>
      <c r="J91" s="676"/>
      <c r="K91" s="667" t="str">
        <f>IF(INPUT!$L$16="N","---",IF(INPUT!$L$60&lt;&gt;"G","---",G92/G91))</f>
        <v>---</v>
      </c>
      <c r="L91" s="654" t="str">
        <f>IF(K91="---","---",IF(K91&gt;=1,"OK","NG!"))</f>
        <v>---</v>
      </c>
      <c r="M91" s="59"/>
      <c r="N91" s="7" t="str">
        <f t="array" ref="N91">IF(INPUT!$L$16="N","---",IF(INPUT!L60&lt;&gt;"G","---",MIN(IF(WORKSHEET_FINAL!$AP$665:$AP$674=1,WORKSHEET_FINAL!$A$665:$A$674))))</f>
        <v>---</v>
      </c>
    </row>
    <row r="92" spans="3:14" ht="15.75">
      <c r="C92" s="411" t="s">
        <v>93</v>
      </c>
      <c r="D92" s="403"/>
      <c r="E92" s="403"/>
      <c r="F92" s="417" t="s">
        <v>98</v>
      </c>
      <c r="G92" s="413" t="str">
        <f t="array" ref="G92">IF(INPUT!$L$16="N","---",IF(INPUT!L60&lt;&gt;"G","---",MIN(IF(WORKSHEET_FINAL!$AP$665:$AP$674=1,WORKSHEET_FINAL!$AM$665:$AM$674))))</f>
        <v>---</v>
      </c>
      <c r="H92" s="414" t="s">
        <v>52</v>
      </c>
      <c r="I92" s="682"/>
      <c r="J92" s="683"/>
      <c r="K92" s="671"/>
      <c r="L92" s="655"/>
      <c r="M92" s="65"/>
      <c r="N92" s="7"/>
    </row>
    <row r="93" spans="3:14" ht="15.75">
      <c r="C93" s="415" t="s">
        <v>92</v>
      </c>
      <c r="D93" s="74"/>
      <c r="E93" s="74"/>
      <c r="F93" s="400" t="s">
        <v>667</v>
      </c>
      <c r="G93" s="416" t="str">
        <f t="array" ref="G93">IF(INPUT!$L$16="N","---",IF(INPUT!L60&lt;&gt;"G","---",MIN(IF(WORKSHEET_FINAL!$AX$665:$AX$674=1,WORKSHEET_FINAL!$AV$665:$AV$674))))</f>
        <v>---</v>
      </c>
      <c r="H93" s="76" t="s">
        <v>52</v>
      </c>
      <c r="I93" s="675" t="str">
        <f>IF(INPUT!$L$16="N","---",IF(INPUT!$L$60&lt;&gt;"G","---",CONCATENATE("LAYER # ",N93)))</f>
        <v>---</v>
      </c>
      <c r="J93" s="676"/>
      <c r="K93" s="667" t="str">
        <f>IF(INPUT!$L$16="N","---",IF(INPUT!$L$60&lt;&gt;"G","---",G94/G93))</f>
        <v>---</v>
      </c>
      <c r="L93" s="654" t="str">
        <f>IF(K93="---","---",IF(K93&gt;=1,"OK","NG!"))</f>
        <v>---</v>
      </c>
      <c r="M93" s="59"/>
      <c r="N93" s="7" t="str">
        <f t="array" ref="N93">IF(INPUT!$L$16="N","---",IF(INPUT!L60&lt;&gt;"G","---",MIN(IF(WORKSHEET_FINAL!$AX$665:$AX$674=1,WORKSHEET_FINAL!$A$665:$A$674))))</f>
        <v>---</v>
      </c>
    </row>
    <row r="94" spans="3:14" ht="15.75">
      <c r="C94" s="415" t="s">
        <v>93</v>
      </c>
      <c r="D94" s="74"/>
      <c r="E94" s="74"/>
      <c r="F94" s="412" t="s">
        <v>656</v>
      </c>
      <c r="G94" s="416" t="str">
        <f t="array" ref="G94">IF(INPUT!$L$16="N","---",IF(INPUT!L60&lt;&gt;"G","---",MIN(IF(WORKSHEET_FINAL!$AX$665:$AX$674=1,WORKSHEET_FINAL!$AU$665:$AU$674))))</f>
        <v>---</v>
      </c>
      <c r="H94" s="76" t="s">
        <v>52</v>
      </c>
      <c r="I94" s="682"/>
      <c r="J94" s="683"/>
      <c r="K94" s="671"/>
      <c r="L94" s="655"/>
      <c r="M94" s="65"/>
      <c r="N94" s="7"/>
    </row>
    <row r="95" spans="3:14" ht="15.75">
      <c r="C95" s="409" t="s">
        <v>102</v>
      </c>
      <c r="D95" s="399"/>
      <c r="E95" s="399"/>
      <c r="F95" s="400" t="s">
        <v>640</v>
      </c>
      <c r="G95" s="84" t="str">
        <f t="array" ref="G95">IF(INPUT!$L$16="N","---",IF(INPUT!L60&lt;&gt;"G","---",MIN(IF(WORKSHEET_FINAL!$BB$665:$BB$674=1,WORKSHEET_FINAL!$AZ$665:$AZ$674))))</f>
        <v>---</v>
      </c>
      <c r="H95" s="410" t="s">
        <v>52</v>
      </c>
      <c r="I95" s="675" t="str">
        <f>IF(INPUT!$L$16="N","---",IF(INPUT!$L$60&lt;&gt;"G","---",CONCATENATE("LAYER # ",N95)))</f>
        <v>---</v>
      </c>
      <c r="J95" s="676"/>
      <c r="K95" s="667" t="str">
        <f>IF(INPUT!$L$16="N","---",IF(INPUT!$L$60&lt;&gt;"G","---",G96/G95))</f>
        <v>---</v>
      </c>
      <c r="L95" s="654" t="str">
        <f>IF(K95="---","---",IF(K95&gt;=1,"OK","NG!"))</f>
        <v>---</v>
      </c>
      <c r="M95" s="59"/>
      <c r="N95" s="7" t="str">
        <f t="array" ref="N95">IF(INPUT!$L$16="N","---",IF(INPUT!L60&lt;&gt;"G","---",MIN(IF(WORKSHEET_FINAL!$BB$665:$BB$674=1,WORKSHEET_FINAL!$A$665:$A$674))))</f>
        <v>---</v>
      </c>
    </row>
    <row r="96" spans="3:14" ht="15.75">
      <c r="C96" s="411" t="s">
        <v>93</v>
      </c>
      <c r="D96" s="403"/>
      <c r="E96" s="403"/>
      <c r="F96" s="412" t="s">
        <v>690</v>
      </c>
      <c r="G96" s="413" t="str">
        <f t="array" ref="G96">IF(INPUT!$L$16="N","---",IF(INPUT!L60&lt;&gt;"G","---",MIN(IF(WORKSHEET_FINAL!$BB$665:$BB$674=1,WORKSHEET_FINAL!$AY$665:$AY$674))))</f>
        <v>---</v>
      </c>
      <c r="H96" s="414" t="s">
        <v>52</v>
      </c>
      <c r="I96" s="682"/>
      <c r="J96" s="683"/>
      <c r="K96" s="671"/>
      <c r="L96" s="655"/>
      <c r="M96" s="65"/>
      <c r="N96" s="7"/>
    </row>
    <row r="97" spans="3:14" ht="15.75">
      <c r="C97" s="415" t="s">
        <v>103</v>
      </c>
      <c r="D97" s="74"/>
      <c r="E97" s="74"/>
      <c r="F97" s="400" t="s">
        <v>677</v>
      </c>
      <c r="G97" s="84" t="str">
        <f t="array" ref="G97">IF(INPUT!$L$16="N","---",IF(INPUT!L60&lt;&gt;"G","---",MIN(IF(WORKSHEET_FINAL!$BF$665:$BF$674=1,WORKSHEET_FINAL!$BD$665:$BD$674))))</f>
        <v>---</v>
      </c>
      <c r="H97" s="410" t="s">
        <v>52</v>
      </c>
      <c r="I97" s="675" t="str">
        <f>IF(INPUT!$L$16="N","---",IF(INPUT!$L$60&lt;&gt;"G","---",CONCATENATE("LAYER # ",N97)))</f>
        <v>---</v>
      </c>
      <c r="J97" s="676"/>
      <c r="K97" s="667" t="str">
        <f>IF(INPUT!$L$16="N","---",IF(INPUT!$L$60&lt;&gt;"G","---",G98/G97))</f>
        <v>---</v>
      </c>
      <c r="L97" s="654" t="str">
        <f>IF(K97="---","---",IF(K97&gt;=1,"OK","NG!"))</f>
        <v>---</v>
      </c>
      <c r="M97" s="59"/>
      <c r="N97" s="7" t="str">
        <f t="array" ref="N97">IF(INPUT!$L$16="N","---",IF(INPUT!L60&lt;&gt;"G","---",MIN(IF(WORKSHEET_FINAL!$BF$665:$BF$674=1,WORKSHEET_FINAL!$A$665:$A$674))))</f>
        <v>---</v>
      </c>
    </row>
    <row r="98" spans="3:14" ht="15.75">
      <c r="C98" s="415" t="s">
        <v>93</v>
      </c>
      <c r="D98" s="74"/>
      <c r="E98" s="74"/>
      <c r="F98" s="419" t="s">
        <v>691</v>
      </c>
      <c r="G98" s="413" t="str">
        <f t="array" ref="G98">IF(INPUT!$L$16="N","---",IF(INPUT!L60&lt;&gt;"G","---",MIN(IF(WORKSHEET_FINAL!$BF$665:$BF$674=1,WORKSHEET_FINAL!$BC$665:$BC$674))))</f>
        <v>---</v>
      </c>
      <c r="H98" s="414" t="s">
        <v>52</v>
      </c>
      <c r="I98" s="682"/>
      <c r="J98" s="683"/>
      <c r="K98" s="671"/>
      <c r="L98" s="655"/>
      <c r="M98" s="65"/>
      <c r="N98" s="7"/>
    </row>
    <row r="99" spans="3:14" ht="15.75">
      <c r="C99" s="398" t="s">
        <v>673</v>
      </c>
      <c r="D99" s="399"/>
      <c r="E99" s="399"/>
      <c r="F99" s="400" t="s">
        <v>650</v>
      </c>
      <c r="G99" s="416" t="str">
        <f t="array" ref="G99">IF(INPUT!$L$16="N","---",IF(INPUT!L60&lt;&gt;"G","---",MIN(IF(WORKSHEET_FINAL!$AL$641:$AL$650=1,WORKSHEET_FINAL!$AJ$641:$AJ$650))))</f>
        <v>---</v>
      </c>
      <c r="H99" s="76" t="s">
        <v>56</v>
      </c>
      <c r="I99" s="675" t="str">
        <f>IF(INPUT!$L$16="N","---",IF(INPUT!$L$60&lt;&gt;"G","---",CONCATENATE("LAYER # ",N99)))</f>
        <v>---</v>
      </c>
      <c r="J99" s="676"/>
      <c r="K99" s="667" t="str">
        <f>IF(INPUT!$L$16="N","---",IF(INPUT!$L$60&lt;&gt;"G","---",G100/G99))</f>
        <v>---</v>
      </c>
      <c r="L99" s="654" t="str">
        <f>IF(K99="---","---",IF(K99&gt;=1,"OK","NG!"))</f>
        <v>---</v>
      </c>
      <c r="M99" s="59"/>
      <c r="N99" s="7" t="str">
        <f t="array" ref="N99">IF(INPUT!$L$16="N","---",IF(INPUT!L60&lt;&gt;"G","---",MIN(IF(WORKSHEET_FINAL!$AL$641:$AL$650=1,WORKSHEET_FINAL!$A$641:$A$650))))</f>
        <v>---</v>
      </c>
    </row>
    <row r="100" spans="3:14" ht="15.75">
      <c r="C100" s="411" t="s">
        <v>93</v>
      </c>
      <c r="D100" s="403"/>
      <c r="E100" s="403"/>
      <c r="F100" s="404" t="s">
        <v>651</v>
      </c>
      <c r="G100" s="413" t="str">
        <f t="array" ref="G100">IF(INPUT!$L$16="N","---",IF(INPUT!L60&lt;&gt;"G","---",MIN(IF(WORKSHEET_FINAL!$AL$641:$AL$650=1,WORKSHEET_FINAL!$AI$641:$AI$650))))</f>
        <v>---</v>
      </c>
      <c r="H100" s="414" t="s">
        <v>56</v>
      </c>
      <c r="I100" s="677"/>
      <c r="J100" s="678"/>
      <c r="K100" s="668"/>
      <c r="L100" s="670"/>
      <c r="M100" s="65"/>
    </row>
  </sheetData>
  <mergeCells count="138">
    <mergeCell ref="K5:L5"/>
    <mergeCell ref="C1:G1"/>
    <mergeCell ref="C2:G2"/>
    <mergeCell ref="C3:G3"/>
    <mergeCell ref="I41:J42"/>
    <mergeCell ref="I10:J10"/>
    <mergeCell ref="K41:K42"/>
    <mergeCell ref="I15:J16"/>
    <mergeCell ref="K13:K14"/>
    <mergeCell ref="K15:K16"/>
    <mergeCell ref="K11:K12"/>
    <mergeCell ref="C17:L17"/>
    <mergeCell ref="I13:J14"/>
    <mergeCell ref="I39:J40"/>
    <mergeCell ref="K39:K40"/>
    <mergeCell ref="K25:K26"/>
    <mergeCell ref="I27:J28"/>
    <mergeCell ref="K27:K28"/>
    <mergeCell ref="I29:J30"/>
    <mergeCell ref="K35:K36"/>
    <mergeCell ref="I37:J38"/>
    <mergeCell ref="K37:K38"/>
    <mergeCell ref="C31:L31"/>
    <mergeCell ref="I33:J34"/>
    <mergeCell ref="I91:J92"/>
    <mergeCell ref="K91:K92"/>
    <mergeCell ref="L91:L92"/>
    <mergeCell ref="I93:J94"/>
    <mergeCell ref="K93:K94"/>
    <mergeCell ref="L93:L94"/>
    <mergeCell ref="I99:J100"/>
    <mergeCell ref="K99:K100"/>
    <mergeCell ref="L99:L100"/>
    <mergeCell ref="I95:J96"/>
    <mergeCell ref="K95:K96"/>
    <mergeCell ref="L95:L96"/>
    <mergeCell ref="I97:J98"/>
    <mergeCell ref="K97:K98"/>
    <mergeCell ref="L97:L98"/>
    <mergeCell ref="L89:L90"/>
    <mergeCell ref="I79:J80"/>
    <mergeCell ref="K79:K80"/>
    <mergeCell ref="L79:L80"/>
    <mergeCell ref="I81:J82"/>
    <mergeCell ref="K81:K82"/>
    <mergeCell ref="L81:L82"/>
    <mergeCell ref="I83:J84"/>
    <mergeCell ref="K83:K84"/>
    <mergeCell ref="L83:L84"/>
    <mergeCell ref="I85:J86"/>
    <mergeCell ref="K85:K86"/>
    <mergeCell ref="L85:L86"/>
    <mergeCell ref="I87:J88"/>
    <mergeCell ref="K87:K88"/>
    <mergeCell ref="L87:L88"/>
    <mergeCell ref="I89:J90"/>
    <mergeCell ref="K89:K90"/>
    <mergeCell ref="C75:L75"/>
    <mergeCell ref="I76:J76"/>
    <mergeCell ref="I77:J78"/>
    <mergeCell ref="K77:K78"/>
    <mergeCell ref="L77:L78"/>
    <mergeCell ref="I71:J72"/>
    <mergeCell ref="K71:K72"/>
    <mergeCell ref="L71:L72"/>
    <mergeCell ref="I73:J74"/>
    <mergeCell ref="K73:K74"/>
    <mergeCell ref="I63:J64"/>
    <mergeCell ref="K63:K64"/>
    <mergeCell ref="L63:L64"/>
    <mergeCell ref="I65:J66"/>
    <mergeCell ref="K65:K66"/>
    <mergeCell ref="L65:L66"/>
    <mergeCell ref="L73:L74"/>
    <mergeCell ref="I67:J68"/>
    <mergeCell ref="K67:K68"/>
    <mergeCell ref="L67:L68"/>
    <mergeCell ref="I69:J70"/>
    <mergeCell ref="K69:K70"/>
    <mergeCell ref="L69:L70"/>
    <mergeCell ref="L59:L60"/>
    <mergeCell ref="L43:L44"/>
    <mergeCell ref="L45:L46"/>
    <mergeCell ref="L47:L48"/>
    <mergeCell ref="L49:L50"/>
    <mergeCell ref="L33:L34"/>
    <mergeCell ref="L35:L36"/>
    <mergeCell ref="L37:L38"/>
    <mergeCell ref="L39:L40"/>
    <mergeCell ref="L41:L42"/>
    <mergeCell ref="L57:L58"/>
    <mergeCell ref="L51:L52"/>
    <mergeCell ref="L53:L54"/>
    <mergeCell ref="L55:L56"/>
    <mergeCell ref="I43:J44"/>
    <mergeCell ref="K43:K44"/>
    <mergeCell ref="I49:J50"/>
    <mergeCell ref="I45:J46"/>
    <mergeCell ref="K45:K46"/>
    <mergeCell ref="I47:J48"/>
    <mergeCell ref="K47:K48"/>
    <mergeCell ref="I62:J62"/>
    <mergeCell ref="I21:J22"/>
    <mergeCell ref="K21:K22"/>
    <mergeCell ref="I23:J24"/>
    <mergeCell ref="K23:K24"/>
    <mergeCell ref="I25:J26"/>
    <mergeCell ref="I53:J54"/>
    <mergeCell ref="K53:K54"/>
    <mergeCell ref="I55:J56"/>
    <mergeCell ref="K55:K56"/>
    <mergeCell ref="I57:J58"/>
    <mergeCell ref="K57:K58"/>
    <mergeCell ref="K33:K34"/>
    <mergeCell ref="C7:L7"/>
    <mergeCell ref="C9:L9"/>
    <mergeCell ref="L11:L12"/>
    <mergeCell ref="I11:J12"/>
    <mergeCell ref="C61:L61"/>
    <mergeCell ref="I18:J18"/>
    <mergeCell ref="I19:J20"/>
    <mergeCell ref="K19:K20"/>
    <mergeCell ref="K29:K30"/>
    <mergeCell ref="I32:J32"/>
    <mergeCell ref="L23:L24"/>
    <mergeCell ref="L25:L26"/>
    <mergeCell ref="L27:L28"/>
    <mergeCell ref="L29:L30"/>
    <mergeCell ref="L13:L14"/>
    <mergeCell ref="L15:L16"/>
    <mergeCell ref="L19:L20"/>
    <mergeCell ref="L21:L22"/>
    <mergeCell ref="I35:J36"/>
    <mergeCell ref="K49:K50"/>
    <mergeCell ref="I51:J52"/>
    <mergeCell ref="K51:K52"/>
    <mergeCell ref="I59:J60"/>
    <mergeCell ref="K59:K60"/>
  </mergeCells>
  <phoneticPr fontId="0" type="noConversion"/>
  <conditionalFormatting sqref="L11:L12">
    <cfRule type="containsText" dxfId="41" priority="82" operator="containsText" text="ng!">
      <formula>NOT(ISERROR(SEARCH("ng!",L11)))</formula>
    </cfRule>
  </conditionalFormatting>
  <conditionalFormatting sqref="K11:K16 K19:K30 K33:K60 K63:K74 K77:K100">
    <cfRule type="cellIs" dxfId="40" priority="41" operator="lessThan">
      <formula>1</formula>
    </cfRule>
  </conditionalFormatting>
  <conditionalFormatting sqref="L13:L14">
    <cfRule type="containsText" dxfId="39" priority="40" operator="containsText" text="ng!">
      <formula>NOT(ISERROR(SEARCH("ng!",L13)))</formula>
    </cfRule>
  </conditionalFormatting>
  <conditionalFormatting sqref="L15:L16">
    <cfRule type="containsText" dxfId="38" priority="39" operator="containsText" text="ng!">
      <formula>NOT(ISERROR(SEARCH("ng!",L15)))</formula>
    </cfRule>
  </conditionalFormatting>
  <conditionalFormatting sqref="L19:L20">
    <cfRule type="containsText" dxfId="37" priority="38" operator="containsText" text="ng!">
      <formula>NOT(ISERROR(SEARCH("ng!",L19)))</formula>
    </cfRule>
  </conditionalFormatting>
  <conditionalFormatting sqref="L21:L22">
    <cfRule type="containsText" dxfId="36" priority="37" operator="containsText" text="ng!">
      <formula>NOT(ISERROR(SEARCH("ng!",L21)))</formula>
    </cfRule>
  </conditionalFormatting>
  <conditionalFormatting sqref="L23:L24">
    <cfRule type="containsText" dxfId="35" priority="36" operator="containsText" text="ng!">
      <formula>NOT(ISERROR(SEARCH("ng!",L23)))</formula>
    </cfRule>
  </conditionalFormatting>
  <conditionalFormatting sqref="L25:L26">
    <cfRule type="containsText" dxfId="34" priority="35" operator="containsText" text="ng!">
      <formula>NOT(ISERROR(SEARCH("ng!",L25)))</formula>
    </cfRule>
  </conditionalFormatting>
  <conditionalFormatting sqref="L27:L28">
    <cfRule type="containsText" dxfId="33" priority="34" operator="containsText" text="ng!">
      <formula>NOT(ISERROR(SEARCH("ng!",L27)))</formula>
    </cfRule>
  </conditionalFormatting>
  <conditionalFormatting sqref="L29:L30">
    <cfRule type="containsText" dxfId="32" priority="33" operator="containsText" text="ng!">
      <formula>NOT(ISERROR(SEARCH("ng!",L29)))</formula>
    </cfRule>
  </conditionalFormatting>
  <conditionalFormatting sqref="L33:L34">
    <cfRule type="containsText" dxfId="31" priority="32" operator="containsText" text="ng!">
      <formula>NOT(ISERROR(SEARCH("ng!",L33)))</formula>
    </cfRule>
  </conditionalFormatting>
  <conditionalFormatting sqref="L35:L36">
    <cfRule type="containsText" dxfId="30" priority="31" operator="containsText" text="ng!">
      <formula>NOT(ISERROR(SEARCH("ng!",L35)))</formula>
    </cfRule>
  </conditionalFormatting>
  <conditionalFormatting sqref="L37:L38">
    <cfRule type="containsText" dxfId="29" priority="30" operator="containsText" text="ng!">
      <formula>NOT(ISERROR(SEARCH("ng!",L37)))</formula>
    </cfRule>
  </conditionalFormatting>
  <conditionalFormatting sqref="L39:L40">
    <cfRule type="containsText" dxfId="28" priority="29" operator="containsText" text="ng!">
      <formula>NOT(ISERROR(SEARCH("ng!",L39)))</formula>
    </cfRule>
  </conditionalFormatting>
  <conditionalFormatting sqref="L41:L42">
    <cfRule type="containsText" dxfId="27" priority="28" operator="containsText" text="ng!">
      <formula>NOT(ISERROR(SEARCH("ng!",L41)))</formula>
    </cfRule>
  </conditionalFormatting>
  <conditionalFormatting sqref="L43:L44">
    <cfRule type="containsText" dxfId="26" priority="27" operator="containsText" text="ng!">
      <formula>NOT(ISERROR(SEARCH("ng!",L43)))</formula>
    </cfRule>
  </conditionalFormatting>
  <conditionalFormatting sqref="L45:L46">
    <cfRule type="containsText" dxfId="25" priority="26" operator="containsText" text="ng!">
      <formula>NOT(ISERROR(SEARCH("ng!",L45)))</formula>
    </cfRule>
  </conditionalFormatting>
  <conditionalFormatting sqref="L47:L48">
    <cfRule type="containsText" dxfId="24" priority="25" operator="containsText" text="ng!">
      <formula>NOT(ISERROR(SEARCH("ng!",L47)))</formula>
    </cfRule>
  </conditionalFormatting>
  <conditionalFormatting sqref="L49:L50">
    <cfRule type="containsText" dxfId="23" priority="24" operator="containsText" text="ng!">
      <formula>NOT(ISERROR(SEARCH("ng!",L49)))</formula>
    </cfRule>
  </conditionalFormatting>
  <conditionalFormatting sqref="L51:L52">
    <cfRule type="containsText" dxfId="22" priority="23" operator="containsText" text="ng!">
      <formula>NOT(ISERROR(SEARCH("ng!",L51)))</formula>
    </cfRule>
  </conditionalFormatting>
  <conditionalFormatting sqref="L53:L54">
    <cfRule type="containsText" dxfId="21" priority="22" operator="containsText" text="ng!">
      <formula>NOT(ISERROR(SEARCH("ng!",L53)))</formula>
    </cfRule>
  </conditionalFormatting>
  <conditionalFormatting sqref="L55:L56">
    <cfRule type="containsText" dxfId="20" priority="21" operator="containsText" text="ng!">
      <formula>NOT(ISERROR(SEARCH("ng!",L55)))</formula>
    </cfRule>
  </conditionalFormatting>
  <conditionalFormatting sqref="L57:L58">
    <cfRule type="containsText" dxfId="19" priority="20" operator="containsText" text="ng!">
      <formula>NOT(ISERROR(SEARCH("ng!",L57)))</formula>
    </cfRule>
  </conditionalFormatting>
  <conditionalFormatting sqref="L59:L60">
    <cfRule type="containsText" dxfId="18" priority="19" operator="containsText" text="ng!">
      <formula>NOT(ISERROR(SEARCH("ng!",L59)))</formula>
    </cfRule>
  </conditionalFormatting>
  <conditionalFormatting sqref="L63:L64">
    <cfRule type="containsText" dxfId="17" priority="18" operator="containsText" text="ng!">
      <formula>NOT(ISERROR(SEARCH("ng!",L63)))</formula>
    </cfRule>
  </conditionalFormatting>
  <conditionalFormatting sqref="L65:L66">
    <cfRule type="containsText" dxfId="16" priority="17" operator="containsText" text="ng!">
      <formula>NOT(ISERROR(SEARCH("ng!",L65)))</formula>
    </cfRule>
  </conditionalFormatting>
  <conditionalFormatting sqref="L67:L68">
    <cfRule type="containsText" dxfId="15" priority="16" operator="containsText" text="ng!">
      <formula>NOT(ISERROR(SEARCH("ng!",L67)))</formula>
    </cfRule>
  </conditionalFormatting>
  <conditionalFormatting sqref="L69:L70">
    <cfRule type="containsText" dxfId="14" priority="15" operator="containsText" text="ng!">
      <formula>NOT(ISERROR(SEARCH("ng!",L69)))</formula>
    </cfRule>
  </conditionalFormatting>
  <conditionalFormatting sqref="L71:L72">
    <cfRule type="containsText" dxfId="13" priority="14" operator="containsText" text="ng!">
      <formula>NOT(ISERROR(SEARCH("ng!",L71)))</formula>
    </cfRule>
  </conditionalFormatting>
  <conditionalFormatting sqref="L73:L74">
    <cfRule type="containsText" dxfId="12" priority="13" operator="containsText" text="ng!">
      <formula>NOT(ISERROR(SEARCH("ng!",L73)))</formula>
    </cfRule>
  </conditionalFormatting>
  <conditionalFormatting sqref="L77:L78">
    <cfRule type="containsText" dxfId="11" priority="12" operator="containsText" text="ng!">
      <formula>NOT(ISERROR(SEARCH("ng!",L77)))</formula>
    </cfRule>
  </conditionalFormatting>
  <conditionalFormatting sqref="L79:L80">
    <cfRule type="containsText" dxfId="10" priority="11" operator="containsText" text="ng!">
      <formula>NOT(ISERROR(SEARCH("ng!",L79)))</formula>
    </cfRule>
  </conditionalFormatting>
  <conditionalFormatting sqref="L81:L82">
    <cfRule type="containsText" dxfId="9" priority="10" operator="containsText" text="ng!">
      <formula>NOT(ISERROR(SEARCH("ng!",L81)))</formula>
    </cfRule>
  </conditionalFormatting>
  <conditionalFormatting sqref="L83:L84">
    <cfRule type="containsText" dxfId="8" priority="9" operator="containsText" text="ng!">
      <formula>NOT(ISERROR(SEARCH("ng!",L83)))</formula>
    </cfRule>
  </conditionalFormatting>
  <conditionalFormatting sqref="L85:L86">
    <cfRule type="containsText" dxfId="7" priority="8" operator="containsText" text="ng!">
      <formula>NOT(ISERROR(SEARCH("ng!",L85)))</formula>
    </cfRule>
  </conditionalFormatting>
  <conditionalFormatting sqref="L87:L88">
    <cfRule type="containsText" dxfId="6" priority="7" operator="containsText" text="ng!">
      <formula>NOT(ISERROR(SEARCH("ng!",L87)))</formula>
    </cfRule>
  </conditionalFormatting>
  <conditionalFormatting sqref="L89:L90">
    <cfRule type="containsText" dxfId="5" priority="6" operator="containsText" text="ng!">
      <formula>NOT(ISERROR(SEARCH("ng!",L89)))</formula>
    </cfRule>
  </conditionalFormatting>
  <conditionalFormatting sqref="L91:L92">
    <cfRule type="containsText" dxfId="4" priority="5" operator="containsText" text="ng!">
      <formula>NOT(ISERROR(SEARCH("ng!",L91)))</formula>
    </cfRule>
  </conditionalFormatting>
  <conditionalFormatting sqref="L93:L94">
    <cfRule type="containsText" dxfId="3" priority="4" operator="containsText" text="ng!">
      <formula>NOT(ISERROR(SEARCH("ng!",L93)))</formula>
    </cfRule>
  </conditionalFormatting>
  <conditionalFormatting sqref="L95:L96">
    <cfRule type="containsText" dxfId="2" priority="3" operator="containsText" text="ng!">
      <formula>NOT(ISERROR(SEARCH("ng!",L95)))</formula>
    </cfRule>
  </conditionalFormatting>
  <conditionalFormatting sqref="L97:L98">
    <cfRule type="containsText" dxfId="1" priority="2" operator="containsText" text="ng!">
      <formula>NOT(ISERROR(SEARCH("ng!",L97)))</formula>
    </cfRule>
  </conditionalFormatting>
  <conditionalFormatting sqref="L99:L100">
    <cfRule type="containsText" dxfId="0" priority="1" operator="containsText" text="ng!">
      <formula>NOT(ISERROR(SEARCH("ng!",L99)))</formula>
    </cfRule>
  </conditionalFormatting>
  <pageMargins left="0.75" right="0.75" top="1" bottom="1" header="0.5" footer="0.5"/>
  <pageSetup scale="80" orientation="portrait" r:id="rId1"/>
  <headerFooter alignWithMargins="0">
    <oddFooter>&amp;L&amp;F   &amp;A&amp;CPage &amp;P of &amp;N&amp;R&amp;D   &amp;T</oddFooter>
  </headerFooter>
  <rowBreaks count="1" manualBreakCount="1">
    <brk id="60"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14382336BE7C4AA7FEF10B2B95F093" ma:contentTypeVersion="1" ma:contentTypeDescription="Create a new document." ma:contentTypeScope="" ma:versionID="bab75403dd5f75de0c943ba25bc68b80">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994DB42-83D6-4FAC-AECB-E560D2F26072}"/>
</file>

<file path=customXml/itemProps2.xml><?xml version="1.0" encoding="utf-8"?>
<ds:datastoreItem xmlns:ds="http://schemas.openxmlformats.org/officeDocument/2006/customXml" ds:itemID="{FC85DB4B-8957-4ED0-814A-080E235F136F}"/>
</file>

<file path=customXml/itemProps3.xml><?xml version="1.0" encoding="utf-8"?>
<ds:datastoreItem xmlns:ds="http://schemas.openxmlformats.org/officeDocument/2006/customXml" ds:itemID="{DB4171A5-7287-43DF-86C2-ADEFF4FAC6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134</vt:i4>
      </vt:variant>
    </vt:vector>
  </HeadingPairs>
  <TitlesOfParts>
    <vt:vector size="139" baseType="lpstr">
      <vt:lpstr>README</vt:lpstr>
      <vt:lpstr>INPUT</vt:lpstr>
      <vt:lpstr>WORKSHEET_FINAL</vt:lpstr>
      <vt:lpstr>WORKSHEET_CONSTR</vt:lpstr>
      <vt:lpstr>OUTPUT</vt:lpstr>
      <vt:lpstr>A</vt:lpstr>
      <vt:lpstr>Abut_on_Piles</vt:lpstr>
      <vt:lpstr>Ad</vt:lpstr>
      <vt:lpstr>adhesion</vt:lpstr>
      <vt:lpstr>Af</vt:lpstr>
      <vt:lpstr>Ah</vt:lpstr>
      <vt:lpstr>alpha</vt:lpstr>
      <vt:lpstr>Am</vt:lpstr>
      <vt:lpstr>Aw</vt:lpstr>
      <vt:lpstr>Backfill</vt:lpstr>
      <vt:lpstr>Backwall_Present</vt:lpstr>
      <vt:lpstr>base_matl</vt:lpstr>
      <vt:lpstr>Base_theor</vt:lpstr>
      <vt:lpstr>Beta</vt:lpstr>
      <vt:lpstr>BETA_Broken_BF</vt:lpstr>
      <vt:lpstr>bf</vt:lpstr>
      <vt:lpstr>bfe</vt:lpstr>
      <vt:lpstr>bfi</vt:lpstr>
      <vt:lpstr>C_surf_geo</vt:lpstr>
      <vt:lpstr>cf</vt:lpstr>
      <vt:lpstr>Co</vt:lpstr>
      <vt:lpstr>cohesion</vt:lpstr>
      <vt:lpstr>Cu</vt:lpstr>
      <vt:lpstr>d</vt:lpstr>
      <vt:lpstr>D_1_H</vt:lpstr>
      <vt:lpstr>D_1_Z2</vt:lpstr>
      <vt:lpstr>DC</vt:lpstr>
      <vt:lpstr>delta</vt:lpstr>
      <vt:lpstr>Df</vt:lpstr>
      <vt:lpstr>DW</vt:lpstr>
      <vt:lpstr>F_1_q_DW</vt:lpstr>
      <vt:lpstr>F_1_q_ES</vt:lpstr>
      <vt:lpstr>F_1_q_LS</vt:lpstr>
      <vt:lpstr>F_2_q_DW</vt:lpstr>
      <vt:lpstr>F_2_q_LS</vt:lpstr>
      <vt:lpstr>F_2a_EH</vt:lpstr>
      <vt:lpstr>F_2a_q_DW</vt:lpstr>
      <vt:lpstr>F_2a_q_LS</vt:lpstr>
      <vt:lpstr>Fp</vt:lpstr>
      <vt:lpstr>Fy</vt:lpstr>
      <vt:lpstr>g</vt:lpstr>
      <vt:lpstr>gamma_P</vt:lpstr>
      <vt:lpstr>Geo_Conn</vt:lpstr>
      <vt:lpstr>Geo_Face</vt:lpstr>
      <vt:lpstr>H</vt:lpstr>
      <vt:lpstr>H_1</vt:lpstr>
      <vt:lpstr>H_2</vt:lpstr>
      <vt:lpstr>h_notional</vt:lpstr>
      <vt:lpstr>Half_PAE</vt:lpstr>
      <vt:lpstr>Half_PAEh</vt:lpstr>
      <vt:lpstr>Half_PAEv</vt:lpstr>
      <vt:lpstr>hB</vt:lpstr>
      <vt:lpstr>HC</vt:lpstr>
      <vt:lpstr>heq</vt:lpstr>
      <vt:lpstr>heq_t</vt:lpstr>
      <vt:lpstr>ka</vt:lpstr>
      <vt:lpstr>ka_int</vt:lpstr>
      <vt:lpstr>L_1</vt:lpstr>
      <vt:lpstr>L_2</vt:lpstr>
      <vt:lpstr>L_reinf</vt:lpstr>
      <vt:lpstr>L_wall</vt:lpstr>
      <vt:lpstr>Nc</vt:lpstr>
      <vt:lpstr>Ncq</vt:lpstr>
      <vt:lpstr>Ng</vt:lpstr>
      <vt:lpstr>Ngq</vt:lpstr>
      <vt:lpstr>Nms</vt:lpstr>
      <vt:lpstr>Nq</vt:lpstr>
      <vt:lpstr>P_inertial</vt:lpstr>
      <vt:lpstr>Pa</vt:lpstr>
      <vt:lpstr>Pa_h</vt:lpstr>
      <vt:lpstr>Pa_v</vt:lpstr>
      <vt:lpstr>PH_1</vt:lpstr>
      <vt:lpstr>PH_1_pullout</vt:lpstr>
      <vt:lpstr>PH_2</vt:lpstr>
      <vt:lpstr>PH1_a</vt:lpstr>
      <vt:lpstr>PHI_base</vt:lpstr>
      <vt:lpstr>phi_bearing</vt:lpstr>
      <vt:lpstr>PHI_fill</vt:lpstr>
      <vt:lpstr>phi_Pullout_Combined</vt:lpstr>
      <vt:lpstr>phi_Pullout_Static</vt:lpstr>
      <vt:lpstr>PHI_reinf</vt:lpstr>
      <vt:lpstr>phi_Seismic</vt:lpstr>
      <vt:lpstr>phi_sliding</vt:lpstr>
      <vt:lpstr>phi_Tensile_Combined</vt:lpstr>
      <vt:lpstr>phi_Tensile_Static</vt:lpstr>
      <vt:lpstr>Pir</vt:lpstr>
      <vt:lpstr>Pis</vt:lpstr>
      <vt:lpstr>INPUT!Print_Area</vt:lpstr>
      <vt:lpstr>OUTPUT!Print_Area</vt:lpstr>
      <vt:lpstr>WORKSHEET_CONSTR!Print_Area</vt:lpstr>
      <vt:lpstr>WORKSHEET_FINAL!Print_Area</vt:lpstr>
      <vt:lpstr>INPUT!Print_Titles</vt:lpstr>
      <vt:lpstr>OUTPUT!Print_Titles</vt:lpstr>
      <vt:lpstr>README!Print_Titles</vt:lpstr>
      <vt:lpstr>WORKSHEET_CONSTR!Print_Titles</vt:lpstr>
      <vt:lpstr>WORKSHEET_FINAL!Print_Titles</vt:lpstr>
      <vt:lpstr>psi_r</vt:lpstr>
      <vt:lpstr>Pv</vt:lpstr>
      <vt:lpstr>Pv_ext</vt:lpstr>
      <vt:lpstr>pw</vt:lpstr>
      <vt:lpstr>q_DW</vt:lpstr>
      <vt:lpstr>q_DW_int</vt:lpstr>
      <vt:lpstr>q_ES</vt:lpstr>
      <vt:lpstr>q_ES_int</vt:lpstr>
      <vt:lpstr>q_LS</vt:lpstr>
      <vt:lpstr>q_LS_int</vt:lpstr>
      <vt:lpstr>Reinf_cont</vt:lpstr>
      <vt:lpstr>RF_CR</vt:lpstr>
      <vt:lpstr>RF_D</vt:lpstr>
      <vt:lpstr>RF_ID</vt:lpstr>
      <vt:lpstr>rho</vt:lpstr>
      <vt:lpstr>rho_experimental</vt:lpstr>
      <vt:lpstr>S</vt:lpstr>
      <vt:lpstr>Segmental_Block</vt:lpstr>
      <vt:lpstr>Su</vt:lpstr>
      <vt:lpstr>Sv</vt:lpstr>
      <vt:lpstr>Sva</vt:lpstr>
      <vt:lpstr>theta</vt:lpstr>
      <vt:lpstr>Tw</vt:lpstr>
      <vt:lpstr>Type_of_Geo</vt:lpstr>
      <vt:lpstr>Type_Reinf</vt:lpstr>
      <vt:lpstr>Type_Steel_Strip</vt:lpstr>
      <vt:lpstr>V1_re</vt:lpstr>
      <vt:lpstr>V2_fill</vt:lpstr>
      <vt:lpstr>V3_wall</vt:lpstr>
      <vt:lpstr>Wa</vt:lpstr>
      <vt:lpstr>wall_on_slope</vt:lpstr>
      <vt:lpstr>x</vt:lpstr>
      <vt:lpstr>Z_1</vt:lpstr>
      <vt:lpstr>Z_1a</vt:lpstr>
      <vt:lpstr>Z_2_ext</vt:lpstr>
      <vt:lpstr>Z_2_Pv</vt:lpstr>
      <vt:lpstr>Z_2_qint</vt:lpstr>
      <vt:lpstr>z_water</vt:lpstr>
    </vt:vector>
  </TitlesOfParts>
  <Company>Michael Baker Jr.,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Timothy D. Ainsley</dc:creator>
  <cp:lastModifiedBy>gagordon</cp:lastModifiedBy>
  <cp:lastPrinted>2014-05-06T00:39:48Z</cp:lastPrinted>
  <dcterms:created xsi:type="dcterms:W3CDTF">2003-02-12T16:38:59Z</dcterms:created>
  <dcterms:modified xsi:type="dcterms:W3CDTF">2018-03-23T18:54:43Z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0x0101003E14382336BE7C4AA7FEF10B2B95F093</vt:lpwstr>
  </property>
  <property fmtid="{D5CDD505-2E9C-101B-9397-08002B2CF9AE}" pid="3" name="Order">
    <vt:r8>3500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