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vbaProject.bin" ContentType="application/vnd.ms-office.vbaProject"/>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5.xml" ContentType="application/vnd.ms-office.activeX+xml"/>
  <Override PartName="/xl/activeX/activeX3.xml" ContentType="application/vnd.ms-office.activeX+xml"/>
  <Override PartName="/xl/activeX/activeX5.bin" ContentType="application/vnd.ms-office.activeX"/>
  <Override PartName="/xl/activeX/activeX4.bin" ContentType="application/vnd.ms-office.activeX"/>
  <Override PartName="/xl/calcChain.xml" ContentType="application/vnd.openxmlformats-officedocument.spreadsheetml.calcChain+xml"/>
  <Override PartName="/xl/activeX/activeX3.bin" ContentType="application/vnd.ms-office.activeX"/>
  <Override PartName="/xl/activeX/activeX4.xml" ContentType="application/vnd.ms-office.activeX+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codeName="{4470D2CD-2249-CD33-4A35-6F278624656F}"/>
  <workbookPr showInkAnnotation="0" codeName="ThisWorkbook"/>
  <mc:AlternateContent xmlns:mc="http://schemas.openxmlformats.org/markup-compatibility/2006">
    <mc:Choice Requires="x15">
      <x15ac:absPath xmlns:x15ac="http://schemas.microsoft.com/office/spreadsheetml/2010/11/ac" url="S:\Bureau of Design\Bridge\Integral Abutment Spreadsheet\"/>
    </mc:Choice>
  </mc:AlternateContent>
  <xr:revisionPtr revIDLastSave="0" documentId="13_ncr:1_{F75CFB82-F50D-4439-8443-E1A77235747E}" xr6:coauthVersionLast="45" xr6:coauthVersionMax="46" xr10:uidLastSave="{00000000-0000-0000-0000-000000000000}"/>
  <bookViews>
    <workbookView xWindow="-98" yWindow="-98" windowWidth="28996" windowHeight="15180" xr2:uid="{00000000-000D-0000-FFFF-FFFF00000000}"/>
  </bookViews>
  <sheets>
    <sheet name="Input Summary" sheetId="6042" r:id="rId1"/>
    <sheet name="Main" sheetId="1" r:id="rId2"/>
    <sheet name="Scour" sheetId="6041" state="hidden" r:id="rId3"/>
    <sheet name="COM624P Input" sheetId="6043" state="hidden" r:id="rId4"/>
    <sheet name="Load Factors" sheetId="2" r:id="rId5"/>
    <sheet name="Cap Reinforcement" sheetId="3" r:id="rId6"/>
    <sheet name="Pile Data" sheetId="6040" r:id="rId7"/>
    <sheet name="Sketch Data" sheetId="52" state="hidden" r:id="rId8"/>
  </sheets>
  <definedNames>
    <definedName name="_com1">'COM624P Input'!$B$15:$F$35</definedName>
    <definedName name="_com2">'COM624P Input'!$B$39:$F$59</definedName>
    <definedName name="_com3">'COM624P Input'!#REF!</definedName>
    <definedName name="_com4">'COM624P Input'!#REF!</definedName>
    <definedName name="_sum1">'Input Summary'!$K$16</definedName>
    <definedName name="_sum10">'Input Summary'!$K$25</definedName>
    <definedName name="_sum11">'Input Summary'!$K$26</definedName>
    <definedName name="_sum12">'Input Summary'!$K$27</definedName>
    <definedName name="_sum13">'Input Summary'!$K$28</definedName>
    <definedName name="_sum14">'Input Summary'!$K$29</definedName>
    <definedName name="_sum15">'Input Summary'!$K$30</definedName>
    <definedName name="_sum15b">'Input Summary'!$K$32</definedName>
    <definedName name="_sum16">'Input Summary'!$K$35</definedName>
    <definedName name="_sum17">'Input Summary'!$K$36</definedName>
    <definedName name="_sum18">'Input Summary'!$K$37</definedName>
    <definedName name="_sum19">'Input Summary'!$K$38</definedName>
    <definedName name="_sum2">'Input Summary'!$K$17</definedName>
    <definedName name="_sum20">'Input Summary'!$K$39</definedName>
    <definedName name="_sum21">'Input Summary'!$K$42</definedName>
    <definedName name="_sum22">'Input Summary'!$K$43</definedName>
    <definedName name="_sum23">'Input Summary'!$K$44</definedName>
    <definedName name="_sum24">'Input Summary'!$K$45</definedName>
    <definedName name="_sum25">'Input Summary'!$K$46</definedName>
    <definedName name="_sum26">'Input Summary'!$K$47</definedName>
    <definedName name="_sum261">'Input Summary'!$K$48</definedName>
    <definedName name="_sum27">'Input Summary'!$K$49</definedName>
    <definedName name="_sum28">'Input Summary'!$K$50</definedName>
    <definedName name="_sum29">'Input Summary'!$K$51</definedName>
    <definedName name="_sum3">'Input Summary'!$K$18</definedName>
    <definedName name="_sum30">'Input Summary'!$K$52</definedName>
    <definedName name="_sum31">'Input Summary'!$K$54</definedName>
    <definedName name="_sum32">'Input Summary'!$K$55</definedName>
    <definedName name="_sum33">'Input Summary'!$K$56</definedName>
    <definedName name="_sum34">'Input Summary'!$K$57</definedName>
    <definedName name="_sum35">'Input Summary'!$K$58</definedName>
    <definedName name="_sum36">'Input Summary'!$K$59</definedName>
    <definedName name="_sum37">'Input Summary'!$K$60</definedName>
    <definedName name="_sum38">'Input Summary'!$K$63</definedName>
    <definedName name="_Sum381">'Input Summary'!$K$108</definedName>
    <definedName name="_sum39">'Input Summary'!$K$64</definedName>
    <definedName name="_sum4">'Input Summary'!$K$19</definedName>
    <definedName name="_sum40">'Input Summary'!$K$65</definedName>
    <definedName name="_sum42">'Input Summary'!$K$68</definedName>
    <definedName name="_sum43">'Input Summary'!$K$69</definedName>
    <definedName name="_sum44">'Input Summary'!$K$70</definedName>
    <definedName name="_sum45">'Input Summary'!$K$71</definedName>
    <definedName name="_sum46">'Input Summary'!$K$72</definedName>
    <definedName name="_sum47">'Input Summary'!$K$73</definedName>
    <definedName name="_sum48">'Input Summary'!$K$74</definedName>
    <definedName name="_sum49">'Input Summary'!$K$75</definedName>
    <definedName name="_sum5">'Input Summary'!$K$20</definedName>
    <definedName name="_sum50">'Input Summary'!$K$76</definedName>
    <definedName name="_sum51">'Input Summary'!$K$78</definedName>
    <definedName name="_sum52">'Input Summary'!$K$81</definedName>
    <definedName name="_sum53">'Input Summary'!$K$82</definedName>
    <definedName name="_sum54">'Input Summary'!$K$85</definedName>
    <definedName name="_sum55">'Input Summary'!$K$86</definedName>
    <definedName name="_sum56">'Input Summary'!$K$87</definedName>
    <definedName name="_sum57">'Input Summary'!$K$88</definedName>
    <definedName name="_sum58">'Input Summary'!$K$89</definedName>
    <definedName name="_sum59">'Input Summary'!$K$92</definedName>
    <definedName name="_sum6">'Input Summary'!$K$21</definedName>
    <definedName name="_sum60">'Input Summary'!$K$93</definedName>
    <definedName name="_sum61">'Input Summary'!$K$94</definedName>
    <definedName name="_sum62">'Input Summary'!$K$77</definedName>
    <definedName name="_sum63">'Input Summary'!$K$95</definedName>
    <definedName name="_sum64">'Input Summary'!$K$98</definedName>
    <definedName name="_sum641">'Input Summary'!$K$99</definedName>
    <definedName name="_sum65">'Input Summary'!$K$100</definedName>
    <definedName name="_sum66">'Input Summary'!$K$101</definedName>
    <definedName name="_sum67">'Input Summary'!$K$104</definedName>
    <definedName name="_sum68">'Input Summary'!$K$105</definedName>
    <definedName name="_sum69">'Input Summary'!$K$109</definedName>
    <definedName name="_sum7">'Input Summary'!$K$22</definedName>
    <definedName name="_sum70">'Input Summary'!$K$112</definedName>
    <definedName name="_Sum701">'Input Summary'!$K$113</definedName>
    <definedName name="_sum71">'Input Summary'!$K$114</definedName>
    <definedName name="_sum72">'Input Summary'!$K$115</definedName>
    <definedName name="_Sum721">'Input Summary'!$K$116</definedName>
    <definedName name="_sum73">'Input Summary'!$K$117</definedName>
    <definedName name="_sum74">'Input Summary'!$K$118</definedName>
    <definedName name="_sum8">'Input Summary'!$K$23</definedName>
    <definedName name="_sum9">'Input Summary'!$K$24</definedName>
    <definedName name="Ac">'Pile Data'!$G$26</definedName>
    <definedName name="addlheight">Main!$G$132</definedName>
    <definedName name="ApprSlabLength">Main!$F$652</definedName>
    <definedName name="As">'Pile Data'!$D$26</definedName>
    <definedName name="Ast">'Cap Reinforcement'!$L$8</definedName>
    <definedName name="bearingthick">Main!$G$125</definedName>
    <definedName name="brngresfact">Main!$G$890</definedName>
    <definedName name="brngstress">Main!$G$894</definedName>
    <definedName name="btFlange">Main!$E$975</definedName>
    <definedName name="btFlangeLimit">Main!$H$975</definedName>
    <definedName name="btWeb">Main!$E$992</definedName>
    <definedName name="btWebLimit">Main!$H$992</definedName>
    <definedName name="cap1ht">Main!$G$183</definedName>
    <definedName name="cap2ht">Main!$G$186</definedName>
    <definedName name="cap3ht">Main!$G$188</definedName>
    <definedName name="capfc">Main!$G$1293</definedName>
    <definedName name="capfy">Main!$G$1294</definedName>
    <definedName name="centforce">Main!$G$467</definedName>
    <definedName name="chartskew">'Sketch Data'!$A$5</definedName>
    <definedName name="comp2resfact">Main!$G$929</definedName>
    <definedName name="compresfact">Main!$G$927</definedName>
    <definedName name="compresfactsteelpipe">Main!$G$928</definedName>
    <definedName name="curbwidth">Main!$G$71</definedName>
    <definedName name="dc1ext">Main!$G$288</definedName>
    <definedName name="dc1int">Main!$G$287</definedName>
    <definedName name="dc2int">Main!$G$290</definedName>
    <definedName name="deckthick">Main!$G$128</definedName>
    <definedName name="diaphragm">Main!$H$207</definedName>
    <definedName name="distrfact">Main!$G$296</definedName>
    <definedName name="distrfactrot">Main!$G$297</definedName>
    <definedName name="dw">Main!$G$293</definedName>
    <definedName name="dwmin">Main!$H$325</definedName>
    <definedName name="dwrot">Main!$G$411</definedName>
    <definedName name="error1">Main!$N$49</definedName>
    <definedName name="error2">Main!$N$50</definedName>
    <definedName name="error3">Main!$N$51</definedName>
    <definedName name="error4">Main!$N$52</definedName>
    <definedName name="estfixity">Main!$G$588</definedName>
    <definedName name="eta">Main!$G$270</definedName>
    <definedName name="etamax">Main!$G$272</definedName>
    <definedName name="etamin">Main!$G$273</definedName>
    <definedName name="expansion">Main!$H$697</definedName>
    <definedName name="fixity">Main!$G$835</definedName>
    <definedName name="FlangeRange">Main!$999:$1007</definedName>
    <definedName name="flexresfact">Main!$G$930</definedName>
    <definedName name="frictresfact">Main!$G$891</definedName>
    <definedName name="frictstress">Main!$G$910</definedName>
    <definedName name="fwsurface">Main!$H$324</definedName>
    <definedName name="girderdepth">Main!$G$122</definedName>
    <definedName name="girderspacing">Main!$G$117</definedName>
    <definedName name="girdertype">Main!$G$38</definedName>
    <definedName name="girderwidth">Main!$G$119</definedName>
    <definedName name="HPileRange">Main!$932:$1098</definedName>
    <definedName name="Hpiles">'Pile Data'!$B$30</definedName>
    <definedName name="inflection">Main!$G$845</definedName>
    <definedName name="inflection2">Main!$G$840</definedName>
    <definedName name="lbs_ft">'Pile Data'!#REF!</definedName>
    <definedName name="length">Main!$G$47</definedName>
    <definedName name="LLp82max">Main!$G$302</definedName>
    <definedName name="LLp82min">Main!$G$303</definedName>
    <definedName name="LLphl93max">Main!$G$300</definedName>
    <definedName name="LLphl93min">Main!$G$301</definedName>
    <definedName name="Lpile">Main!$G$1296</definedName>
    <definedName name="mattype">Main!$G$33</definedName>
    <definedName name="maxmom">Main!$G$858</definedName>
    <definedName name="mplastic">'Pile Data'!$Z$5:$AA$185</definedName>
    <definedName name="n">'Pile Data'!$B$26</definedName>
    <definedName name="ngirder">Main!$G$115</definedName>
    <definedName name="nlane">Main!$G$104</definedName>
    <definedName name="nlane2">Main!$G$107</definedName>
    <definedName name="npiles">Main!$G$566</definedName>
    <definedName name="origin">'Sketch Data'!$C$72</definedName>
    <definedName name="origin2">'Sketch Data'!$C$77</definedName>
    <definedName name="p82rotmax">Main!$D$388</definedName>
    <definedName name="p82rotmin">Main!$D$389</definedName>
    <definedName name="paraheight">Main!$G$130</definedName>
    <definedName name="parapetDL">Main!$G$670</definedName>
    <definedName name="PePoRatio">Main!$E$1056</definedName>
    <definedName name="PePoRatioSER">Main!$E$1487</definedName>
    <definedName name="PePoRatioSERSF">Main!$E$1542</definedName>
    <definedName name="PePoRatioSTR">Main!$E$1439</definedName>
    <definedName name="phl93rotmax">Main!$D$384</definedName>
    <definedName name="phl93rotmin">Main!$D$385</definedName>
    <definedName name="pilearea">Main!$G$549</definedName>
    <definedName name="piledata">'Pile Data'!$A$3:$K$25</definedName>
    <definedName name="piledepth">Main!$G$546</definedName>
    <definedName name="piledesig">Main!$G$544</definedName>
    <definedName name="pilegyration">Main!$G$552</definedName>
    <definedName name="pileinertia">Main!$G$550</definedName>
    <definedName name="pilelength">Main!$G$569</definedName>
    <definedName name="pileplastsecmod">Main!$G$553</definedName>
    <definedName name="pilesecmod">Main!$G$551</definedName>
    <definedName name="pilespacing">Main!$G$568</definedName>
    <definedName name="pilethickness">Main!$G$548</definedName>
    <definedName name="piletype">Main!$G$535</definedName>
    <definedName name="pilewidth">Main!$G$547</definedName>
    <definedName name="pileyield">Main!$G$545</definedName>
    <definedName name="PipePileRange">Main!$1099:$1197</definedName>
    <definedName name="pipepiles">'Pile Data'!$B$32</definedName>
    <definedName name="PnA">Main!$C$1058</definedName>
    <definedName name="PnB">Main!$C$1059</definedName>
    <definedName name="PnC">Main!$C$1441</definedName>
    <definedName name="PnD">Main!$C$1442</definedName>
    <definedName name="PnE">Main!$C$1489</definedName>
    <definedName name="PnF">Main!$C$1490</definedName>
    <definedName name="PnG">Main!$C$1544</definedName>
    <definedName name="PnH">Main!$C$1545</definedName>
    <definedName name="_xlnm.Print_Area" localSheetId="4">'Load Factors'!$B$2:$N$19</definedName>
    <definedName name="_xlnm.Print_Area" localSheetId="1">Main!$A$1:$M$1855</definedName>
    <definedName name="_xlnm.Print_Area" localSheetId="6">'Pile Data'!$B$268:$P$303</definedName>
    <definedName name="_xlnm.Print_Area" localSheetId="2">Scour!$A$1:$M$250</definedName>
    <definedName name="_xlnm.Print_Titles" localSheetId="0">'Input Summary'!$1:$4</definedName>
    <definedName name="_xlnm.Print_Titles" localSheetId="1">Main!$1:$3</definedName>
    <definedName name="_xlnm.Print_Titles" localSheetId="2">Scour!$1:$3</definedName>
    <definedName name="Ru">Main!$G$1295</definedName>
    <definedName name="scourcomp2resfact">Main!$G$929</definedName>
    <definedName name="scourdepth">Main!$G$1349</definedName>
    <definedName name="ScourFixityServ">Main!$H$1384</definedName>
    <definedName name="ScourFixityStr">Main!$H$1383</definedName>
    <definedName name="ScourFixitySuper">Main!$H$1385</definedName>
    <definedName name="scourflexresfact">Main!$G$930</definedName>
    <definedName name="scourfrictresfact">Main!$G$891</definedName>
    <definedName name="ScourHPile">Main!$1418:$1574</definedName>
    <definedName name="ScourInfo">Main!$1830:$1851</definedName>
    <definedName name="ScourMomServ">Main!$H$1395</definedName>
    <definedName name="ScourMomStr">Main!$H$1394</definedName>
    <definedName name="ScourMomSuper">Main!$H$1396</definedName>
    <definedName name="ScourPercServ">Main!#REF!</definedName>
    <definedName name="ScourPercStr">Main!$H$1391</definedName>
    <definedName name="ScourPipe">Main!$1576:$1740</definedName>
    <definedName name="ScourReqd">Main!$G$536</definedName>
    <definedName name="ScourSheets">Main!$1301:$1740</definedName>
    <definedName name="sidewalk">Main!$G$73</definedName>
    <definedName name="skew">Main!$G$62</definedName>
    <definedName name="soillayers">Main!#REF!</definedName>
    <definedName name="span1">Main!$G$56</definedName>
    <definedName name="sum15a">'Input Summary'!$K$31</definedName>
    <definedName name="sum30a">'Input Summary'!$K$53</definedName>
    <definedName name="sum41a">'Input Summary'!$K$66</definedName>
    <definedName name="sum41b">'Input Summary'!$K$67</definedName>
    <definedName name="sum70a">'Input Summary'!#REF!</definedName>
    <definedName name="sum70b">'Input Summary'!#REF!</definedName>
    <definedName name="template">'COM624P Input'!$B$15:$G$34</definedName>
    <definedName name="twopercent">Main!$G$853</definedName>
    <definedName name="unbraced">Main!$F$1040</definedName>
    <definedName name="WebRange">Main!$1008:$1027</definedName>
    <definedName name="width">Main!$G$76</definedName>
    <definedName name="windpressure">Main!$G$437</definedName>
    <definedName name="winglngth">Main!$H$241</definedName>
    <definedName name="wingtype">Main!$H$240</definedName>
  </definedNames>
  <calcPr calcId="191029" iterate="1" iterateCount="1"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31" i="1" l="1"/>
  <c r="A1783" i="1" l="1"/>
  <c r="B674" i="1"/>
  <c r="A408" i="1"/>
  <c r="B77" i="1"/>
  <c r="B74" i="1"/>
  <c r="T251" i="6040" l="1"/>
  <c r="R240" i="6040" s="1"/>
  <c r="P238" i="6040"/>
  <c r="P239" i="6040"/>
  <c r="P240" i="6040"/>
  <c r="P241" i="6040"/>
  <c r="P242" i="6040"/>
  <c r="P243" i="6040"/>
  <c r="P244" i="6040"/>
  <c r="P245" i="6040"/>
  <c r="P246" i="6040"/>
  <c r="P247" i="6040"/>
  <c r="P237" i="6040"/>
  <c r="Q251" i="6040"/>
  <c r="R245" i="6040" l="1"/>
  <c r="R244" i="6040"/>
  <c r="Q246" i="6040"/>
  <c r="Q242" i="6040"/>
  <c r="Q238" i="6040"/>
  <c r="R241" i="6040"/>
  <c r="Q237" i="6040"/>
  <c r="Q245" i="6040"/>
  <c r="Q241" i="6040"/>
  <c r="Q247" i="6040"/>
  <c r="Q244" i="6040"/>
  <c r="Q240" i="6040"/>
  <c r="R247" i="6040"/>
  <c r="R243" i="6040"/>
  <c r="R239" i="6040"/>
  <c r="R237" i="6040"/>
  <c r="Q243" i="6040"/>
  <c r="Q239" i="6040"/>
  <c r="R246" i="6040"/>
  <c r="R242" i="6040"/>
  <c r="R238" i="6040"/>
  <c r="K542" i="1"/>
  <c r="L553" i="1"/>
  <c r="L552" i="1"/>
  <c r="L551" i="1"/>
  <c r="L550" i="1"/>
  <c r="L549" i="1"/>
  <c r="L548" i="1"/>
  <c r="L547" i="1"/>
  <c r="L546" i="1"/>
  <c r="L545" i="1"/>
  <c r="L544" i="1"/>
  <c r="K543" i="1"/>
  <c r="L543" i="1"/>
  <c r="B1350" i="1" l="1"/>
  <c r="H290" i="6040" l="1"/>
  <c r="H291" i="6040"/>
  <c r="H292" i="6040"/>
  <c r="H293" i="6040"/>
  <c r="H294" i="6040"/>
  <c r="H295" i="6040"/>
  <c r="H296" i="6040"/>
  <c r="H297" i="6040"/>
  <c r="H298" i="6040"/>
  <c r="H299" i="6040"/>
  <c r="H289" i="6040"/>
  <c r="A1387" i="1"/>
  <c r="D938" i="1"/>
  <c r="A1845" i="1" l="1"/>
  <c r="A1838" i="1"/>
  <c r="A1837" i="1"/>
  <c r="A1831" i="1"/>
  <c r="I1396" i="1"/>
  <c r="I1395" i="1"/>
  <c r="I1394" i="1"/>
  <c r="I858" i="1"/>
  <c r="A1824" i="1" s="1"/>
  <c r="B412" i="1" l="1"/>
  <c r="S412" i="1" s="1"/>
  <c r="H1114" i="1"/>
  <c r="G1111" i="1"/>
  <c r="D1112" i="1"/>
  <c r="D1115" i="1"/>
  <c r="B390" i="1"/>
  <c r="S390" i="1" s="1"/>
  <c r="H389" i="1"/>
  <c r="S389" i="1" s="1"/>
  <c r="H385" i="1"/>
  <c r="S385" i="1" s="1"/>
  <c r="H388" i="1"/>
  <c r="S388" i="1" s="1"/>
  <c r="H384" i="1"/>
  <c r="S384" i="1" s="1"/>
  <c r="D1118" i="1" l="1"/>
  <c r="I1117" i="1"/>
  <c r="H927" i="1"/>
  <c r="J281" i="6040" l="1"/>
  <c r="I281" i="6040"/>
  <c r="H281" i="6040"/>
  <c r="G281" i="6040"/>
  <c r="F281" i="6040"/>
  <c r="E281" i="6040"/>
  <c r="J280" i="6040"/>
  <c r="I280" i="6040"/>
  <c r="H280" i="6040"/>
  <c r="G280" i="6040"/>
  <c r="F280" i="6040"/>
  <c r="E280" i="6040"/>
  <c r="J279" i="6040"/>
  <c r="I279" i="6040"/>
  <c r="H279" i="6040"/>
  <c r="G279" i="6040"/>
  <c r="F279" i="6040"/>
  <c r="E279" i="6040"/>
  <c r="J278" i="6040"/>
  <c r="I278" i="6040"/>
  <c r="H278" i="6040"/>
  <c r="G278" i="6040"/>
  <c r="F278" i="6040"/>
  <c r="E278" i="6040"/>
  <c r="J277" i="6040"/>
  <c r="I277" i="6040"/>
  <c r="H277" i="6040"/>
  <c r="G277" i="6040"/>
  <c r="F277" i="6040"/>
  <c r="E277" i="6040"/>
  <c r="J276" i="6040"/>
  <c r="I276" i="6040"/>
  <c r="H276" i="6040"/>
  <c r="G276" i="6040"/>
  <c r="F276" i="6040"/>
  <c r="E276" i="6040"/>
  <c r="J275" i="6040"/>
  <c r="I275" i="6040"/>
  <c r="H275" i="6040"/>
  <c r="G275" i="6040"/>
  <c r="F275" i="6040"/>
  <c r="E275" i="6040"/>
  <c r="J274" i="6040"/>
  <c r="I274" i="6040"/>
  <c r="H274" i="6040"/>
  <c r="G274" i="6040"/>
  <c r="F274" i="6040"/>
  <c r="E274" i="6040"/>
  <c r="J273" i="6040"/>
  <c r="I273" i="6040"/>
  <c r="H273" i="6040"/>
  <c r="G273" i="6040"/>
  <c r="F273" i="6040"/>
  <c r="E273" i="6040"/>
  <c r="J272" i="6040"/>
  <c r="I272" i="6040"/>
  <c r="H272" i="6040"/>
  <c r="G272" i="6040"/>
  <c r="F272" i="6040"/>
  <c r="E272" i="6040"/>
  <c r="J271" i="6040"/>
  <c r="I271" i="6040"/>
  <c r="H271" i="6040"/>
  <c r="G271" i="6040"/>
  <c r="F271" i="6040"/>
  <c r="E271" i="6040"/>
  <c r="J299" i="6040" l="1"/>
  <c r="I299" i="6040"/>
  <c r="G299" i="6040"/>
  <c r="F299" i="6040"/>
  <c r="E299" i="6040"/>
  <c r="J298" i="6040"/>
  <c r="I298" i="6040"/>
  <c r="G298" i="6040"/>
  <c r="F298" i="6040"/>
  <c r="E298" i="6040"/>
  <c r="J297" i="6040"/>
  <c r="I297" i="6040"/>
  <c r="G297" i="6040"/>
  <c r="F297" i="6040"/>
  <c r="E297" i="6040"/>
  <c r="J296" i="6040"/>
  <c r="I296" i="6040"/>
  <c r="G296" i="6040"/>
  <c r="F296" i="6040"/>
  <c r="E296" i="6040"/>
  <c r="J295" i="6040"/>
  <c r="I295" i="6040"/>
  <c r="G295" i="6040"/>
  <c r="F295" i="6040"/>
  <c r="E295" i="6040"/>
  <c r="J294" i="6040"/>
  <c r="I294" i="6040"/>
  <c r="G294" i="6040"/>
  <c r="F294" i="6040"/>
  <c r="E294" i="6040"/>
  <c r="J293" i="6040"/>
  <c r="I293" i="6040"/>
  <c r="G293" i="6040"/>
  <c r="F293" i="6040"/>
  <c r="E293" i="6040"/>
  <c r="J292" i="6040"/>
  <c r="I292" i="6040"/>
  <c r="G292" i="6040"/>
  <c r="F292" i="6040"/>
  <c r="E292" i="6040"/>
  <c r="J291" i="6040"/>
  <c r="I291" i="6040"/>
  <c r="G291" i="6040"/>
  <c r="F291" i="6040"/>
  <c r="E291" i="6040"/>
  <c r="J290" i="6040"/>
  <c r="I290" i="6040"/>
  <c r="G290" i="6040"/>
  <c r="F290" i="6040"/>
  <c r="E290" i="6040"/>
  <c r="J289" i="6040"/>
  <c r="I289" i="6040"/>
  <c r="G289" i="6040"/>
  <c r="F289" i="6040"/>
  <c r="E289" i="6040"/>
  <c r="A275" i="1" l="1"/>
  <c r="B661" i="1" l="1"/>
  <c r="I661" i="1"/>
  <c r="I659" i="1"/>
  <c r="B659" i="1"/>
  <c r="I657" i="1"/>
  <c r="B657" i="1"/>
  <c r="B655" i="1"/>
  <c r="I655" i="1"/>
  <c r="A1834" i="1" l="1"/>
  <c r="A1842" i="1"/>
  <c r="A1848" i="1"/>
  <c r="G135" i="1"/>
  <c r="C546" i="1" l="1"/>
  <c r="D1699" i="1"/>
  <c r="D1531" i="1"/>
  <c r="D1534" i="1" s="1"/>
  <c r="E1699" i="1" l="1"/>
  <c r="E1531" i="1"/>
  <c r="L217" i="6040"/>
  <c r="I217" i="6040"/>
  <c r="L251" i="6040"/>
  <c r="I251" i="6040"/>
  <c r="K265" i="6040"/>
  <c r="F265" i="6040"/>
  <c r="E265" i="6040"/>
  <c r="D265" i="6040"/>
  <c r="C265" i="6040"/>
  <c r="K264" i="6040"/>
  <c r="F264" i="6040"/>
  <c r="E264" i="6040"/>
  <c r="D264" i="6040"/>
  <c r="C264" i="6040"/>
  <c r="K263" i="6040"/>
  <c r="F263" i="6040"/>
  <c r="E263" i="6040"/>
  <c r="D263" i="6040"/>
  <c r="C263" i="6040"/>
  <c r="K262" i="6040"/>
  <c r="F262" i="6040"/>
  <c r="E262" i="6040"/>
  <c r="D262" i="6040"/>
  <c r="C262" i="6040"/>
  <c r="K261" i="6040"/>
  <c r="F261" i="6040"/>
  <c r="E261" i="6040"/>
  <c r="D261" i="6040"/>
  <c r="C261" i="6040"/>
  <c r="K260" i="6040"/>
  <c r="F260" i="6040"/>
  <c r="E260" i="6040"/>
  <c r="D260" i="6040"/>
  <c r="C260" i="6040"/>
  <c r="K259" i="6040"/>
  <c r="F259" i="6040"/>
  <c r="E259" i="6040"/>
  <c r="D259" i="6040"/>
  <c r="C259" i="6040"/>
  <c r="K258" i="6040"/>
  <c r="F258" i="6040"/>
  <c r="E258" i="6040"/>
  <c r="D258" i="6040"/>
  <c r="C258" i="6040"/>
  <c r="K257" i="6040"/>
  <c r="F257" i="6040"/>
  <c r="E257" i="6040"/>
  <c r="D257" i="6040"/>
  <c r="C257" i="6040"/>
  <c r="K256" i="6040"/>
  <c r="L256" i="6040" s="1"/>
  <c r="F256" i="6040"/>
  <c r="E256" i="6040"/>
  <c r="D256" i="6040"/>
  <c r="C256" i="6040"/>
  <c r="K255" i="6040"/>
  <c r="F255" i="6040"/>
  <c r="E255" i="6040"/>
  <c r="D255" i="6040"/>
  <c r="C255" i="6040"/>
  <c r="K247" i="6040"/>
  <c r="L247" i="6040" s="1"/>
  <c r="H247" i="6040"/>
  <c r="I247" i="6040" s="1"/>
  <c r="K246" i="6040"/>
  <c r="L246" i="6040" s="1"/>
  <c r="H246" i="6040"/>
  <c r="I246" i="6040" s="1"/>
  <c r="K245" i="6040"/>
  <c r="L245" i="6040" s="1"/>
  <c r="H245" i="6040"/>
  <c r="I245" i="6040" s="1"/>
  <c r="K244" i="6040"/>
  <c r="L244" i="6040" s="1"/>
  <c r="H244" i="6040"/>
  <c r="I244" i="6040" s="1"/>
  <c r="K243" i="6040"/>
  <c r="L243" i="6040" s="1"/>
  <c r="H243" i="6040"/>
  <c r="I243" i="6040" s="1"/>
  <c r="K242" i="6040"/>
  <c r="L242" i="6040" s="1"/>
  <c r="H242" i="6040"/>
  <c r="I242" i="6040" s="1"/>
  <c r="K241" i="6040"/>
  <c r="L241" i="6040" s="1"/>
  <c r="H241" i="6040"/>
  <c r="I241" i="6040" s="1"/>
  <c r="K240" i="6040"/>
  <c r="L240" i="6040" s="1"/>
  <c r="H240" i="6040"/>
  <c r="I240" i="6040" s="1"/>
  <c r="K239" i="6040"/>
  <c r="L239" i="6040" s="1"/>
  <c r="H239" i="6040"/>
  <c r="I239" i="6040" s="1"/>
  <c r="K238" i="6040"/>
  <c r="L238" i="6040" s="1"/>
  <c r="M238" i="6040" s="1"/>
  <c r="H238" i="6040"/>
  <c r="I238" i="6040" s="1"/>
  <c r="O238" i="6040" s="1"/>
  <c r="K237" i="6040"/>
  <c r="L237" i="6040" s="1"/>
  <c r="H237" i="6040"/>
  <c r="I237" i="6040" s="1"/>
  <c r="C221" i="6040"/>
  <c r="D221" i="6040"/>
  <c r="E221" i="6040"/>
  <c r="H221" i="6040" s="1"/>
  <c r="F221" i="6040"/>
  <c r="K221" i="6040"/>
  <c r="C222" i="6040"/>
  <c r="D222" i="6040"/>
  <c r="E222" i="6040"/>
  <c r="H222" i="6040" s="1"/>
  <c r="F222" i="6040"/>
  <c r="K222" i="6040"/>
  <c r="C223" i="6040"/>
  <c r="D223" i="6040"/>
  <c r="E223" i="6040"/>
  <c r="H223" i="6040" s="1"/>
  <c r="F223" i="6040"/>
  <c r="K223" i="6040"/>
  <c r="C224" i="6040"/>
  <c r="D224" i="6040"/>
  <c r="E224" i="6040"/>
  <c r="H224" i="6040" s="1"/>
  <c r="F224" i="6040"/>
  <c r="K224" i="6040"/>
  <c r="C225" i="6040"/>
  <c r="D225" i="6040"/>
  <c r="E225" i="6040"/>
  <c r="H225" i="6040" s="1"/>
  <c r="F225" i="6040"/>
  <c r="K225" i="6040"/>
  <c r="C226" i="6040"/>
  <c r="D226" i="6040"/>
  <c r="E226" i="6040"/>
  <c r="H226" i="6040" s="1"/>
  <c r="F226" i="6040"/>
  <c r="K226" i="6040"/>
  <c r="L226" i="6040" s="1"/>
  <c r="C227" i="6040"/>
  <c r="D227" i="6040"/>
  <c r="E227" i="6040"/>
  <c r="H227" i="6040" s="1"/>
  <c r="F227" i="6040"/>
  <c r="K227" i="6040"/>
  <c r="C228" i="6040"/>
  <c r="D228" i="6040"/>
  <c r="E228" i="6040"/>
  <c r="H228" i="6040" s="1"/>
  <c r="F228" i="6040"/>
  <c r="K228" i="6040"/>
  <c r="C229" i="6040"/>
  <c r="D229" i="6040"/>
  <c r="E229" i="6040"/>
  <c r="H229" i="6040" s="1"/>
  <c r="F229" i="6040"/>
  <c r="K229" i="6040"/>
  <c r="C230" i="6040"/>
  <c r="D230" i="6040"/>
  <c r="E230" i="6040"/>
  <c r="H230" i="6040" s="1"/>
  <c r="F230" i="6040"/>
  <c r="K230" i="6040"/>
  <c r="M242" i="6040" l="1"/>
  <c r="M246" i="6040"/>
  <c r="L230" i="6040"/>
  <c r="L222" i="6040"/>
  <c r="M240" i="6040"/>
  <c r="M244" i="6040"/>
  <c r="P265" i="6040"/>
  <c r="Q265" i="6040" s="1"/>
  <c r="H257" i="6040"/>
  <c r="P257" i="6040"/>
  <c r="L221" i="6040"/>
  <c r="H258" i="6040"/>
  <c r="I258" i="6040" s="1"/>
  <c r="P258" i="6040"/>
  <c r="H262" i="6040"/>
  <c r="I262" i="6040" s="1"/>
  <c r="P262" i="6040"/>
  <c r="H255" i="6040"/>
  <c r="P255" i="6040"/>
  <c r="H259" i="6040"/>
  <c r="I259" i="6040" s="1"/>
  <c r="O259" i="6040" s="1"/>
  <c r="P259" i="6040"/>
  <c r="H263" i="6040"/>
  <c r="I263" i="6040" s="1"/>
  <c r="O263" i="6040" s="1"/>
  <c r="P263" i="6040"/>
  <c r="H265" i="6040"/>
  <c r="I265" i="6040" s="1"/>
  <c r="H261" i="6040"/>
  <c r="I261" i="6040" s="1"/>
  <c r="O261" i="6040" s="1"/>
  <c r="P261" i="6040"/>
  <c r="R265" i="6040"/>
  <c r="I223" i="6040"/>
  <c r="O223" i="6040" s="1"/>
  <c r="I229" i="6040"/>
  <c r="O229" i="6040" s="1"/>
  <c r="H256" i="6040"/>
  <c r="I256" i="6040" s="1"/>
  <c r="O256" i="6040" s="1"/>
  <c r="P256" i="6040"/>
  <c r="H260" i="6040"/>
  <c r="I260" i="6040" s="1"/>
  <c r="O260" i="6040" s="1"/>
  <c r="P260" i="6040"/>
  <c r="L262" i="6040"/>
  <c r="M262" i="6040" s="1"/>
  <c r="H264" i="6040"/>
  <c r="I264" i="6040" s="1"/>
  <c r="O264" i="6040" s="1"/>
  <c r="P264" i="6040"/>
  <c r="I225" i="6040"/>
  <c r="O225" i="6040" s="1"/>
  <c r="O239" i="6040"/>
  <c r="O241" i="6040"/>
  <c r="O243" i="6040"/>
  <c r="O245" i="6040"/>
  <c r="O247" i="6040"/>
  <c r="O258" i="6040"/>
  <c r="I227" i="6040"/>
  <c r="O227" i="6040" s="1"/>
  <c r="M241" i="6040"/>
  <c r="M245" i="6040"/>
  <c r="M247" i="6040"/>
  <c r="J247" i="6040"/>
  <c r="L224" i="6040"/>
  <c r="O242" i="6040"/>
  <c r="O246" i="6040"/>
  <c r="L258" i="6040"/>
  <c r="M258" i="6040" s="1"/>
  <c r="J239" i="6040"/>
  <c r="L257" i="6040"/>
  <c r="M257" i="6040" s="1"/>
  <c r="O237" i="6040"/>
  <c r="O244" i="6040"/>
  <c r="O240" i="6040"/>
  <c r="I226" i="6040"/>
  <c r="O226" i="6040" s="1"/>
  <c r="I224" i="6040"/>
  <c r="O224" i="6040" s="1"/>
  <c r="I222" i="6040"/>
  <c r="O222" i="6040" s="1"/>
  <c r="L260" i="6040"/>
  <c r="L264" i="6040"/>
  <c r="M264" i="6040" s="1"/>
  <c r="J243" i="6040"/>
  <c r="I230" i="6040"/>
  <c r="O230" i="6040" s="1"/>
  <c r="I255" i="6040"/>
  <c r="O255" i="6040" s="1"/>
  <c r="I257" i="6040"/>
  <c r="O257" i="6040" s="1"/>
  <c r="L261" i="6040"/>
  <c r="M261" i="6040" s="1"/>
  <c r="L265" i="6040"/>
  <c r="M265" i="6040" s="1"/>
  <c r="J258" i="6040"/>
  <c r="M237" i="6040"/>
  <c r="M243" i="6040"/>
  <c r="M239" i="6040"/>
  <c r="N239" i="6040" s="1"/>
  <c r="M256" i="6040"/>
  <c r="M260" i="6040"/>
  <c r="J246" i="6040"/>
  <c r="N246" i="6040" s="1"/>
  <c r="J242" i="6040"/>
  <c r="N242" i="6040" s="1"/>
  <c r="J238" i="6040"/>
  <c r="N238" i="6040" s="1"/>
  <c r="J263" i="6040"/>
  <c r="J245" i="6040"/>
  <c r="J241" i="6040"/>
  <c r="N241" i="6040" s="1"/>
  <c r="J237" i="6040"/>
  <c r="J244" i="6040"/>
  <c r="N244" i="6040" s="1"/>
  <c r="J240" i="6040"/>
  <c r="J261" i="6040"/>
  <c r="N261" i="6040" s="1"/>
  <c r="L263" i="6040"/>
  <c r="L259" i="6040"/>
  <c r="M259" i="6040" s="1"/>
  <c r="L255" i="6040"/>
  <c r="M255" i="6040" s="1"/>
  <c r="L227" i="6040"/>
  <c r="L225" i="6040"/>
  <c r="L229" i="6040"/>
  <c r="L228" i="6040"/>
  <c r="I221" i="6040"/>
  <c r="O221" i="6040" s="1"/>
  <c r="I228" i="6040"/>
  <c r="O228" i="6040" s="1"/>
  <c r="L223" i="6040"/>
  <c r="B1386" i="1"/>
  <c r="I1391" i="1"/>
  <c r="I1385" i="1"/>
  <c r="N240" i="6040" l="1"/>
  <c r="N237" i="6040"/>
  <c r="N258" i="6040"/>
  <c r="N247" i="6040"/>
  <c r="N245" i="6040"/>
  <c r="J262" i="6040"/>
  <c r="N262" i="6040" s="1"/>
  <c r="O262" i="6040"/>
  <c r="R257" i="6040"/>
  <c r="Q257" i="6040"/>
  <c r="Q258" i="6040"/>
  <c r="R258" i="6040"/>
  <c r="R260" i="6040"/>
  <c r="Q260" i="6040"/>
  <c r="Q261" i="6040"/>
  <c r="R261" i="6040"/>
  <c r="R256" i="6040"/>
  <c r="Q256" i="6040"/>
  <c r="R263" i="6040"/>
  <c r="Q263" i="6040"/>
  <c r="R255" i="6040"/>
  <c r="Q255" i="6040"/>
  <c r="J257" i="6040"/>
  <c r="N257" i="6040" s="1"/>
  <c r="N243" i="6040"/>
  <c r="R264" i="6040"/>
  <c r="Q264" i="6040"/>
  <c r="R259" i="6040"/>
  <c r="Q259" i="6040"/>
  <c r="R262" i="6040"/>
  <c r="Q262" i="6040"/>
  <c r="J256" i="6040"/>
  <c r="N256" i="6040" s="1"/>
  <c r="J264" i="6040"/>
  <c r="N264" i="6040" s="1"/>
  <c r="J260" i="6040"/>
  <c r="N260" i="6040" s="1"/>
  <c r="J259" i="6040"/>
  <c r="N259" i="6040" s="1"/>
  <c r="M263" i="6040"/>
  <c r="N263" i="6040" s="1"/>
  <c r="O265" i="6040"/>
  <c r="J255" i="6040"/>
  <c r="N255" i="6040" s="1"/>
  <c r="J265" i="6040"/>
  <c r="N265" i="6040" s="1"/>
  <c r="A1806" i="1" l="1"/>
  <c r="G1181" i="1"/>
  <c r="A1814" i="1" s="1"/>
  <c r="G1171" i="1"/>
  <c r="G1169" i="1"/>
  <c r="D1074" i="1" l="1"/>
  <c r="F1040" i="1" l="1"/>
  <c r="H1040" i="1" s="1"/>
  <c r="A1811" i="1" s="1"/>
  <c r="D1476" i="1"/>
  <c r="D1479" i="1" s="1"/>
  <c r="I62" i="1"/>
  <c r="G168" i="1" s="1"/>
  <c r="G577" i="1" s="1"/>
  <c r="I895" i="1"/>
  <c r="I894" i="1"/>
  <c r="D1072" i="1"/>
  <c r="E967" i="1"/>
  <c r="E970" i="1"/>
  <c r="H1002" i="1"/>
  <c r="B443" i="1"/>
  <c r="D1428" i="1"/>
  <c r="E1428" i="1" s="1"/>
  <c r="E984" i="1"/>
  <c r="E987" i="1"/>
  <c r="F1022" i="1" s="1"/>
  <c r="H975" i="1"/>
  <c r="H992" i="1"/>
  <c r="G575" i="1"/>
  <c r="D25" i="6040"/>
  <c r="G576" i="1"/>
  <c r="G688" i="1"/>
  <c r="C1216" i="1" s="1"/>
  <c r="A1825" i="1" s="1"/>
  <c r="G689" i="1"/>
  <c r="F723" i="1"/>
  <c r="H207" i="1"/>
  <c r="J638" i="1" s="1"/>
  <c r="H204" i="1"/>
  <c r="G260" i="1"/>
  <c r="G107" i="1"/>
  <c r="G272" i="1"/>
  <c r="D345" i="1" s="1"/>
  <c r="G306" i="1"/>
  <c r="G291" i="1"/>
  <c r="G294" i="1"/>
  <c r="G316" i="1"/>
  <c r="G104" i="1"/>
  <c r="A1771" i="1" s="1"/>
  <c r="G308" i="1"/>
  <c r="G450" i="1"/>
  <c r="G458" i="1"/>
  <c r="E25" i="6040"/>
  <c r="G25" i="6040" s="1"/>
  <c r="B26" i="6040"/>
  <c r="D1590" i="1"/>
  <c r="D1180" i="1"/>
  <c r="A1815" i="1" s="1"/>
  <c r="E1167" i="1"/>
  <c r="H1169" i="1"/>
  <c r="D1076" i="1"/>
  <c r="H1411" i="1"/>
  <c r="I1411" i="1" s="1"/>
  <c r="I910" i="1"/>
  <c r="F1409" i="1" s="1"/>
  <c r="F1406" i="1"/>
  <c r="H1408" i="1"/>
  <c r="G307" i="1"/>
  <c r="G273" i="1"/>
  <c r="H325" i="1"/>
  <c r="S325" i="1" s="1"/>
  <c r="G309" i="1"/>
  <c r="H904" i="1"/>
  <c r="H905" i="1" s="1"/>
  <c r="I905" i="1" s="1"/>
  <c r="D1643" i="1"/>
  <c r="E1643" i="1" s="1"/>
  <c r="G162" i="6041"/>
  <c r="G111" i="6041"/>
  <c r="D120" i="6041" s="1"/>
  <c r="G1133" i="1"/>
  <c r="H1133" i="1" s="1"/>
  <c r="G1411" i="1"/>
  <c r="I1383" i="1"/>
  <c r="I1384" i="1"/>
  <c r="B81" i="6041"/>
  <c r="R81" i="6041" s="1"/>
  <c r="R1350" i="1"/>
  <c r="B76" i="6041"/>
  <c r="G67" i="6041"/>
  <c r="H1082" i="1"/>
  <c r="G16" i="6041"/>
  <c r="G15" i="6041"/>
  <c r="C11" i="3"/>
  <c r="C14" i="3"/>
  <c r="O14" i="3" s="1"/>
  <c r="C15" i="3"/>
  <c r="G1296" i="1"/>
  <c r="C9" i="3" s="1"/>
  <c r="G157" i="1"/>
  <c r="A1778" i="1" s="1"/>
  <c r="I1139" i="1"/>
  <c r="I1140" i="1" s="1"/>
  <c r="F1181" i="1"/>
  <c r="A580" i="1"/>
  <c r="A641" i="1" s="1"/>
  <c r="A700" i="1" s="1"/>
  <c r="A743" i="1" s="1"/>
  <c r="A802" i="1" s="1"/>
  <c r="A860" i="1" s="1"/>
  <c r="A917" i="1" s="1"/>
  <c r="C1119" i="1"/>
  <c r="J1234" i="1"/>
  <c r="E1223" i="1"/>
  <c r="D1231" i="1" s="1"/>
  <c r="D1227" i="1"/>
  <c r="F1227" i="1" s="1"/>
  <c r="F1226" i="1"/>
  <c r="C1213" i="1"/>
  <c r="E1213" i="1"/>
  <c r="F1179" i="1"/>
  <c r="H1171" i="1"/>
  <c r="D1133" i="1"/>
  <c r="I1076" i="1"/>
  <c r="H1076" i="1"/>
  <c r="I1074" i="1"/>
  <c r="H1074" i="1"/>
  <c r="I1072" i="1"/>
  <c r="H1072" i="1"/>
  <c r="C1040" i="1"/>
  <c r="E1012" i="1"/>
  <c r="F231" i="6040"/>
  <c r="E231" i="6040"/>
  <c r="H231" i="6040" s="1"/>
  <c r="D231" i="6040"/>
  <c r="C231" i="6040"/>
  <c r="K231" i="6040"/>
  <c r="K204" i="6040"/>
  <c r="L204" i="6040" s="1"/>
  <c r="K205" i="6040"/>
  <c r="L205" i="6040" s="1"/>
  <c r="K206" i="6040"/>
  <c r="L206" i="6040" s="1"/>
  <c r="K207" i="6040"/>
  <c r="L207" i="6040" s="1"/>
  <c r="K208" i="6040"/>
  <c r="L208" i="6040" s="1"/>
  <c r="K209" i="6040"/>
  <c r="L209" i="6040" s="1"/>
  <c r="K210" i="6040"/>
  <c r="L210" i="6040" s="1"/>
  <c r="K211" i="6040"/>
  <c r="L211" i="6040" s="1"/>
  <c r="K212" i="6040"/>
  <c r="L212" i="6040" s="1"/>
  <c r="K213" i="6040"/>
  <c r="L213" i="6040" s="1"/>
  <c r="K203" i="6040"/>
  <c r="L203" i="6040" s="1"/>
  <c r="H204" i="6040"/>
  <c r="I204" i="6040" s="1"/>
  <c r="O204" i="6040" s="1"/>
  <c r="H205" i="6040"/>
  <c r="I205" i="6040" s="1"/>
  <c r="O205" i="6040" s="1"/>
  <c r="H206" i="6040"/>
  <c r="I206" i="6040" s="1"/>
  <c r="O206" i="6040" s="1"/>
  <c r="H207" i="6040"/>
  <c r="I207" i="6040" s="1"/>
  <c r="O207" i="6040" s="1"/>
  <c r="H208" i="6040"/>
  <c r="I208" i="6040" s="1"/>
  <c r="O208" i="6040" s="1"/>
  <c r="H209" i="6040"/>
  <c r="I209" i="6040" s="1"/>
  <c r="O209" i="6040" s="1"/>
  <c r="H210" i="6040"/>
  <c r="I210" i="6040" s="1"/>
  <c r="O210" i="6040" s="1"/>
  <c r="H211" i="6040"/>
  <c r="I211" i="6040" s="1"/>
  <c r="O211" i="6040" s="1"/>
  <c r="H212" i="6040"/>
  <c r="I212" i="6040" s="1"/>
  <c r="O212" i="6040" s="1"/>
  <c r="H213" i="6040"/>
  <c r="I213" i="6040" s="1"/>
  <c r="O213" i="6040" s="1"/>
  <c r="H203" i="6040"/>
  <c r="I203" i="6040" s="1"/>
  <c r="O203" i="6040" s="1"/>
  <c r="H928" i="1"/>
  <c r="G823" i="1"/>
  <c r="B748" i="1"/>
  <c r="K688" i="1"/>
  <c r="L688" i="1"/>
  <c r="I688" i="1"/>
  <c r="A318" i="1"/>
  <c r="A373" i="1" s="1"/>
  <c r="A428" i="1" s="1"/>
  <c r="A468" i="1" s="1"/>
  <c r="G596" i="1"/>
  <c r="B458" i="1"/>
  <c r="B450" i="1"/>
  <c r="B271" i="1"/>
  <c r="R271" i="1" s="1"/>
  <c r="S242" i="1"/>
  <c r="A64" i="1"/>
  <c r="A109" i="1" s="1"/>
  <c r="F135" i="1"/>
  <c r="I830" i="1"/>
  <c r="I135" i="6041"/>
  <c r="N127" i="6041"/>
  <c r="N126" i="6041"/>
  <c r="F168" i="1"/>
  <c r="C108" i="1"/>
  <c r="C105" i="1"/>
  <c r="B63" i="1"/>
  <c r="R63" i="1" s="1"/>
  <c r="A80" i="52"/>
  <c r="C66" i="52"/>
  <c r="C67" i="52"/>
  <c r="C64" i="52"/>
  <c r="F67" i="52" s="1"/>
  <c r="F76" i="52" s="1"/>
  <c r="C70" i="52"/>
  <c r="C68" i="52"/>
  <c r="E528" i="52" s="1"/>
  <c r="C69" i="52"/>
  <c r="A79" i="52" s="1"/>
  <c r="C71" i="52"/>
  <c r="B120" i="1"/>
  <c r="S120" i="1" s="1"/>
  <c r="A538" i="1"/>
  <c r="B48" i="1"/>
  <c r="B57" i="1"/>
  <c r="R57" i="1" s="1"/>
  <c r="B72" i="1"/>
  <c r="B191" i="1"/>
  <c r="S191" i="1" s="1"/>
  <c r="B304" i="1"/>
  <c r="S304" i="1" s="1"/>
  <c r="B589" i="1"/>
  <c r="B836" i="1"/>
  <c r="S836" i="1" s="1"/>
  <c r="B846" i="1"/>
  <c r="I33" i="1"/>
  <c r="S33" i="1" s="1"/>
  <c r="B39" i="1"/>
  <c r="S39" i="1" s="1"/>
  <c r="B123" i="1"/>
  <c r="B126" i="1"/>
  <c r="B189" i="1"/>
  <c r="S189" i="1" s="1"/>
  <c r="B1" i="52"/>
  <c r="A6" i="52" s="1"/>
  <c r="I89" i="6041"/>
  <c r="A243" i="6041" s="1"/>
  <c r="G194" i="6041"/>
  <c r="I194" i="6041" s="1"/>
  <c r="G196" i="6041"/>
  <c r="I86" i="6041"/>
  <c r="A233" i="6041" s="1"/>
  <c r="I80" i="6041"/>
  <c r="A229" i="6041"/>
  <c r="A228" i="6041"/>
  <c r="H212" i="6041"/>
  <c r="G212" i="6041"/>
  <c r="H210" i="6041"/>
  <c r="G210" i="6041"/>
  <c r="G195" i="6041"/>
  <c r="G193" i="6041"/>
  <c r="A82" i="6041"/>
  <c r="I75" i="6041"/>
  <c r="G830" i="1"/>
  <c r="G70" i="6041"/>
  <c r="G69" i="6041"/>
  <c r="G68" i="6041"/>
  <c r="B3" i="52"/>
  <c r="F4" i="52" s="1"/>
  <c r="F91" i="52"/>
  <c r="F93" i="52" s="1"/>
  <c r="I853" i="1"/>
  <c r="A1813" i="1" s="1"/>
  <c r="I845" i="1"/>
  <c r="I835" i="1"/>
  <c r="A1810" i="1" s="1"/>
  <c r="A1809" i="1"/>
  <c r="A1807" i="1"/>
  <c r="A1795" i="1"/>
  <c r="D1790" i="1"/>
  <c r="D1789" i="1"/>
  <c r="D1788" i="1"/>
  <c r="A1786" i="1"/>
  <c r="A1782" i="1"/>
  <c r="A1781" i="1"/>
  <c r="A1780" i="1"/>
  <c r="A1779" i="1"/>
  <c r="A1777" i="1"/>
  <c r="A1774" i="1"/>
  <c r="A1773" i="1"/>
  <c r="A1772" i="1"/>
  <c r="A1769" i="1"/>
  <c r="A1770" i="1"/>
  <c r="L15" i="3"/>
  <c r="L14" i="3"/>
  <c r="L13" i="3"/>
  <c r="L12" i="3"/>
  <c r="C13" i="3"/>
  <c r="D1230" i="1"/>
  <c r="I840" i="1"/>
  <c r="A1812" i="1" s="1"/>
  <c r="A847" i="1"/>
  <c r="G826" i="1"/>
  <c r="E47" i="6043" s="1"/>
  <c r="G825" i="1"/>
  <c r="G824" i="1"/>
  <c r="C23" i="6043" s="1"/>
  <c r="F736" i="1"/>
  <c r="K553" i="1"/>
  <c r="K552" i="1"/>
  <c r="K551" i="1"/>
  <c r="K550" i="1"/>
  <c r="K549" i="1"/>
  <c r="K548" i="1"/>
  <c r="K547" i="1"/>
  <c r="K546" i="1"/>
  <c r="K545" i="1"/>
  <c r="K544" i="1"/>
  <c r="H546" i="1"/>
  <c r="F316" i="1"/>
  <c r="G207" i="1"/>
  <c r="J190" i="1"/>
  <c r="I190" i="1"/>
  <c r="F157" i="1"/>
  <c r="B129" i="1"/>
  <c r="B106" i="1"/>
  <c r="B103" i="1"/>
  <c r="B2" i="52"/>
  <c r="D43" i="6043"/>
  <c r="B39" i="6043"/>
  <c r="B43" i="6043"/>
  <c r="B19" i="6043"/>
  <c r="B15" i="6043"/>
  <c r="A1788" i="1"/>
  <c r="A1776" i="1"/>
  <c r="C547" i="1"/>
  <c r="B475" i="1"/>
  <c r="F389" i="1"/>
  <c r="F388" i="1"/>
  <c r="F385" i="1"/>
  <c r="F384" i="1"/>
  <c r="B156" i="1"/>
  <c r="I411" i="1"/>
  <c r="C549" i="1"/>
  <c r="I1234" i="1"/>
  <c r="F309" i="1"/>
  <c r="F308" i="1"/>
  <c r="F307" i="1"/>
  <c r="F306" i="1"/>
  <c r="F1230" i="1"/>
  <c r="C548" i="1"/>
  <c r="G204" i="1"/>
  <c r="O6" i="6040"/>
  <c r="P6" i="6040" s="1"/>
  <c r="P5" i="6040"/>
  <c r="G52" i="6041"/>
  <c r="G61" i="6041"/>
  <c r="G60" i="6041"/>
  <c r="G59" i="6041"/>
  <c r="G58" i="6041"/>
  <c r="G55" i="6041"/>
  <c r="G56" i="6041"/>
  <c r="G57" i="6041"/>
  <c r="H54" i="6041"/>
  <c r="G54" i="6041"/>
  <c r="G53" i="6041"/>
  <c r="C57" i="6041"/>
  <c r="C56" i="6041"/>
  <c r="C55" i="6041"/>
  <c r="C54" i="6041"/>
  <c r="H208" i="6041"/>
  <c r="C210" i="6041"/>
  <c r="G208" i="6041"/>
  <c r="B211" i="6041"/>
  <c r="B209" i="6041"/>
  <c r="C212" i="6041"/>
  <c r="C208" i="6041"/>
  <c r="B207" i="6041"/>
  <c r="B192" i="6041"/>
  <c r="L185" i="6041"/>
  <c r="C182" i="6041"/>
  <c r="B4" i="52"/>
  <c r="A5" i="52" s="1"/>
  <c r="C74" i="52"/>
  <c r="E691" i="52" s="1"/>
  <c r="C76" i="52"/>
  <c r="F96" i="52"/>
  <c r="F72" i="52"/>
  <c r="F73" i="52"/>
  <c r="F74" i="52"/>
  <c r="E74" i="52"/>
  <c r="F71" i="52"/>
  <c r="F70" i="52"/>
  <c r="F69" i="52"/>
  <c r="F32" i="52"/>
  <c r="F97" i="52" l="1"/>
  <c r="D401" i="1"/>
  <c r="D400" i="1"/>
  <c r="D405" i="1"/>
  <c r="D404" i="1"/>
  <c r="G404" i="1"/>
  <c r="G400" i="1"/>
  <c r="D1340" i="1" s="1"/>
  <c r="G405" i="1"/>
  <c r="G401" i="1"/>
  <c r="D1341" i="1" s="1"/>
  <c r="G1230" i="1"/>
  <c r="B180" i="6041"/>
  <c r="M230" i="6040"/>
  <c r="M226" i="6040"/>
  <c r="M224" i="6040"/>
  <c r="M221" i="6040"/>
  <c r="M222" i="6040"/>
  <c r="M225" i="6040"/>
  <c r="M227" i="6040"/>
  <c r="M223" i="6040"/>
  <c r="M229" i="6040"/>
  <c r="M228" i="6040"/>
  <c r="J227" i="6040"/>
  <c r="J226" i="6040"/>
  <c r="J224" i="6040"/>
  <c r="J225" i="6040"/>
  <c r="N225" i="6040" s="1"/>
  <c r="J222" i="6040"/>
  <c r="J223" i="6040"/>
  <c r="J229" i="6040"/>
  <c r="N229" i="6040" s="1"/>
  <c r="J230" i="6040"/>
  <c r="J221" i="6040"/>
  <c r="J228" i="6040"/>
  <c r="I231" i="6040"/>
  <c r="O231" i="6040" s="1"/>
  <c r="S81" i="6041"/>
  <c r="F14" i="3"/>
  <c r="F100" i="52"/>
  <c r="F94" i="52"/>
  <c r="F104" i="52" s="1"/>
  <c r="H1357" i="1"/>
  <c r="J1357" i="1" s="1"/>
  <c r="F1357" i="1"/>
  <c r="I904" i="1"/>
  <c r="G905" i="1"/>
  <c r="A1775" i="1"/>
  <c r="F230" i="52"/>
  <c r="E299" i="52"/>
  <c r="E375" i="52"/>
  <c r="E258" i="52"/>
  <c r="E649" i="52"/>
  <c r="E660" i="52"/>
  <c r="E630" i="52"/>
  <c r="E248" i="52"/>
  <c r="E315" i="52"/>
  <c r="E264" i="52"/>
  <c r="E456" i="52"/>
  <c r="E214" i="52"/>
  <c r="E280" i="52"/>
  <c r="F327" i="52"/>
  <c r="E505" i="52"/>
  <c r="F414" i="52"/>
  <c r="E651" i="52"/>
  <c r="E216" i="52"/>
  <c r="E235" i="52"/>
  <c r="E267" i="52"/>
  <c r="E221" i="52"/>
  <c r="E237" i="52"/>
  <c r="E253" i="52"/>
  <c r="E271" i="52"/>
  <c r="E287" i="52"/>
  <c r="E351" i="52"/>
  <c r="E391" i="52"/>
  <c r="E440" i="52"/>
  <c r="F521" i="52"/>
  <c r="E223" i="52"/>
  <c r="E239" i="52"/>
  <c r="F262" i="52"/>
  <c r="F278" i="52"/>
  <c r="F294" i="52"/>
  <c r="E312" i="52"/>
  <c r="E227" i="52"/>
  <c r="F358" i="52"/>
  <c r="E406" i="52"/>
  <c r="E448" i="52"/>
  <c r="F488" i="52"/>
  <c r="E251" i="52"/>
  <c r="E285" i="52"/>
  <c r="E301" i="52"/>
  <c r="E317" i="52"/>
  <c r="E289" i="52"/>
  <c r="F342" i="52"/>
  <c r="E383" i="52"/>
  <c r="F423" i="52"/>
  <c r="F472" i="52"/>
  <c r="F513" i="52"/>
  <c r="E303" i="52"/>
  <c r="E480" i="52"/>
  <c r="E16" i="52"/>
  <c r="E14" i="52" s="1"/>
  <c r="F611" i="52"/>
  <c r="E632" i="52"/>
  <c r="F672" i="52"/>
  <c r="E639" i="52"/>
  <c r="E713" i="52"/>
  <c r="E656" i="52"/>
  <c r="E705" i="52"/>
  <c r="W17" i="6040"/>
  <c r="K1310" i="1"/>
  <c r="E219" i="52"/>
  <c r="E232" i="52"/>
  <c r="E246" i="52"/>
  <c r="E255" i="52"/>
  <c r="E269" i="52"/>
  <c r="E283" i="52"/>
  <c r="E296" i="52"/>
  <c r="F310" i="52"/>
  <c r="E319" i="52"/>
  <c r="F309" i="52"/>
  <c r="E335" i="52"/>
  <c r="E367" i="52"/>
  <c r="F399" i="52"/>
  <c r="E431" i="52"/>
  <c r="E464" i="52"/>
  <c r="E497" i="52"/>
  <c r="E529" i="52"/>
  <c r="J22" i="6041"/>
  <c r="D1310" i="1"/>
  <c r="I111" i="6041"/>
  <c r="E637" i="52"/>
  <c r="F675" i="52"/>
  <c r="W166" i="6040"/>
  <c r="R325" i="1"/>
  <c r="R242" i="1"/>
  <c r="W38" i="6040"/>
  <c r="W124" i="6040"/>
  <c r="W81" i="6040"/>
  <c r="E2" i="52"/>
  <c r="F41" i="52"/>
  <c r="F43" i="52" s="1"/>
  <c r="D333" i="1"/>
  <c r="E34" i="52"/>
  <c r="E32" i="52" s="1"/>
  <c r="E25" i="52"/>
  <c r="E22" i="52" s="1"/>
  <c r="A230" i="6041"/>
  <c r="H25" i="6040"/>
  <c r="W177" i="6040"/>
  <c r="W134" i="6040"/>
  <c r="W92" i="6040"/>
  <c r="W49" i="6040"/>
  <c r="W6" i="6040"/>
  <c r="C1078" i="1"/>
  <c r="Q5" i="6040"/>
  <c r="R5" i="6040" s="1"/>
  <c r="W156" i="6040"/>
  <c r="W113" i="6040"/>
  <c r="W70" i="6040"/>
  <c r="W28" i="6040"/>
  <c r="W145" i="6040"/>
  <c r="W102" i="6040"/>
  <c r="W60" i="6040"/>
  <c r="D22" i="6041"/>
  <c r="D341" i="1"/>
  <c r="G475" i="1"/>
  <c r="J633" i="1"/>
  <c r="H210" i="1"/>
  <c r="A1793" i="1"/>
  <c r="C638" i="1"/>
  <c r="C12" i="3"/>
  <c r="F9" i="3" s="1"/>
  <c r="F16" i="52"/>
  <c r="F17" i="52" s="1"/>
  <c r="F19" i="52" s="1"/>
  <c r="F35" i="52"/>
  <c r="F52" i="52" s="1"/>
  <c r="E41" i="52"/>
  <c r="E43" i="52" s="1"/>
  <c r="D354" i="1"/>
  <c r="A8" i="52"/>
  <c r="E7" i="52"/>
  <c r="E8" i="52" s="1"/>
  <c r="A7" i="52"/>
  <c r="F12" i="3"/>
  <c r="G119" i="6041"/>
  <c r="E714" i="52"/>
  <c r="E635" i="52"/>
  <c r="E643" i="52"/>
  <c r="F663" i="52"/>
  <c r="E681" i="52"/>
  <c r="E708" i="52"/>
  <c r="F605" i="52"/>
  <c r="F641" i="52"/>
  <c r="E645" i="52"/>
  <c r="F653" i="52"/>
  <c r="E669" i="52"/>
  <c r="E687" i="52"/>
  <c r="F711" i="52"/>
  <c r="D362" i="1"/>
  <c r="G210" i="1"/>
  <c r="F7" i="52"/>
  <c r="F11" i="52" s="1"/>
  <c r="F10" i="52" s="1"/>
  <c r="A2" i="52"/>
  <c r="C633" i="1"/>
  <c r="R39" i="1"/>
  <c r="R33" i="1"/>
  <c r="F1215" i="1"/>
  <c r="G692" i="1"/>
  <c r="P14" i="3"/>
  <c r="S14" i="3" s="1"/>
  <c r="E120" i="6041"/>
  <c r="R836" i="1"/>
  <c r="F606" i="52"/>
  <c r="F608" i="52"/>
  <c r="F617" i="52"/>
  <c r="F612" i="52"/>
  <c r="F614" i="52"/>
  <c r="F618" i="52"/>
  <c r="F620" i="52"/>
  <c r="E629" i="52"/>
  <c r="F624" i="52"/>
  <c r="F626" i="52"/>
  <c r="F630" i="52"/>
  <c r="F632" i="52"/>
  <c r="E641" i="52"/>
  <c r="F635" i="52"/>
  <c r="F637" i="52"/>
  <c r="F639" i="52"/>
  <c r="F643" i="52"/>
  <c r="F645" i="52"/>
  <c r="F649" i="52"/>
  <c r="F651" i="52"/>
  <c r="E653" i="52"/>
  <c r="F657" i="52"/>
  <c r="E661" i="52"/>
  <c r="E666" i="52"/>
  <c r="F671" i="52"/>
  <c r="E673" i="52"/>
  <c r="F678" i="52"/>
  <c r="F684" i="52"/>
  <c r="F687" i="52"/>
  <c r="F689" i="52"/>
  <c r="F715" i="52"/>
  <c r="E709" i="52"/>
  <c r="E702" i="52"/>
  <c r="E696" i="52"/>
  <c r="F699" i="52"/>
  <c r="E692" i="52"/>
  <c r="F693" i="52"/>
  <c r="E699" i="52"/>
  <c r="F691" i="52"/>
  <c r="F623" i="52"/>
  <c r="E631" i="52"/>
  <c r="E633" i="52"/>
  <c r="E647" i="52"/>
  <c r="E636" i="52"/>
  <c r="E638" i="52"/>
  <c r="E642" i="52"/>
  <c r="E644" i="52"/>
  <c r="E648" i="52"/>
  <c r="E650" i="52"/>
  <c r="E655" i="52"/>
  <c r="F665" i="52"/>
  <c r="F661" i="52"/>
  <c r="F667" i="52"/>
  <c r="E677" i="52"/>
  <c r="F673" i="52"/>
  <c r="F679" i="52"/>
  <c r="E685" i="52"/>
  <c r="E689" i="52"/>
  <c r="F707" i="52"/>
  <c r="E716" i="52"/>
  <c r="F709" i="52"/>
  <c r="F703" i="52"/>
  <c r="E697" i="52"/>
  <c r="E690" i="52"/>
  <c r="E693" i="52"/>
  <c r="F607" i="52"/>
  <c r="F609" i="52"/>
  <c r="F613" i="52"/>
  <c r="F615" i="52"/>
  <c r="F619" i="52"/>
  <c r="F621" i="52"/>
  <c r="F629" i="52"/>
  <c r="F625" i="52"/>
  <c r="F627" i="52"/>
  <c r="F631" i="52"/>
  <c r="F633" i="52"/>
  <c r="F647" i="52"/>
  <c r="F636" i="52"/>
  <c r="F638" i="52"/>
  <c r="F642" i="52"/>
  <c r="F644" i="52"/>
  <c r="F648" i="52"/>
  <c r="F650" i="52"/>
  <c r="F655" i="52"/>
  <c r="E659" i="52"/>
  <c r="E663" i="52"/>
  <c r="E668" i="52"/>
  <c r="F677" i="52"/>
  <c r="E675" i="52"/>
  <c r="F680" i="52"/>
  <c r="F685" i="52"/>
  <c r="E701" i="52"/>
  <c r="F713" i="52"/>
  <c r="E717" i="52"/>
  <c r="E711" i="52"/>
  <c r="E704" i="52"/>
  <c r="F697" i="52"/>
  <c r="E23" i="6043"/>
  <c r="E975" i="1"/>
  <c r="C47" i="6043"/>
  <c r="D1084" i="1"/>
  <c r="I1452" i="1" s="1"/>
  <c r="R390" i="1"/>
  <c r="D366" i="1"/>
  <c r="D27" i="6041"/>
  <c r="D370" i="1"/>
  <c r="D1314" i="1"/>
  <c r="S271" i="1"/>
  <c r="D337" i="1"/>
  <c r="N15" i="3"/>
  <c r="N14" i="3"/>
  <c r="F8" i="3"/>
  <c r="R189" i="1"/>
  <c r="N13" i="3"/>
  <c r="N12" i="3"/>
  <c r="F13" i="3"/>
  <c r="A1791" i="1"/>
  <c r="F68" i="52"/>
  <c r="F3" i="52"/>
  <c r="C61" i="52"/>
  <c r="E62" i="52" s="1"/>
  <c r="A1787" i="1"/>
  <c r="R120" i="1"/>
  <c r="D358" i="1"/>
  <c r="R304" i="1"/>
  <c r="E4" i="52"/>
  <c r="R191" i="1"/>
  <c r="B567" i="1"/>
  <c r="H596" i="1"/>
  <c r="A666" i="1"/>
  <c r="S57" i="1"/>
  <c r="S63" i="1"/>
  <c r="S123" i="1"/>
  <c r="R123" i="1"/>
  <c r="E215" i="52"/>
  <c r="E217" i="52"/>
  <c r="E220" i="52"/>
  <c r="E222" i="52"/>
  <c r="E224" i="52"/>
  <c r="E231" i="52"/>
  <c r="E233" i="52"/>
  <c r="F236" i="52"/>
  <c r="E238" i="52"/>
  <c r="E240" i="52"/>
  <c r="E247" i="52"/>
  <c r="E249" i="52"/>
  <c r="F252" i="52"/>
  <c r="E254" i="52"/>
  <c r="E256" i="52"/>
  <c r="E263" i="52"/>
  <c r="E265" i="52"/>
  <c r="F268" i="52"/>
  <c r="E270" i="52"/>
  <c r="E272" i="52"/>
  <c r="E279" i="52"/>
  <c r="E281" i="52"/>
  <c r="F284" i="52"/>
  <c r="E286" i="52"/>
  <c r="E288" i="52"/>
  <c r="E295" i="52"/>
  <c r="E297" i="52"/>
  <c r="F300" i="52"/>
  <c r="E302" i="52"/>
  <c r="E304" i="52"/>
  <c r="E311" i="52"/>
  <c r="E313" i="52"/>
  <c r="F316" i="52"/>
  <c r="E318" i="52"/>
  <c r="E320" i="52"/>
  <c r="F213" i="52"/>
  <c r="F242" i="52"/>
  <c r="E274" i="52"/>
  <c r="F293" i="52"/>
  <c r="E332" i="52"/>
  <c r="E339" i="52"/>
  <c r="E347" i="52"/>
  <c r="E354" i="52"/>
  <c r="F363" i="52"/>
  <c r="E370" i="52"/>
  <c r="F379" i="52"/>
  <c r="E387" i="52"/>
  <c r="F395" i="52"/>
  <c r="E403" i="52"/>
  <c r="E411" i="52"/>
  <c r="E418" i="52"/>
  <c r="F427" i="52"/>
  <c r="E435" i="52"/>
  <c r="E444" i="52"/>
  <c r="F451" i="52"/>
  <c r="E461" i="52"/>
  <c r="F467" i="52"/>
  <c r="E477" i="52"/>
  <c r="F485" i="52"/>
  <c r="E493" i="52"/>
  <c r="F501" i="52"/>
  <c r="E510" i="52"/>
  <c r="E517" i="52"/>
  <c r="E526" i="52"/>
  <c r="R74" i="1"/>
  <c r="S74" i="1"/>
  <c r="R48" i="1"/>
  <c r="S48" i="1"/>
  <c r="F77" i="52"/>
  <c r="F82" i="52"/>
  <c r="F84" i="52" s="1"/>
  <c r="E1180" i="1"/>
  <c r="W7" i="6040"/>
  <c r="W11" i="6040"/>
  <c r="W15" i="6040"/>
  <c r="W19" i="6040"/>
  <c r="W23" i="6040"/>
  <c r="W27" i="6040"/>
  <c r="W31" i="6040"/>
  <c r="W35" i="6040"/>
  <c r="W39" i="6040"/>
  <c r="W43" i="6040"/>
  <c r="W47" i="6040"/>
  <c r="W51" i="6040"/>
  <c r="W55" i="6040"/>
  <c r="W59" i="6040"/>
  <c r="W63" i="6040"/>
  <c r="W67" i="6040"/>
  <c r="W71" i="6040"/>
  <c r="W75" i="6040"/>
  <c r="W79" i="6040"/>
  <c r="W83" i="6040"/>
  <c r="W87" i="6040"/>
  <c r="W91" i="6040"/>
  <c r="W95" i="6040"/>
  <c r="W99" i="6040"/>
  <c r="W103" i="6040"/>
  <c r="W107" i="6040"/>
  <c r="W111" i="6040"/>
  <c r="W115" i="6040"/>
  <c r="W119" i="6040"/>
  <c r="W123" i="6040"/>
  <c r="W127" i="6040"/>
  <c r="W131" i="6040"/>
  <c r="W135" i="6040"/>
  <c r="W139" i="6040"/>
  <c r="W143" i="6040"/>
  <c r="W147" i="6040"/>
  <c r="W151" i="6040"/>
  <c r="W155" i="6040"/>
  <c r="W159" i="6040"/>
  <c r="W163" i="6040"/>
  <c r="W167" i="6040"/>
  <c r="W171" i="6040"/>
  <c r="W175" i="6040"/>
  <c r="W179" i="6040"/>
  <c r="W183" i="6040"/>
  <c r="W5" i="6040"/>
  <c r="W10" i="6040"/>
  <c r="W16" i="6040"/>
  <c r="W21" i="6040"/>
  <c r="W26" i="6040"/>
  <c r="W32" i="6040"/>
  <c r="W37" i="6040"/>
  <c r="W42" i="6040"/>
  <c r="W48" i="6040"/>
  <c r="W53" i="6040"/>
  <c r="W58" i="6040"/>
  <c r="W64" i="6040"/>
  <c r="W69" i="6040"/>
  <c r="W74" i="6040"/>
  <c r="W80" i="6040"/>
  <c r="W85" i="6040"/>
  <c r="W90" i="6040"/>
  <c r="W96" i="6040"/>
  <c r="W101" i="6040"/>
  <c r="W106" i="6040"/>
  <c r="W112" i="6040"/>
  <c r="W117" i="6040"/>
  <c r="W122" i="6040"/>
  <c r="W128" i="6040"/>
  <c r="W133" i="6040"/>
  <c r="W138" i="6040"/>
  <c r="W144" i="6040"/>
  <c r="W149" i="6040"/>
  <c r="W154" i="6040"/>
  <c r="W160" i="6040"/>
  <c r="W165" i="6040"/>
  <c r="W170" i="6040"/>
  <c r="W176" i="6040"/>
  <c r="W181" i="6040"/>
  <c r="X5" i="6040"/>
  <c r="W8" i="6040"/>
  <c r="W13" i="6040"/>
  <c r="W18" i="6040"/>
  <c r="W24" i="6040"/>
  <c r="W29" i="6040"/>
  <c r="W34" i="6040"/>
  <c r="W40" i="6040"/>
  <c r="W45" i="6040"/>
  <c r="W50" i="6040"/>
  <c r="W56" i="6040"/>
  <c r="W61" i="6040"/>
  <c r="W66" i="6040"/>
  <c r="W72" i="6040"/>
  <c r="W77" i="6040"/>
  <c r="W82" i="6040"/>
  <c r="W88" i="6040"/>
  <c r="W93" i="6040"/>
  <c r="W98" i="6040"/>
  <c r="W104" i="6040"/>
  <c r="W109" i="6040"/>
  <c r="W114" i="6040"/>
  <c r="W120" i="6040"/>
  <c r="W125" i="6040"/>
  <c r="W130" i="6040"/>
  <c r="W136" i="6040"/>
  <c r="W141" i="6040"/>
  <c r="W146" i="6040"/>
  <c r="W152" i="6040"/>
  <c r="W157" i="6040"/>
  <c r="W162" i="6040"/>
  <c r="W168" i="6040"/>
  <c r="W173" i="6040"/>
  <c r="W178" i="6040"/>
  <c r="W184" i="6040"/>
  <c r="K25" i="6040"/>
  <c r="W9" i="6040"/>
  <c r="W20" i="6040"/>
  <c r="W30" i="6040"/>
  <c r="W41" i="6040"/>
  <c r="W52" i="6040"/>
  <c r="W62" i="6040"/>
  <c r="W73" i="6040"/>
  <c r="W84" i="6040"/>
  <c r="W94" i="6040"/>
  <c r="W105" i="6040"/>
  <c r="W116" i="6040"/>
  <c r="W126" i="6040"/>
  <c r="W137" i="6040"/>
  <c r="W148" i="6040"/>
  <c r="W158" i="6040"/>
  <c r="W169" i="6040"/>
  <c r="W180" i="6040"/>
  <c r="W14" i="6040"/>
  <c r="W25" i="6040"/>
  <c r="W36" i="6040"/>
  <c r="W46" i="6040"/>
  <c r="W57" i="6040"/>
  <c r="W68" i="6040"/>
  <c r="W78" i="6040"/>
  <c r="W89" i="6040"/>
  <c r="W100" i="6040"/>
  <c r="W110" i="6040"/>
  <c r="W121" i="6040"/>
  <c r="W132" i="6040"/>
  <c r="W142" i="6040"/>
  <c r="W153" i="6040"/>
  <c r="W164" i="6040"/>
  <c r="W174" i="6040"/>
  <c r="W185" i="6040"/>
  <c r="G443" i="1"/>
  <c r="B438" i="1"/>
  <c r="S438" i="1" s="1"/>
  <c r="F215" i="52"/>
  <c r="F217" i="52"/>
  <c r="F220" i="52"/>
  <c r="F222" i="52"/>
  <c r="F224" i="52"/>
  <c r="F231" i="52"/>
  <c r="F233" i="52"/>
  <c r="E236" i="52"/>
  <c r="F238" i="52"/>
  <c r="F240" i="52"/>
  <c r="F247" i="52"/>
  <c r="F249" i="52"/>
  <c r="E252" i="52"/>
  <c r="F254" i="52"/>
  <c r="F256" i="52"/>
  <c r="F263" i="52"/>
  <c r="F265" i="52"/>
  <c r="E268" i="52"/>
  <c r="F270" i="52"/>
  <c r="F272" i="52"/>
  <c r="F279" i="52"/>
  <c r="F281" i="52"/>
  <c r="E284" i="52"/>
  <c r="F286" i="52"/>
  <c r="F288" i="52"/>
  <c r="F295" i="52"/>
  <c r="F297" i="52"/>
  <c r="E300" i="52"/>
  <c r="F302" i="52"/>
  <c r="F304" i="52"/>
  <c r="F311" i="52"/>
  <c r="F313" i="52"/>
  <c r="E316" i="52"/>
  <c r="F318" i="52"/>
  <c r="F320" i="52"/>
  <c r="E225" i="52"/>
  <c r="F245" i="52"/>
  <c r="E275" i="52"/>
  <c r="F306" i="52"/>
  <c r="E325" i="52"/>
  <c r="E334" i="52"/>
  <c r="E349" i="52"/>
  <c r="F357" i="52"/>
  <c r="E365" i="52"/>
  <c r="F373" i="52"/>
  <c r="F381" i="52"/>
  <c r="F389" i="52"/>
  <c r="F397" i="52"/>
  <c r="E437" i="52"/>
  <c r="F412" i="52"/>
  <c r="F421" i="52"/>
  <c r="F429" i="52"/>
  <c r="E438" i="52"/>
  <c r="E446" i="52"/>
  <c r="F454" i="52"/>
  <c r="E462" i="52"/>
  <c r="F470" i="52"/>
  <c r="E479" i="52"/>
  <c r="F486" i="52"/>
  <c r="E495" i="52"/>
  <c r="F503" i="52"/>
  <c r="F511" i="52"/>
  <c r="E519" i="52"/>
  <c r="F80" i="52"/>
  <c r="W172" i="6040"/>
  <c r="W150" i="6040"/>
  <c r="W129" i="6040"/>
  <c r="W108" i="6040"/>
  <c r="W86" i="6040"/>
  <c r="W65" i="6040"/>
  <c r="W44" i="6040"/>
  <c r="W22" i="6040"/>
  <c r="R589" i="1"/>
  <c r="S589" i="1"/>
  <c r="S538" i="1"/>
  <c r="R538" i="1"/>
  <c r="E530" i="52"/>
  <c r="E527" i="52"/>
  <c r="F524" i="52"/>
  <c r="E521" i="52"/>
  <c r="E518" i="52"/>
  <c r="F514" i="52"/>
  <c r="E512" i="52"/>
  <c r="F509" i="52"/>
  <c r="F505" i="52"/>
  <c r="E503" i="52"/>
  <c r="E499" i="52"/>
  <c r="E496" i="52"/>
  <c r="F493" i="52"/>
  <c r="E491" i="52"/>
  <c r="E487" i="52"/>
  <c r="F483" i="52"/>
  <c r="E481" i="52"/>
  <c r="E478" i="52"/>
  <c r="F475" i="52"/>
  <c r="E472" i="52"/>
  <c r="F469" i="52"/>
  <c r="F465" i="52"/>
  <c r="E463" i="52"/>
  <c r="E460" i="52"/>
  <c r="F456" i="52"/>
  <c r="E454" i="52"/>
  <c r="E450" i="52"/>
  <c r="F447" i="52"/>
  <c r="E445" i="52"/>
  <c r="E441" i="52"/>
  <c r="F438" i="52"/>
  <c r="F434" i="52"/>
  <c r="F431" i="52"/>
  <c r="E429" i="52"/>
  <c r="F425" i="52"/>
  <c r="F422" i="52"/>
  <c r="F418" i="52"/>
  <c r="E416" i="52"/>
  <c r="E413" i="52"/>
  <c r="F409" i="52"/>
  <c r="E407" i="52"/>
  <c r="E405" i="52"/>
  <c r="F401" i="52"/>
  <c r="E399" i="52"/>
  <c r="E396" i="52"/>
  <c r="F392" i="52"/>
  <c r="E390" i="52"/>
  <c r="E386" i="52"/>
  <c r="F383" i="52"/>
  <c r="E381" i="52"/>
  <c r="E377" i="52"/>
  <c r="F374" i="52"/>
  <c r="E371" i="52"/>
  <c r="E368" i="52"/>
  <c r="F365" i="52"/>
  <c r="E363" i="52"/>
  <c r="E359" i="52"/>
  <c r="F355" i="52"/>
  <c r="E353" i="52"/>
  <c r="E350" i="52"/>
  <c r="F347" i="52"/>
  <c r="E344" i="52"/>
  <c r="F341" i="52"/>
  <c r="F338" i="52"/>
  <c r="E336" i="52"/>
  <c r="E333" i="52"/>
  <c r="F329" i="52"/>
  <c r="E327" i="52"/>
  <c r="F322" i="52"/>
  <c r="E309" i="52"/>
  <c r="E305" i="52"/>
  <c r="F290" i="52"/>
  <c r="E277" i="52"/>
  <c r="E273" i="52"/>
  <c r="F258" i="52"/>
  <c r="E245" i="52"/>
  <c r="E241" i="52"/>
  <c r="F226" i="52"/>
  <c r="E213" i="52"/>
  <c r="F530" i="52"/>
  <c r="F526" i="52"/>
  <c r="E523" i="52"/>
  <c r="F518" i="52"/>
  <c r="E514" i="52"/>
  <c r="F510" i="52"/>
  <c r="F507" i="52"/>
  <c r="F502" i="52"/>
  <c r="F497" i="52"/>
  <c r="E494" i="52"/>
  <c r="E489" i="52"/>
  <c r="E486" i="52"/>
  <c r="F481" i="52"/>
  <c r="F477" i="52"/>
  <c r="E473" i="52"/>
  <c r="E470" i="52"/>
  <c r="E465" i="52"/>
  <c r="F461" i="52"/>
  <c r="E457" i="52"/>
  <c r="F453" i="52"/>
  <c r="E449" i="52"/>
  <c r="F445" i="52"/>
  <c r="F440" i="52"/>
  <c r="F435" i="52"/>
  <c r="F432" i="52"/>
  <c r="F428" i="52"/>
  <c r="E424" i="52"/>
  <c r="E419" i="52"/>
  <c r="E415" i="52"/>
  <c r="E412" i="52"/>
  <c r="F407" i="52"/>
  <c r="F403" i="52"/>
  <c r="E400" i="52"/>
  <c r="E397" i="52"/>
  <c r="E392" i="52"/>
  <c r="F387" i="52"/>
  <c r="E384" i="52"/>
  <c r="E380" i="52"/>
  <c r="E376" i="52"/>
  <c r="F371" i="52"/>
  <c r="F367" i="52"/>
  <c r="E364" i="52"/>
  <c r="E360" i="52"/>
  <c r="E355" i="52"/>
  <c r="F351" i="52"/>
  <c r="E348" i="52"/>
  <c r="E343" i="52"/>
  <c r="F336" i="52"/>
  <c r="F332" i="52"/>
  <c r="E328" i="52"/>
  <c r="F325" i="52"/>
  <c r="E321" i="52"/>
  <c r="E306" i="52"/>
  <c r="E290" i="52"/>
  <c r="F274" i="52"/>
  <c r="E259" i="52"/>
  <c r="E243" i="52"/>
  <c r="E229" i="52"/>
  <c r="F528" i="52"/>
  <c r="E525" i="52"/>
  <c r="E520" i="52"/>
  <c r="E501" i="52"/>
  <c r="F512" i="52"/>
  <c r="F508" i="52"/>
  <c r="F504" i="52"/>
  <c r="F499" i="52"/>
  <c r="F495" i="52"/>
  <c r="E492" i="52"/>
  <c r="E488" i="52"/>
  <c r="E483" i="52"/>
  <c r="F479" i="52"/>
  <c r="E476" i="52"/>
  <c r="E471" i="52"/>
  <c r="E467" i="52"/>
  <c r="F463" i="52"/>
  <c r="F459" i="52"/>
  <c r="E455" i="52"/>
  <c r="E451" i="52"/>
  <c r="E447" i="52"/>
  <c r="F443" i="52"/>
  <c r="E439" i="52"/>
  <c r="F433" i="52"/>
  <c r="F430" i="52"/>
  <c r="E427" i="52"/>
  <c r="E422" i="52"/>
  <c r="E417" i="52"/>
  <c r="E414" i="52"/>
  <c r="E409" i="52"/>
  <c r="F405" i="52"/>
  <c r="E402" i="52"/>
  <c r="E398" i="52"/>
  <c r="E395" i="52"/>
  <c r="F390" i="52"/>
  <c r="F385" i="52"/>
  <c r="E382" i="52"/>
  <c r="E379" i="52"/>
  <c r="E374" i="52"/>
  <c r="F369" i="52"/>
  <c r="E366" i="52"/>
  <c r="E361" i="52"/>
  <c r="E358" i="52"/>
  <c r="F353" i="52"/>
  <c r="F349" i="52"/>
  <c r="E345" i="52"/>
  <c r="E342" i="52"/>
  <c r="E338" i="52"/>
  <c r="F334" i="52"/>
  <c r="E331" i="52"/>
  <c r="E326" i="52"/>
  <c r="E323" i="52"/>
  <c r="E307" i="52"/>
  <c r="E293" i="52"/>
  <c r="F277" i="52"/>
  <c r="F261" i="52"/>
  <c r="E257" i="52"/>
  <c r="E242" i="52"/>
  <c r="E226" i="52"/>
  <c r="H1183" i="1"/>
  <c r="H1667" i="1" s="1"/>
  <c r="H1723" i="1" s="1"/>
  <c r="C1172" i="1"/>
  <c r="E992" i="1"/>
  <c r="F1021" i="1"/>
  <c r="E1476" i="1"/>
  <c r="F214" i="52"/>
  <c r="F216" i="52"/>
  <c r="F219" i="52"/>
  <c r="F221" i="52"/>
  <c r="F223" i="52"/>
  <c r="E230" i="52"/>
  <c r="F232" i="52"/>
  <c r="F235" i="52"/>
  <c r="F237" i="52"/>
  <c r="F239" i="52"/>
  <c r="F246" i="52"/>
  <c r="F248" i="52"/>
  <c r="F251" i="52"/>
  <c r="F253" i="52"/>
  <c r="F255" i="52"/>
  <c r="E262" i="52"/>
  <c r="F264" i="52"/>
  <c r="F267" i="52"/>
  <c r="F269" i="52"/>
  <c r="F271" i="52"/>
  <c r="E278" i="52"/>
  <c r="F280" i="52"/>
  <c r="F283" i="52"/>
  <c r="F285" i="52"/>
  <c r="F287" i="52"/>
  <c r="E294" i="52"/>
  <c r="F296" i="52"/>
  <c r="F299" i="52"/>
  <c r="F301" i="52"/>
  <c r="F303" i="52"/>
  <c r="E310" i="52"/>
  <c r="F312" i="52"/>
  <c r="F315" i="52"/>
  <c r="F317" i="52"/>
  <c r="F319" i="52"/>
  <c r="F79" i="52"/>
  <c r="F229" i="52"/>
  <c r="E261" i="52"/>
  <c r="E291" i="52"/>
  <c r="E322" i="52"/>
  <c r="E329" i="52"/>
  <c r="E337" i="52"/>
  <c r="F344" i="52"/>
  <c r="E352" i="52"/>
  <c r="F360" i="52"/>
  <c r="E369" i="52"/>
  <c r="F376" i="52"/>
  <c r="E385" i="52"/>
  <c r="E393" i="52"/>
  <c r="E401" i="52"/>
  <c r="E408" i="52"/>
  <c r="F416" i="52"/>
  <c r="F424" i="52"/>
  <c r="E433" i="52"/>
  <c r="E443" i="52"/>
  <c r="F449" i="52"/>
  <c r="E459" i="52"/>
  <c r="E466" i="52"/>
  <c r="E475" i="52"/>
  <c r="E482" i="52"/>
  <c r="F491" i="52"/>
  <c r="E498" i="52"/>
  <c r="E508" i="52"/>
  <c r="F515" i="52"/>
  <c r="E524" i="52"/>
  <c r="E531" i="52"/>
  <c r="W182" i="6040"/>
  <c r="W161" i="6040"/>
  <c r="W140" i="6040"/>
  <c r="W118" i="6040"/>
  <c r="W97" i="6040"/>
  <c r="W76" i="6040"/>
  <c r="W54" i="6040"/>
  <c r="W33" i="6040"/>
  <c r="W12" i="6040"/>
  <c r="F690" i="52"/>
  <c r="E698" i="52"/>
  <c r="F705" i="52"/>
  <c r="E703" i="52"/>
  <c r="E710" i="52"/>
  <c r="F717" i="52"/>
  <c r="E715" i="52"/>
  <c r="F695" i="52"/>
  <c r="E695" i="52"/>
  <c r="F686" i="52"/>
  <c r="F681" i="52"/>
  <c r="E679" i="52"/>
  <c r="F674" i="52"/>
  <c r="F683" i="52"/>
  <c r="F669" i="52"/>
  <c r="E667" i="52"/>
  <c r="E662" i="52"/>
  <c r="E665" i="52"/>
  <c r="E657" i="52"/>
  <c r="E654" i="52"/>
  <c r="G74" i="6041"/>
  <c r="D33" i="6043"/>
  <c r="R77" i="1"/>
  <c r="S77" i="1"/>
  <c r="D47" i="6043"/>
  <c r="D23" i="6043"/>
  <c r="A235" i="6041"/>
  <c r="G172" i="6041"/>
  <c r="A237" i="6041" s="1"/>
  <c r="G171" i="6041"/>
  <c r="L7" i="2"/>
  <c r="K367" i="1" s="1"/>
  <c r="K1314" i="1"/>
  <c r="D1315" i="1"/>
  <c r="I896" i="1"/>
  <c r="G896" i="1"/>
  <c r="R846" i="1"/>
  <c r="S846" i="1"/>
  <c r="R72" i="1"/>
  <c r="S72" i="1"/>
  <c r="M208" i="6040"/>
  <c r="J1183" i="1"/>
  <c r="K366" i="1"/>
  <c r="K362" i="1"/>
  <c r="J692" i="1"/>
  <c r="J27" i="6041"/>
  <c r="F105" i="52"/>
  <c r="F103" i="52"/>
  <c r="F101" i="52"/>
  <c r="F99" i="52"/>
  <c r="F692" i="52"/>
  <c r="F698" i="52"/>
  <c r="F696" i="52"/>
  <c r="F704" i="52"/>
  <c r="F702" i="52"/>
  <c r="F710" i="52"/>
  <c r="F708" i="52"/>
  <c r="F716" i="52"/>
  <c r="F714" i="52"/>
  <c r="F701" i="52"/>
  <c r="E707" i="52"/>
  <c r="E683" i="52"/>
  <c r="E686" i="52"/>
  <c r="E684" i="52"/>
  <c r="E680" i="52"/>
  <c r="E678" i="52"/>
  <c r="E674" i="52"/>
  <c r="E672" i="52"/>
  <c r="E671" i="52"/>
  <c r="F668" i="52"/>
  <c r="F666" i="52"/>
  <c r="F662" i="52"/>
  <c r="F660" i="52"/>
  <c r="F659" i="52"/>
  <c r="F656" i="52"/>
  <c r="F654" i="52"/>
  <c r="O7" i="6040"/>
  <c r="C72" i="52"/>
  <c r="F531" i="52"/>
  <c r="F529" i="52"/>
  <c r="F527" i="52"/>
  <c r="F525" i="52"/>
  <c r="F523" i="52"/>
  <c r="F520" i="52"/>
  <c r="F519" i="52"/>
  <c r="F517" i="52"/>
  <c r="E515" i="52"/>
  <c r="E513" i="52"/>
  <c r="E511" i="52"/>
  <c r="E509" i="52"/>
  <c r="E507" i="52"/>
  <c r="E504" i="52"/>
  <c r="E502" i="52"/>
  <c r="F498" i="52"/>
  <c r="F496" i="52"/>
  <c r="F494" i="52"/>
  <c r="F492" i="52"/>
  <c r="F489" i="52"/>
  <c r="F487" i="52"/>
  <c r="E485" i="52"/>
  <c r="F482" i="52"/>
  <c r="F480" i="52"/>
  <c r="F478" i="52"/>
  <c r="F476" i="52"/>
  <c r="F473" i="52"/>
  <c r="F471" i="52"/>
  <c r="E469" i="52"/>
  <c r="F466" i="52"/>
  <c r="F464" i="52"/>
  <c r="F462" i="52"/>
  <c r="F460" i="52"/>
  <c r="F457" i="52"/>
  <c r="F455" i="52"/>
  <c r="E453" i="52"/>
  <c r="F450" i="52"/>
  <c r="F448" i="52"/>
  <c r="F446" i="52"/>
  <c r="F444" i="52"/>
  <c r="F441" i="52"/>
  <c r="F439" i="52"/>
  <c r="F437" i="52"/>
  <c r="E434" i="52"/>
  <c r="E432" i="52"/>
  <c r="E430" i="52"/>
  <c r="E428" i="52"/>
  <c r="E425" i="52"/>
  <c r="E423" i="52"/>
  <c r="F419" i="52"/>
  <c r="F417" i="52"/>
  <c r="F415" i="52"/>
  <c r="F413" i="52"/>
  <c r="F411" i="52"/>
  <c r="F408" i="52"/>
  <c r="F406" i="52"/>
  <c r="E421" i="52"/>
  <c r="F402" i="52"/>
  <c r="F400" i="52"/>
  <c r="F398" i="52"/>
  <c r="F396" i="52"/>
  <c r="F393" i="52"/>
  <c r="F391" i="52"/>
  <c r="E389" i="52"/>
  <c r="F386" i="52"/>
  <c r="F384" i="52"/>
  <c r="F382" i="52"/>
  <c r="F380" i="52"/>
  <c r="F377" i="52"/>
  <c r="F375" i="52"/>
  <c r="E373" i="52"/>
  <c r="F370" i="52"/>
  <c r="F368" i="52"/>
  <c r="F366" i="52"/>
  <c r="F364" i="52"/>
  <c r="F361" i="52"/>
  <c r="F359" i="52"/>
  <c r="E357" i="52"/>
  <c r="F354" i="52"/>
  <c r="F352" i="52"/>
  <c r="F350" i="52"/>
  <c r="F348" i="52"/>
  <c r="F345" i="52"/>
  <c r="F343" i="52"/>
  <c r="E341" i="52"/>
  <c r="F339" i="52"/>
  <c r="F337" i="52"/>
  <c r="F335" i="52"/>
  <c r="F333" i="52"/>
  <c r="F331" i="52"/>
  <c r="F328" i="52"/>
  <c r="F326" i="52"/>
  <c r="F323" i="52"/>
  <c r="F321" i="52"/>
  <c r="F307" i="52"/>
  <c r="F305" i="52"/>
  <c r="F291" i="52"/>
  <c r="F289" i="52"/>
  <c r="F275" i="52"/>
  <c r="F273" i="52"/>
  <c r="F259" i="52"/>
  <c r="F257" i="52"/>
  <c r="F243" i="52"/>
  <c r="F241" i="52"/>
  <c r="F227" i="52"/>
  <c r="F225" i="52"/>
  <c r="Q6" i="6040"/>
  <c r="X6" i="6040"/>
  <c r="Y6" i="6040" s="1"/>
  <c r="A231" i="6041"/>
  <c r="A232" i="6041"/>
  <c r="S126" i="1"/>
  <c r="R126" i="1"/>
  <c r="F133" i="52"/>
  <c r="F165" i="52" s="1"/>
  <c r="I196" i="6041"/>
  <c r="A234" i="6041" s="1"/>
  <c r="J205" i="6040"/>
  <c r="J209" i="6040"/>
  <c r="J203" i="6040"/>
  <c r="J204" i="6040"/>
  <c r="J208" i="6040"/>
  <c r="J212" i="6040"/>
  <c r="J213" i="6040"/>
  <c r="J207" i="6040"/>
  <c r="J210" i="6040"/>
  <c r="J206" i="6040"/>
  <c r="J211" i="6040"/>
  <c r="M206" i="6040"/>
  <c r="M205" i="6040"/>
  <c r="M210" i="6040"/>
  <c r="M204" i="6040"/>
  <c r="M209" i="6040"/>
  <c r="M203" i="6040"/>
  <c r="M211" i="6040"/>
  <c r="M213" i="6040"/>
  <c r="M212" i="6040"/>
  <c r="M207" i="6040"/>
  <c r="A976" i="1"/>
  <c r="A1044" i="1" s="1"/>
  <c r="A1141" i="1"/>
  <c r="G1233" i="1"/>
  <c r="D1234" i="1"/>
  <c r="R1119" i="1"/>
  <c r="S1119" i="1"/>
  <c r="O13" i="3"/>
  <c r="P13" i="3" s="1"/>
  <c r="S13" i="3" s="1"/>
  <c r="O12" i="3"/>
  <c r="P12" i="3" s="1"/>
  <c r="O15" i="3"/>
  <c r="P15" i="3" s="1"/>
  <c r="H1181" i="1"/>
  <c r="I452" i="1"/>
  <c r="H517" i="1" s="1"/>
  <c r="B452" i="1"/>
  <c r="J7" i="2"/>
  <c r="H7" i="2"/>
  <c r="N7" i="2"/>
  <c r="F7" i="2"/>
  <c r="K334" i="1" s="1"/>
  <c r="S7" i="2"/>
  <c r="K1311" i="1"/>
  <c r="D1311" i="1"/>
  <c r="K1315" i="1"/>
  <c r="F25" i="6040"/>
  <c r="G26" i="6040"/>
  <c r="D26" i="6040"/>
  <c r="L231" i="6040"/>
  <c r="M231" i="6040" s="1"/>
  <c r="E1590" i="1"/>
  <c r="S1386" i="1"/>
  <c r="R1386" i="1"/>
  <c r="K354" i="1"/>
  <c r="K349" i="1"/>
  <c r="D349" i="1"/>
  <c r="K333" i="1"/>
  <c r="K337" i="1"/>
  <c r="K370" i="1"/>
  <c r="K358" i="1"/>
  <c r="K341" i="1"/>
  <c r="K345" i="1"/>
  <c r="D1043" i="1"/>
  <c r="J185" i="6041"/>
  <c r="J231" i="6040" l="1"/>
  <c r="N222" i="6040"/>
  <c r="N228" i="6040"/>
  <c r="N226" i="6040"/>
  <c r="N230" i="6040"/>
  <c r="C998" i="1"/>
  <c r="C1028" i="1"/>
  <c r="K1183" i="1"/>
  <c r="I1186" i="1"/>
  <c r="A425" i="1"/>
  <c r="A421" i="1"/>
  <c r="I405" i="1"/>
  <c r="B426" i="1"/>
  <c r="B422" i="1"/>
  <c r="I404" i="1"/>
  <c r="G249" i="1"/>
  <c r="G254" i="1" s="1"/>
  <c r="B672" i="1" s="1"/>
  <c r="G717" i="1"/>
  <c r="E23" i="52"/>
  <c r="E24" i="52" s="1"/>
  <c r="E26" i="52"/>
  <c r="E28" i="52" s="1"/>
  <c r="D1705" i="1"/>
  <c r="S1078" i="1"/>
  <c r="C1557" i="1"/>
  <c r="C1502" i="1"/>
  <c r="I1087" i="1"/>
  <c r="D1558" i="1"/>
  <c r="D1503" i="1"/>
  <c r="D1508" i="1" s="1"/>
  <c r="Y5" i="6040"/>
  <c r="N223" i="6040"/>
  <c r="N227" i="6040"/>
  <c r="N221" i="6040"/>
  <c r="N224" i="6040"/>
  <c r="N209" i="6040"/>
  <c r="B487" i="1"/>
  <c r="G487" i="1"/>
  <c r="H527" i="1" s="1"/>
  <c r="H1340" i="1"/>
  <c r="J1340" i="1" s="1"/>
  <c r="N208" i="6040"/>
  <c r="B479" i="1"/>
  <c r="C624" i="1"/>
  <c r="N206" i="6040"/>
  <c r="N213" i="6040"/>
  <c r="I401" i="1"/>
  <c r="F181" i="52"/>
  <c r="F197" i="52"/>
  <c r="F149" i="52"/>
  <c r="F15" i="3"/>
  <c r="F16" i="3" s="1"/>
  <c r="I12" i="3" s="1"/>
  <c r="I13" i="3" s="1"/>
  <c r="I14" i="3" s="1"/>
  <c r="Q14" i="3"/>
  <c r="R14" i="3" s="1"/>
  <c r="T14" i="3" s="1"/>
  <c r="B25" i="6040"/>
  <c r="S5" i="6040"/>
  <c r="D183" i="6041"/>
  <c r="D184" i="6041"/>
  <c r="I185" i="6041"/>
  <c r="I25" i="6040"/>
  <c r="I400" i="1"/>
  <c r="E45" i="6041"/>
  <c r="H421" i="1"/>
  <c r="J45" i="6041"/>
  <c r="H45" i="6041" s="1"/>
  <c r="A244" i="6041" s="1"/>
  <c r="R1078" i="1"/>
  <c r="D1319" i="1"/>
  <c r="E13" i="52"/>
  <c r="E17" i="52"/>
  <c r="E20" i="52" s="1"/>
  <c r="J46" i="6041"/>
  <c r="H46" i="6041" s="1"/>
  <c r="H425" i="1"/>
  <c r="J425" i="1" s="1"/>
  <c r="F14" i="52"/>
  <c r="E44" i="52"/>
  <c r="E50" i="52" s="1"/>
  <c r="H1341" i="1"/>
  <c r="J1341" i="1" s="1"/>
  <c r="E46" i="6041"/>
  <c r="E35" i="52"/>
  <c r="E37" i="52" s="1"/>
  <c r="E15" i="52"/>
  <c r="E33" i="52"/>
  <c r="E1002" i="1"/>
  <c r="I1002" i="1" s="1"/>
  <c r="F975" i="1"/>
  <c r="D994" i="1"/>
  <c r="S994" i="1" s="1"/>
  <c r="I975" i="1"/>
  <c r="F47" i="52"/>
  <c r="F37" i="52"/>
  <c r="B483" i="1"/>
  <c r="G483" i="1"/>
  <c r="H523" i="1" s="1"/>
  <c r="E11" i="52"/>
  <c r="E3" i="52"/>
  <c r="E31" i="52"/>
  <c r="G214" i="6041"/>
  <c r="I214" i="6041" s="1"/>
  <c r="B663" i="1"/>
  <c r="I663" i="1"/>
  <c r="I717" i="1"/>
  <c r="I721" i="1" s="1"/>
  <c r="A1794" i="1"/>
  <c r="E40" i="52"/>
  <c r="E46" i="52" s="1"/>
  <c r="E49" i="52"/>
  <c r="E47" i="52"/>
  <c r="F26" i="52"/>
  <c r="F36" i="52" s="1"/>
  <c r="J624" i="1"/>
  <c r="D1187" i="1"/>
  <c r="C62" i="52"/>
  <c r="E76" i="52" s="1"/>
  <c r="E82" i="52" s="1"/>
  <c r="E66" i="52"/>
  <c r="E67" i="52" s="1"/>
  <c r="E68" i="52" s="1"/>
  <c r="F8" i="52"/>
  <c r="F25" i="52"/>
  <c r="F1084" i="1"/>
  <c r="D1088" i="1"/>
  <c r="J1613" i="1"/>
  <c r="J1667" i="1" s="1"/>
  <c r="J1723" i="1" s="1"/>
  <c r="K1319" i="1"/>
  <c r="C75" i="52"/>
  <c r="J597" i="1"/>
  <c r="K597" i="1"/>
  <c r="J639" i="1" s="1"/>
  <c r="F1407" i="1"/>
  <c r="G130" i="6041"/>
  <c r="N212" i="6040"/>
  <c r="F533" i="52"/>
  <c r="F86" i="52"/>
  <c r="F78" i="52"/>
  <c r="H518" i="1"/>
  <c r="F49" i="52"/>
  <c r="F44" i="52"/>
  <c r="F50" i="52" s="1"/>
  <c r="I74" i="6041"/>
  <c r="D57" i="6043"/>
  <c r="H1613" i="1"/>
  <c r="F213" i="6041"/>
  <c r="J699" i="1"/>
  <c r="I699" i="1"/>
  <c r="D367" i="1"/>
  <c r="D346" i="1"/>
  <c r="I992" i="1"/>
  <c r="F992" i="1"/>
  <c r="F83" i="52"/>
  <c r="F124" i="52" s="1"/>
  <c r="R1172" i="1"/>
  <c r="S1172" i="1"/>
  <c r="K346" i="1"/>
  <c r="G1254" i="1" s="1"/>
  <c r="Q13" i="3"/>
  <c r="R13" i="3" s="1"/>
  <c r="T13" i="3" s="1"/>
  <c r="H479" i="1"/>
  <c r="E63" i="52"/>
  <c r="E73" i="52"/>
  <c r="S15" i="3"/>
  <c r="Q15" i="3"/>
  <c r="R15" i="3" s="1"/>
  <c r="D1145" i="1"/>
  <c r="D1136" i="1"/>
  <c r="E1145" i="1"/>
  <c r="E1136" i="1"/>
  <c r="K350" i="1"/>
  <c r="D350" i="1"/>
  <c r="D371" i="1"/>
  <c r="F1234" i="1"/>
  <c r="Q12" i="3"/>
  <c r="R12" i="3" s="1"/>
  <c r="S12" i="3"/>
  <c r="K359" i="1"/>
  <c r="K338" i="1"/>
  <c r="D359" i="1"/>
  <c r="D338" i="1"/>
  <c r="N205" i="6040"/>
  <c r="E133" i="52"/>
  <c r="E143" i="52"/>
  <c r="E90" i="52"/>
  <c r="E91" i="52" s="1"/>
  <c r="E93" i="52" s="1"/>
  <c r="E135" i="52"/>
  <c r="G188" i="6041"/>
  <c r="G187" i="6041"/>
  <c r="K371" i="1"/>
  <c r="G1251" i="1"/>
  <c r="H1251" i="1"/>
  <c r="H1247" i="1"/>
  <c r="G1247" i="1"/>
  <c r="D1596" i="1"/>
  <c r="J23" i="6041"/>
  <c r="J28" i="6041"/>
  <c r="D28" i="6041"/>
  <c r="D23" i="6041"/>
  <c r="K363" i="1"/>
  <c r="K342" i="1"/>
  <c r="D342" i="1"/>
  <c r="D363" i="1"/>
  <c r="N211" i="6040"/>
  <c r="N210" i="6040"/>
  <c r="R6" i="6040"/>
  <c r="S6" i="6040"/>
  <c r="O8" i="6040"/>
  <c r="P7" i="6040"/>
  <c r="H1253" i="1"/>
  <c r="G1253" i="1"/>
  <c r="H1249" i="1"/>
  <c r="G1249" i="1"/>
  <c r="H1255" i="1"/>
  <c r="G1255" i="1"/>
  <c r="K1320" i="1"/>
  <c r="D1320" i="1"/>
  <c r="D1649" i="1"/>
  <c r="V6" i="6040"/>
  <c r="V8" i="6040"/>
  <c r="V10" i="6040"/>
  <c r="V12" i="6040"/>
  <c r="V14" i="6040"/>
  <c r="V7" i="6040"/>
  <c r="V13" i="6040"/>
  <c r="V49" i="6040"/>
  <c r="V51" i="6040"/>
  <c r="V53" i="6040"/>
  <c r="V55" i="6040"/>
  <c r="V57" i="6040"/>
  <c r="V59" i="6040"/>
  <c r="V61" i="6040"/>
  <c r="V63" i="6040"/>
  <c r="V65" i="6040"/>
  <c r="V67" i="6040"/>
  <c r="V69" i="6040"/>
  <c r="V11" i="6040"/>
  <c r="V48" i="6040"/>
  <c r="V56" i="6040"/>
  <c r="V64" i="6040"/>
  <c r="V9" i="6040"/>
  <c r="V15" i="6040"/>
  <c r="V16" i="6040"/>
  <c r="V17" i="6040"/>
  <c r="V18" i="6040"/>
  <c r="V19" i="6040"/>
  <c r="V20" i="6040"/>
  <c r="V21" i="6040"/>
  <c r="V22" i="6040"/>
  <c r="V23" i="6040"/>
  <c r="V24" i="6040"/>
  <c r="V25" i="6040"/>
  <c r="V27" i="6040"/>
  <c r="V29" i="6040"/>
  <c r="V31" i="6040"/>
  <c r="V33" i="6040"/>
  <c r="V35" i="6040"/>
  <c r="V37" i="6040"/>
  <c r="V39" i="6040"/>
  <c r="V41" i="6040"/>
  <c r="V43" i="6040"/>
  <c r="V45" i="6040"/>
  <c r="V47" i="6040"/>
  <c r="V54" i="6040"/>
  <c r="V62" i="6040"/>
  <c r="V70" i="6040"/>
  <c r="V71" i="6040"/>
  <c r="V73" i="6040"/>
  <c r="V75" i="6040"/>
  <c r="V77" i="6040"/>
  <c r="V79" i="6040"/>
  <c r="V81" i="6040"/>
  <c r="V83" i="6040"/>
  <c r="V85" i="6040"/>
  <c r="V87" i="6040"/>
  <c r="V89" i="6040"/>
  <c r="V91" i="6040"/>
  <c r="V93" i="6040"/>
  <c r="V95" i="6040"/>
  <c r="V97" i="6040"/>
  <c r="V99" i="6040"/>
  <c r="V101" i="6040"/>
  <c r="V103" i="6040"/>
  <c r="V105" i="6040"/>
  <c r="V107" i="6040"/>
  <c r="V109" i="6040"/>
  <c r="V111" i="6040"/>
  <c r="V113" i="6040"/>
  <c r="V115" i="6040"/>
  <c r="V117" i="6040"/>
  <c r="V119" i="6040"/>
  <c r="V121" i="6040"/>
  <c r="V123" i="6040"/>
  <c r="V125" i="6040"/>
  <c r="V127" i="6040"/>
  <c r="V129" i="6040"/>
  <c r="V131" i="6040"/>
  <c r="V32" i="6040"/>
  <c r="V40" i="6040"/>
  <c r="V58" i="6040"/>
  <c r="V60" i="6040"/>
  <c r="V78" i="6040"/>
  <c r="V86" i="6040"/>
  <c r="V94" i="6040"/>
  <c r="V102" i="6040"/>
  <c r="V112" i="6040"/>
  <c r="V120" i="6040"/>
  <c r="V128" i="6040"/>
  <c r="V133" i="6040"/>
  <c r="V135" i="6040"/>
  <c r="V137" i="6040"/>
  <c r="V139" i="6040"/>
  <c r="V141" i="6040"/>
  <c r="V143" i="6040"/>
  <c r="V145" i="6040"/>
  <c r="V147" i="6040"/>
  <c r="V149" i="6040"/>
  <c r="V151" i="6040"/>
  <c r="V153" i="6040"/>
  <c r="V155" i="6040"/>
  <c r="V157" i="6040"/>
  <c r="V159" i="6040"/>
  <c r="V161" i="6040"/>
  <c r="V163" i="6040"/>
  <c r="V165" i="6040"/>
  <c r="V167" i="6040"/>
  <c r="V169" i="6040"/>
  <c r="V171" i="6040"/>
  <c r="V173" i="6040"/>
  <c r="V175" i="6040"/>
  <c r="V177" i="6040"/>
  <c r="V179" i="6040"/>
  <c r="V181" i="6040"/>
  <c r="V183" i="6040"/>
  <c r="V185" i="6040"/>
  <c r="T5" i="6040"/>
  <c r="V30" i="6040"/>
  <c r="V38" i="6040"/>
  <c r="V46" i="6040"/>
  <c r="V76" i="6040"/>
  <c r="V84" i="6040"/>
  <c r="V92" i="6040"/>
  <c r="V100" i="6040"/>
  <c r="V108" i="6040"/>
  <c r="V110" i="6040"/>
  <c r="V118" i="6040"/>
  <c r="V126" i="6040"/>
  <c r="V5" i="6040"/>
  <c r="V80" i="6040"/>
  <c r="V96" i="6040"/>
  <c r="V114" i="6040"/>
  <c r="V116" i="6040"/>
  <c r="V130" i="6040"/>
  <c r="V132" i="6040"/>
  <c r="V140" i="6040"/>
  <c r="V148" i="6040"/>
  <c r="V156" i="6040"/>
  <c r="V164" i="6040"/>
  <c r="V172" i="6040"/>
  <c r="V180" i="6040"/>
  <c r="V34" i="6040"/>
  <c r="V36" i="6040"/>
  <c r="V50" i="6040"/>
  <c r="V52" i="6040"/>
  <c r="V82" i="6040"/>
  <c r="V98" i="6040"/>
  <c r="V134" i="6040"/>
  <c r="V142" i="6040"/>
  <c r="V150" i="6040"/>
  <c r="V158" i="6040"/>
  <c r="V166" i="6040"/>
  <c r="V174" i="6040"/>
  <c r="V182" i="6040"/>
  <c r="V26" i="6040"/>
  <c r="V66" i="6040"/>
  <c r="V88" i="6040"/>
  <c r="V90" i="6040"/>
  <c r="V124" i="6040"/>
  <c r="V136" i="6040"/>
  <c r="V152" i="6040"/>
  <c r="V168" i="6040"/>
  <c r="V184" i="6040"/>
  <c r="V28" i="6040"/>
  <c r="V68" i="6040"/>
  <c r="V138" i="6040"/>
  <c r="V154" i="6040"/>
  <c r="V170" i="6040"/>
  <c r="J26" i="6040"/>
  <c r="C25" i="6040" s="1"/>
  <c r="V44" i="6040"/>
  <c r="V104" i="6040"/>
  <c r="V122" i="6040"/>
  <c r="V146" i="6040"/>
  <c r="V176" i="6040"/>
  <c r="V42" i="6040"/>
  <c r="V74" i="6040"/>
  <c r="V160" i="6040"/>
  <c r="V162" i="6040"/>
  <c r="V72" i="6040"/>
  <c r="V106" i="6040"/>
  <c r="V144" i="6040"/>
  <c r="V178" i="6040"/>
  <c r="K355" i="1"/>
  <c r="H1248" i="1" s="1"/>
  <c r="D355" i="1"/>
  <c r="D334" i="1"/>
  <c r="D517" i="1"/>
  <c r="D518" i="1"/>
  <c r="N207" i="6040"/>
  <c r="N204" i="6040"/>
  <c r="N203" i="6040"/>
  <c r="N231" i="6040"/>
  <c r="F136" i="52"/>
  <c r="F134" i="52"/>
  <c r="J421" i="1" l="1"/>
  <c r="I828" i="1" s="1"/>
  <c r="G1220" i="1"/>
  <c r="I72" i="6041"/>
  <c r="E27" i="52"/>
  <c r="G676" i="1"/>
  <c r="K1323" i="1" s="1"/>
  <c r="E55" i="52"/>
  <c r="E29" i="52"/>
  <c r="E56" i="52"/>
  <c r="F587" i="52"/>
  <c r="F599" i="52"/>
  <c r="F593" i="52"/>
  <c r="C77" i="52"/>
  <c r="I1147" i="1"/>
  <c r="G1149" i="1" s="1"/>
  <c r="D1702" i="1"/>
  <c r="H1147" i="1"/>
  <c r="D1593" i="1"/>
  <c r="D1509" i="1"/>
  <c r="I1727" i="1"/>
  <c r="D1728" i="1"/>
  <c r="K1723" i="1"/>
  <c r="D1563" i="1"/>
  <c r="D1564" i="1" s="1"/>
  <c r="I1562" i="1"/>
  <c r="E1558" i="1"/>
  <c r="D1188" i="1"/>
  <c r="D1453" i="1"/>
  <c r="F1088" i="1"/>
  <c r="E38" i="52"/>
  <c r="F575" i="52"/>
  <c r="F569" i="52"/>
  <c r="F539" i="52"/>
  <c r="F545" i="52"/>
  <c r="F581" i="52"/>
  <c r="F563" i="52"/>
  <c r="F551" i="52"/>
  <c r="F557" i="52"/>
  <c r="E53" i="52"/>
  <c r="F53" i="52"/>
  <c r="G217" i="6041"/>
  <c r="I217" i="6041" s="1"/>
  <c r="A239" i="6041" s="1"/>
  <c r="U5" i="6040"/>
  <c r="AA5" i="6040" s="1"/>
  <c r="J25" i="6040"/>
  <c r="F1002" i="1"/>
  <c r="J564" i="1"/>
  <c r="B564" i="1"/>
  <c r="F137" i="52"/>
  <c r="F139" i="52" s="1"/>
  <c r="F168" i="52"/>
  <c r="F200" i="52"/>
  <c r="F152" i="52"/>
  <c r="F184" i="52"/>
  <c r="F135" i="52"/>
  <c r="F150" i="52"/>
  <c r="F198" i="52"/>
  <c r="F166" i="52"/>
  <c r="F182" i="52"/>
  <c r="E144" i="52"/>
  <c r="E159" i="52"/>
  <c r="E191" i="52"/>
  <c r="E207" i="52"/>
  <c r="E175" i="52"/>
  <c r="E181" i="52"/>
  <c r="E165" i="52"/>
  <c r="E149" i="52"/>
  <c r="E197" i="52"/>
  <c r="E136" i="52"/>
  <c r="E167" i="52"/>
  <c r="E199" i="52"/>
  <c r="E183" i="52"/>
  <c r="E151" i="52"/>
  <c r="E36" i="52"/>
  <c r="E52" i="52"/>
  <c r="G216" i="6041"/>
  <c r="E1006" i="1"/>
  <c r="E19" i="52"/>
  <c r="E18" i="52"/>
  <c r="G72" i="6041"/>
  <c r="G828" i="1"/>
  <c r="F1355" i="1"/>
  <c r="H1355" i="1"/>
  <c r="J1355" i="1" s="1"/>
  <c r="D1221" i="1"/>
  <c r="J1236" i="1" s="1"/>
  <c r="A1808" i="1"/>
  <c r="F31" i="52"/>
  <c r="F20" i="52"/>
  <c r="F15" i="52"/>
  <c r="F28" i="52"/>
  <c r="F55" i="52"/>
  <c r="F27" i="52"/>
  <c r="F29" i="52"/>
  <c r="F24" i="52"/>
  <c r="F33" i="52"/>
  <c r="F40" i="52"/>
  <c r="F46" i="52" s="1"/>
  <c r="E42" i="52"/>
  <c r="E48" i="52" s="1"/>
  <c r="D523" i="1"/>
  <c r="D522" i="1"/>
  <c r="H522" i="1"/>
  <c r="F635" i="1"/>
  <c r="J635" i="1"/>
  <c r="J630" i="1"/>
  <c r="D528" i="1"/>
  <c r="D527" i="1"/>
  <c r="H528" i="1"/>
  <c r="D1265" i="1" s="1"/>
  <c r="E10" i="52"/>
  <c r="F56" i="52"/>
  <c r="B721" i="1"/>
  <c r="F13" i="52"/>
  <c r="F42" i="52"/>
  <c r="F48" i="52" s="1"/>
  <c r="F18" i="52"/>
  <c r="F38" i="52"/>
  <c r="J625" i="1"/>
  <c r="F629" i="1"/>
  <c r="F639" i="1"/>
  <c r="F634" i="1"/>
  <c r="F626" i="1"/>
  <c r="F630" i="1"/>
  <c r="F640" i="1"/>
  <c r="J634" i="1"/>
  <c r="F625" i="1"/>
  <c r="J626" i="1"/>
  <c r="I1616" i="1"/>
  <c r="K1613" i="1"/>
  <c r="D1617" i="1"/>
  <c r="E86" i="52"/>
  <c r="E87" i="52" s="1"/>
  <c r="E127" i="52" s="1"/>
  <c r="E83" i="52"/>
  <c r="E124" i="52" s="1"/>
  <c r="E125" i="52" s="1"/>
  <c r="E128" i="52" s="1"/>
  <c r="E129" i="52" s="1"/>
  <c r="E69" i="52"/>
  <c r="F23" i="52"/>
  <c r="F22" i="52"/>
  <c r="E80" i="52"/>
  <c r="E77" i="52"/>
  <c r="E78" i="52" s="1"/>
  <c r="J629" i="1"/>
  <c r="J640" i="1"/>
  <c r="E1503" i="1"/>
  <c r="I1507" i="1"/>
  <c r="H1254" i="1"/>
  <c r="E64" i="52"/>
  <c r="E72" i="52"/>
  <c r="G1248" i="1"/>
  <c r="D513" i="1"/>
  <c r="D512" i="1"/>
  <c r="H513" i="1"/>
  <c r="H512" i="1"/>
  <c r="F87" i="52"/>
  <c r="F127" i="52" s="1"/>
  <c r="F128" i="52" s="1"/>
  <c r="F88" i="52"/>
  <c r="T15" i="3"/>
  <c r="H1356" i="1"/>
  <c r="J1356" i="1" s="1"/>
  <c r="F731" i="1"/>
  <c r="A1826" i="1"/>
  <c r="F1356" i="1"/>
  <c r="I731" i="1"/>
  <c r="G829" i="1"/>
  <c r="F536" i="52"/>
  <c r="F534" i="52"/>
  <c r="E100" i="52"/>
  <c r="E99" i="52" s="1"/>
  <c r="E101" i="52" s="1"/>
  <c r="E94" i="52"/>
  <c r="Z5" i="6040"/>
  <c r="D1672" i="1"/>
  <c r="I1671" i="1"/>
  <c r="K1667" i="1"/>
  <c r="T6" i="6040"/>
  <c r="Z6" i="6040" s="1"/>
  <c r="O9" i="6040"/>
  <c r="P8" i="6040"/>
  <c r="I727" i="1"/>
  <c r="F727" i="1"/>
  <c r="G1250" i="1"/>
  <c r="H1250" i="1"/>
  <c r="X7" i="6040"/>
  <c r="Y7" i="6040" s="1"/>
  <c r="Q7" i="6040"/>
  <c r="H1252" i="1"/>
  <c r="G1252" i="1"/>
  <c r="G190" i="6041"/>
  <c r="A238" i="6041" s="1"/>
  <c r="G189" i="6041"/>
  <c r="E134" i="52"/>
  <c r="T12" i="3"/>
  <c r="H1256" i="1"/>
  <c r="G1256" i="1"/>
  <c r="K1324" i="1" l="1"/>
  <c r="A772" i="1"/>
  <c r="D1324" i="1"/>
  <c r="D1323" i="1"/>
  <c r="A1819" i="1"/>
  <c r="D1729" i="1"/>
  <c r="A1849" i="1" s="1"/>
  <c r="F594" i="52"/>
  <c r="F588" i="52"/>
  <c r="F600" i="52"/>
  <c r="F596" i="52"/>
  <c r="F602" i="52"/>
  <c r="F590" i="52"/>
  <c r="A1827" i="1"/>
  <c r="E535" i="52"/>
  <c r="E131" i="52"/>
  <c r="E110" i="52"/>
  <c r="E107" i="52"/>
  <c r="E108" i="52" s="1"/>
  <c r="E533" i="52"/>
  <c r="D1150" i="1"/>
  <c r="D1155" i="1" s="1"/>
  <c r="E1155" i="1" s="1"/>
  <c r="I1598" i="1"/>
  <c r="G1600" i="1" s="1"/>
  <c r="H1598" i="1"/>
  <c r="D1454" i="1"/>
  <c r="I1707" i="1"/>
  <c r="D1710" i="1" s="1"/>
  <c r="H1707" i="1"/>
  <c r="F140" i="52"/>
  <c r="F145" i="52" s="1"/>
  <c r="F558" i="52"/>
  <c r="F582" i="52"/>
  <c r="F576" i="52"/>
  <c r="F546" i="52"/>
  <c r="F540" i="52"/>
  <c r="F552" i="52"/>
  <c r="F570" i="52"/>
  <c r="F564" i="52"/>
  <c r="F537" i="52"/>
  <c r="F554" i="52"/>
  <c r="F560" i="52"/>
  <c r="F572" i="52"/>
  <c r="F566" i="52"/>
  <c r="F542" i="52"/>
  <c r="F584" i="52"/>
  <c r="F548" i="52"/>
  <c r="F578" i="52"/>
  <c r="F1023" i="1"/>
  <c r="H1019" i="1" s="1"/>
  <c r="F1020" i="1" s="1"/>
  <c r="E1015" i="1" s="1"/>
  <c r="E1026" i="1" s="1"/>
  <c r="D1029" i="1"/>
  <c r="D1673" i="1"/>
  <c r="A1835" i="1" s="1"/>
  <c r="D1618" i="1"/>
  <c r="A1843" i="1" s="1"/>
  <c r="S1233" i="1"/>
  <c r="F203" i="52"/>
  <c r="F155" i="52"/>
  <c r="F171" i="52"/>
  <c r="F187" i="52"/>
  <c r="F151" i="52"/>
  <c r="F183" i="52"/>
  <c r="F167" i="52"/>
  <c r="F199" i="52"/>
  <c r="F201" i="52"/>
  <c r="F153" i="52"/>
  <c r="F169" i="52"/>
  <c r="F185" i="52"/>
  <c r="E137" i="52"/>
  <c r="E140" i="52" s="1"/>
  <c r="E198" i="52"/>
  <c r="E182" i="52"/>
  <c r="E166" i="52"/>
  <c r="E150" i="52"/>
  <c r="E184" i="52"/>
  <c r="E152" i="52"/>
  <c r="E168" i="52"/>
  <c r="E200" i="52"/>
  <c r="F1221" i="1"/>
  <c r="E176" i="52"/>
  <c r="E208" i="52"/>
  <c r="E192" i="52"/>
  <c r="E160" i="52"/>
  <c r="C1237" i="1"/>
  <c r="B1239" i="1" s="1"/>
  <c r="S1239" i="1" s="1"/>
  <c r="K1277" i="1"/>
  <c r="F147" i="52"/>
  <c r="F146" i="52"/>
  <c r="A790" i="1"/>
  <c r="A796" i="1"/>
  <c r="B797" i="1"/>
  <c r="A784" i="1"/>
  <c r="K1265" i="1"/>
  <c r="B791" i="1"/>
  <c r="C37" i="6041"/>
  <c r="B773" i="1"/>
  <c r="B785" i="1"/>
  <c r="B779" i="1"/>
  <c r="D1328" i="1"/>
  <c r="A778" i="1"/>
  <c r="D38" i="6041"/>
  <c r="D39" i="6041" s="1"/>
  <c r="R39" i="6041" s="1"/>
  <c r="R226" i="6041" s="1"/>
  <c r="A250" i="6041" s="1"/>
  <c r="K1328" i="1"/>
  <c r="E84" i="52"/>
  <c r="E88" i="52" s="1"/>
  <c r="E79" i="52"/>
  <c r="D1277" i="1"/>
  <c r="C33" i="6043"/>
  <c r="G73" i="6041"/>
  <c r="C57" i="6043" s="1"/>
  <c r="F129" i="52"/>
  <c r="F125" i="52"/>
  <c r="F737" i="1"/>
  <c r="D737" i="1"/>
  <c r="E65" i="52"/>
  <c r="E70" i="52" s="1"/>
  <c r="E71" i="52"/>
  <c r="U6" i="6040"/>
  <c r="AA6" i="6040" s="1"/>
  <c r="F107" i="52"/>
  <c r="F535" i="52"/>
  <c r="O10" i="6040"/>
  <c r="P9" i="6040"/>
  <c r="E96" i="52"/>
  <c r="E97" i="52" s="1"/>
  <c r="E104" i="52"/>
  <c r="E103" i="52" s="1"/>
  <c r="E105" i="52" s="1"/>
  <c r="K1273" i="1"/>
  <c r="D1273" i="1"/>
  <c r="D1646" i="1"/>
  <c r="K1269" i="1"/>
  <c r="D1269" i="1"/>
  <c r="K1281" i="1"/>
  <c r="D1281" i="1"/>
  <c r="Q8" i="6040"/>
  <c r="X8" i="6040"/>
  <c r="Y8" i="6040" s="1"/>
  <c r="S7" i="6040"/>
  <c r="R7" i="6040"/>
  <c r="E619" i="52" l="1"/>
  <c r="E625" i="52"/>
  <c r="E617" i="52"/>
  <c r="E623" i="52"/>
  <c r="E607" i="52"/>
  <c r="E613" i="52"/>
  <c r="E611" i="52"/>
  <c r="E605" i="52"/>
  <c r="D1051" i="1"/>
  <c r="G1153" i="1"/>
  <c r="K1332" i="1"/>
  <c r="B1333" i="1" s="1"/>
  <c r="S1333" i="1" s="1"/>
  <c r="F597" i="52"/>
  <c r="F591" i="52"/>
  <c r="F603" i="52"/>
  <c r="F589" i="52"/>
  <c r="F601" i="52"/>
  <c r="F595" i="52"/>
  <c r="E587" i="52"/>
  <c r="E593" i="52"/>
  <c r="E599" i="52"/>
  <c r="E581" i="52"/>
  <c r="E569" i="52"/>
  <c r="E575" i="52"/>
  <c r="E601" i="52"/>
  <c r="E595" i="52"/>
  <c r="E589" i="52"/>
  <c r="E571" i="52"/>
  <c r="E583" i="52"/>
  <c r="E577" i="52"/>
  <c r="F204" i="52"/>
  <c r="F156" i="52"/>
  <c r="F188" i="52"/>
  <c r="F172" i="52"/>
  <c r="E117" i="52"/>
  <c r="E116" i="52" s="1"/>
  <c r="E118" i="52" s="1"/>
  <c r="E111" i="52"/>
  <c r="E557" i="52"/>
  <c r="E534" i="52"/>
  <c r="E539" i="52"/>
  <c r="E545" i="52"/>
  <c r="E563" i="52"/>
  <c r="E551" i="52"/>
  <c r="E537" i="52"/>
  <c r="E536" i="52"/>
  <c r="E559" i="52"/>
  <c r="E553" i="52"/>
  <c r="E541" i="52"/>
  <c r="E547" i="52"/>
  <c r="E565" i="52"/>
  <c r="G1709" i="1"/>
  <c r="I1651" i="1"/>
  <c r="H1651" i="1"/>
  <c r="D1716" i="1"/>
  <c r="I1714" i="1"/>
  <c r="F141" i="52"/>
  <c r="F142" i="52" s="1"/>
  <c r="F541" i="52"/>
  <c r="F553" i="52"/>
  <c r="F565" i="52"/>
  <c r="F577" i="52"/>
  <c r="F559" i="52"/>
  <c r="F571" i="52"/>
  <c r="F583" i="52"/>
  <c r="F547" i="52"/>
  <c r="F549" i="52"/>
  <c r="F543" i="52"/>
  <c r="F555" i="52"/>
  <c r="F567" i="52"/>
  <c r="F579" i="52"/>
  <c r="F561" i="52"/>
  <c r="F573" i="52"/>
  <c r="F585" i="52"/>
  <c r="G800" i="1"/>
  <c r="C801" i="1" s="1"/>
  <c r="R801" i="1" s="1"/>
  <c r="F178" i="52"/>
  <c r="F210" i="52"/>
  <c r="F162" i="52"/>
  <c r="F194" i="52"/>
  <c r="F161" i="52"/>
  <c r="F209" i="52"/>
  <c r="F193" i="52"/>
  <c r="F177" i="52"/>
  <c r="F211" i="52"/>
  <c r="F179" i="52"/>
  <c r="F163" i="52"/>
  <c r="F195" i="52"/>
  <c r="E141" i="52"/>
  <c r="E172" i="52"/>
  <c r="E204" i="52"/>
  <c r="E188" i="52"/>
  <c r="E156" i="52"/>
  <c r="E139" i="52"/>
  <c r="E169" i="52"/>
  <c r="E185" i="52"/>
  <c r="E201" i="52"/>
  <c r="E153" i="52"/>
  <c r="F1285" i="1"/>
  <c r="D1332" i="1"/>
  <c r="R1239" i="1"/>
  <c r="F800" i="1"/>
  <c r="S39" i="6041"/>
  <c r="S226" i="6041" s="1"/>
  <c r="A248" i="6041" s="1"/>
  <c r="F108" i="52"/>
  <c r="F113" i="52"/>
  <c r="F741" i="1"/>
  <c r="H741" i="1"/>
  <c r="T7" i="6040"/>
  <c r="U7" i="6040" s="1"/>
  <c r="AA7" i="6040" s="1"/>
  <c r="R8" i="6040"/>
  <c r="S8" i="6040"/>
  <c r="X9" i="6040"/>
  <c r="Y9" i="6040" s="1"/>
  <c r="Q9" i="6040"/>
  <c r="D1601" i="1"/>
  <c r="O11" i="6040"/>
  <c r="P10" i="6040"/>
  <c r="E618" i="52" l="1"/>
  <c r="E624" i="52"/>
  <c r="E621" i="52"/>
  <c r="E627" i="52"/>
  <c r="E620" i="52"/>
  <c r="E626" i="52"/>
  <c r="E609" i="52"/>
  <c r="E615" i="52"/>
  <c r="E614" i="52"/>
  <c r="E608" i="52"/>
  <c r="E612" i="52"/>
  <c r="E606" i="52"/>
  <c r="D1435" i="1"/>
  <c r="D1443" i="1" s="1"/>
  <c r="D1483" i="1"/>
  <c r="D1491" i="1" s="1"/>
  <c r="E1491" i="1" s="1"/>
  <c r="D1538" i="1"/>
  <c r="G1604" i="1"/>
  <c r="D1606" i="1"/>
  <c r="E1606" i="1" s="1"/>
  <c r="R1333" i="1"/>
  <c r="D1060" i="1"/>
  <c r="E594" i="52"/>
  <c r="E600" i="52"/>
  <c r="E588" i="52"/>
  <c r="E582" i="52"/>
  <c r="E576" i="52"/>
  <c r="E570" i="52"/>
  <c r="E590" i="52"/>
  <c r="E602" i="52"/>
  <c r="E596" i="52"/>
  <c r="E584" i="52"/>
  <c r="E572" i="52"/>
  <c r="E578" i="52"/>
  <c r="E591" i="52"/>
  <c r="E603" i="52"/>
  <c r="E597" i="52"/>
  <c r="E573" i="52"/>
  <c r="E579" i="52"/>
  <c r="E585" i="52"/>
  <c r="E567" i="52"/>
  <c r="E555" i="52"/>
  <c r="E549" i="52"/>
  <c r="E561" i="52"/>
  <c r="E543" i="52"/>
  <c r="E540" i="52"/>
  <c r="E564" i="52"/>
  <c r="E558" i="52"/>
  <c r="E552" i="52"/>
  <c r="E546" i="52"/>
  <c r="E560" i="52"/>
  <c r="E548" i="52"/>
  <c r="E566" i="52"/>
  <c r="E554" i="52"/>
  <c r="E542" i="52"/>
  <c r="E113" i="52"/>
  <c r="E114" i="52" s="1"/>
  <c r="E121" i="52"/>
  <c r="E120" i="52" s="1"/>
  <c r="E122" i="52" s="1"/>
  <c r="F189" i="52"/>
  <c r="F157" i="52"/>
  <c r="F205" i="52"/>
  <c r="F173" i="52"/>
  <c r="F144" i="52"/>
  <c r="F176" i="52" s="1"/>
  <c r="S801" i="1"/>
  <c r="F143" i="52"/>
  <c r="F190" i="52"/>
  <c r="F206" i="52"/>
  <c r="F158" i="52"/>
  <c r="F174" i="52"/>
  <c r="E147" i="52"/>
  <c r="E187" i="52"/>
  <c r="E171" i="52"/>
  <c r="E203" i="52"/>
  <c r="E155" i="52"/>
  <c r="E142" i="52"/>
  <c r="E157" i="52"/>
  <c r="E189" i="52"/>
  <c r="E173" i="52"/>
  <c r="E205" i="52"/>
  <c r="E746" i="1"/>
  <c r="F747" i="1"/>
  <c r="Z7" i="6040"/>
  <c r="A249" i="6041"/>
  <c r="F131" i="52"/>
  <c r="F114" i="52"/>
  <c r="F110" i="52"/>
  <c r="T8" i="6040"/>
  <c r="U8" i="6040" s="1"/>
  <c r="D1654" i="1"/>
  <c r="G1653" i="1"/>
  <c r="O12" i="6040"/>
  <c r="P11" i="6040"/>
  <c r="Q10" i="6040"/>
  <c r="X10" i="6040"/>
  <c r="S9" i="6040"/>
  <c r="R9" i="6040"/>
  <c r="I1446" i="1" l="1"/>
  <c r="E1443" i="1"/>
  <c r="I947" i="1"/>
  <c r="D948" i="1"/>
  <c r="A1817" i="1" s="1"/>
  <c r="E1060" i="1"/>
  <c r="E1056" i="1"/>
  <c r="F1056" i="1" s="1"/>
  <c r="E1439" i="1"/>
  <c r="F1439" i="1" s="1"/>
  <c r="E1487" i="1"/>
  <c r="F1487" i="1" s="1"/>
  <c r="D1546" i="1"/>
  <c r="D1551" i="1" s="1"/>
  <c r="A1847" i="1" s="1"/>
  <c r="E1542" i="1"/>
  <c r="F1542" i="1" s="1"/>
  <c r="F192" i="52"/>
  <c r="F208" i="52"/>
  <c r="F160" i="52"/>
  <c r="D1447" i="1"/>
  <c r="A1841" i="1" s="1"/>
  <c r="F159" i="52"/>
  <c r="F191" i="52"/>
  <c r="F175" i="52"/>
  <c r="F207" i="52"/>
  <c r="E145" i="52"/>
  <c r="E174" i="52"/>
  <c r="E206" i="52"/>
  <c r="E158" i="52"/>
  <c r="E190" i="52"/>
  <c r="E163" i="52"/>
  <c r="E211" i="52"/>
  <c r="E195" i="52"/>
  <c r="E179" i="52"/>
  <c r="A770" i="1"/>
  <c r="B783" i="1"/>
  <c r="K1272" i="1"/>
  <c r="D1268" i="1"/>
  <c r="A776" i="1"/>
  <c r="D35" i="6041"/>
  <c r="K1268" i="1"/>
  <c r="C34" i="6041"/>
  <c r="K1264" i="1"/>
  <c r="D1272" i="1"/>
  <c r="B777" i="1"/>
  <c r="D1264" i="1"/>
  <c r="B771" i="1"/>
  <c r="A782" i="1"/>
  <c r="D1276" i="1"/>
  <c r="D1327" i="1"/>
  <c r="A794" i="1"/>
  <c r="K1276" i="1"/>
  <c r="A788" i="1"/>
  <c r="B789" i="1"/>
  <c r="D1280" i="1"/>
  <c r="B795" i="1"/>
  <c r="K1327" i="1"/>
  <c r="K1280" i="1"/>
  <c r="F117" i="52"/>
  <c r="F111" i="52"/>
  <c r="F121" i="52" s="1"/>
  <c r="P12" i="6040"/>
  <c r="O13" i="6040"/>
  <c r="Y10" i="6040"/>
  <c r="AA8" i="6040"/>
  <c r="T9" i="6040"/>
  <c r="U9" i="6040" s="1"/>
  <c r="S10" i="6040"/>
  <c r="R10" i="6040"/>
  <c r="Z8" i="6040"/>
  <c r="X11" i="6040"/>
  <c r="Y11" i="6040" s="1"/>
  <c r="Q11" i="6040"/>
  <c r="I1658" i="1"/>
  <c r="D1660" i="1"/>
  <c r="D1496" i="1" l="1"/>
  <c r="A1833" i="1" s="1"/>
  <c r="I1495" i="1"/>
  <c r="I1063" i="1"/>
  <c r="D1064" i="1"/>
  <c r="A1818" i="1" s="1"/>
  <c r="I1550" i="1"/>
  <c r="E146" i="52"/>
  <c r="E193" i="52"/>
  <c r="E209" i="52"/>
  <c r="E177" i="52"/>
  <c r="E161" i="52"/>
  <c r="D1331" i="1"/>
  <c r="K1331" i="1"/>
  <c r="H1354" i="1" s="1"/>
  <c r="G71" i="6041"/>
  <c r="G220" i="6041"/>
  <c r="A242" i="6041"/>
  <c r="F220" i="6041"/>
  <c r="G799" i="1"/>
  <c r="F1354" i="1" s="1"/>
  <c r="F799" i="1"/>
  <c r="G1284" i="1"/>
  <c r="F1284" i="1"/>
  <c r="G1285" i="1"/>
  <c r="F120" i="52"/>
  <c r="F122" i="52"/>
  <c r="F116" i="52"/>
  <c r="F118" i="52"/>
  <c r="P13" i="6040"/>
  <c r="O14" i="6040"/>
  <c r="S11" i="6040"/>
  <c r="R11" i="6040"/>
  <c r="AA9" i="6040"/>
  <c r="Z9" i="6040"/>
  <c r="Q12" i="6040"/>
  <c r="X12" i="6040"/>
  <c r="Y12" i="6040" s="1"/>
  <c r="T10" i="6040"/>
  <c r="U10" i="6040" s="1"/>
  <c r="A1832" i="1" l="1"/>
  <c r="D1516" i="1"/>
  <c r="D1679" i="1"/>
  <c r="J1354" i="1"/>
  <c r="E162" i="52"/>
  <c r="E194" i="52"/>
  <c r="E210" i="52"/>
  <c r="E178" i="52"/>
  <c r="A1823" i="1"/>
  <c r="E57" i="6043"/>
  <c r="G1295" i="1"/>
  <c r="C8" i="3" s="1"/>
  <c r="F10" i="3" s="1"/>
  <c r="A1822" i="1"/>
  <c r="E1516" i="1"/>
  <c r="I1517" i="1" s="1"/>
  <c r="J223" i="6041"/>
  <c r="I223" i="6041"/>
  <c r="F1679" i="1"/>
  <c r="E1461" i="1"/>
  <c r="I1462" i="1" s="1"/>
  <c r="A1839" i="1"/>
  <c r="G827" i="1"/>
  <c r="D1194" i="1" s="1"/>
  <c r="D1461" i="1"/>
  <c r="F1624" i="1"/>
  <c r="D1624" i="1"/>
  <c r="T11" i="6040"/>
  <c r="Z11" i="6040" s="1"/>
  <c r="R12" i="6040"/>
  <c r="S12" i="6040"/>
  <c r="Z10" i="6040"/>
  <c r="O15" i="6040"/>
  <c r="P14" i="6040"/>
  <c r="AA10" i="6040"/>
  <c r="X13" i="6040"/>
  <c r="Y13" i="6040" s="1"/>
  <c r="Q13" i="6040"/>
  <c r="F1735" i="1" l="1"/>
  <c r="D1735" i="1"/>
  <c r="A1846" i="1"/>
  <c r="D1571" i="1"/>
  <c r="E1571" i="1"/>
  <c r="I1625" i="1"/>
  <c r="A1844" i="1" s="1"/>
  <c r="F1625" i="1"/>
  <c r="F1462" i="1"/>
  <c r="F1517" i="1"/>
  <c r="F1680" i="1"/>
  <c r="I1680" i="1"/>
  <c r="A1836" i="1" s="1"/>
  <c r="E33" i="6043"/>
  <c r="D1096" i="1"/>
  <c r="E1096" i="1"/>
  <c r="I1196" i="1"/>
  <c r="J1196" i="1" s="1"/>
  <c r="F1194" i="1"/>
  <c r="F1196" i="1" s="1"/>
  <c r="I827" i="1"/>
  <c r="K223" i="6041"/>
  <c r="D224" i="6041"/>
  <c r="A245" i="6041"/>
  <c r="I16" i="3"/>
  <c r="I17" i="3" s="1"/>
  <c r="I18" i="3" s="1"/>
  <c r="L9" i="3"/>
  <c r="I8" i="3"/>
  <c r="I9" i="3" s="1"/>
  <c r="I10" i="3" s="1"/>
  <c r="U11" i="6040"/>
  <c r="AA11" i="6040" s="1"/>
  <c r="S13" i="6040"/>
  <c r="R13" i="6040"/>
  <c r="Q14" i="6040"/>
  <c r="X14" i="6040"/>
  <c r="Y14" i="6040" s="1"/>
  <c r="O16" i="6040"/>
  <c r="P15" i="6040"/>
  <c r="T12" i="6040"/>
  <c r="I1736" i="1" l="1"/>
  <c r="F1736" i="1"/>
  <c r="F1572" i="1"/>
  <c r="I1572" i="1"/>
  <c r="F1097" i="1"/>
  <c r="I1097" i="1"/>
  <c r="A1828" i="1" s="1"/>
  <c r="L8" i="3"/>
  <c r="J1680" i="1"/>
  <c r="C1682" i="1"/>
  <c r="R1682" i="1" s="1"/>
  <c r="U15" i="3"/>
  <c r="U12" i="3"/>
  <c r="U14" i="3"/>
  <c r="U13" i="3"/>
  <c r="C1627" i="1"/>
  <c r="J1625" i="1"/>
  <c r="C1464" i="1"/>
  <c r="J1462" i="1"/>
  <c r="R224" i="6041"/>
  <c r="S224" i="6041"/>
  <c r="J1517" i="1"/>
  <c r="C1519" i="1"/>
  <c r="C1197" i="1"/>
  <c r="T13" i="6040"/>
  <c r="Z13" i="6040" s="1"/>
  <c r="X15" i="6040"/>
  <c r="Y15" i="6040" s="1"/>
  <c r="Q15" i="6040"/>
  <c r="R14" i="6040"/>
  <c r="S14" i="6040"/>
  <c r="O17" i="6040"/>
  <c r="P16" i="6040"/>
  <c r="Z12" i="6040"/>
  <c r="U12" i="6040"/>
  <c r="AA12" i="6040" s="1"/>
  <c r="A1850" i="1" l="1"/>
  <c r="J1736" i="1"/>
  <c r="C1738" i="1"/>
  <c r="C1574" i="1"/>
  <c r="J1572" i="1"/>
  <c r="C1298" i="1"/>
  <c r="A1792" i="1" s="1"/>
  <c r="M8" i="3"/>
  <c r="S1682" i="1"/>
  <c r="C1098" i="1"/>
  <c r="J1097" i="1"/>
  <c r="R1464" i="1"/>
  <c r="S1464" i="1"/>
  <c r="R1197" i="1"/>
  <c r="S1197" i="1"/>
  <c r="R1519" i="1"/>
  <c r="S1519" i="1"/>
  <c r="S1627" i="1"/>
  <c r="R1627" i="1"/>
  <c r="U13" i="6040"/>
  <c r="AA13" i="6040" s="1"/>
  <c r="T14" i="6040"/>
  <c r="U14" i="6040" s="1"/>
  <c r="Q16" i="6040"/>
  <c r="X16" i="6040"/>
  <c r="O18" i="6040"/>
  <c r="P17" i="6040"/>
  <c r="R15" i="6040"/>
  <c r="S15" i="6040"/>
  <c r="R1738" i="1" l="1"/>
  <c r="S1738" i="1"/>
  <c r="S1574" i="1"/>
  <c r="R1574" i="1"/>
  <c r="Z14" i="6040"/>
  <c r="S1098" i="1"/>
  <c r="R1098" i="1"/>
  <c r="AA14" i="6040"/>
  <c r="X17" i="6040"/>
  <c r="Y17" i="6040" s="1"/>
  <c r="Q17" i="6040"/>
  <c r="P18" i="6040"/>
  <c r="O19" i="6040"/>
  <c r="R16" i="6040"/>
  <c r="S16" i="6040"/>
  <c r="T15" i="6040"/>
  <c r="U15" i="6040" s="1"/>
  <c r="Y16" i="6040"/>
  <c r="AA15" i="6040" l="1"/>
  <c r="R17" i="6040"/>
  <c r="S17" i="6040"/>
  <c r="Z15" i="6040"/>
  <c r="T16" i="6040"/>
  <c r="Z16" i="6040" s="1"/>
  <c r="O20" i="6040"/>
  <c r="P19" i="6040"/>
  <c r="Q18" i="6040"/>
  <c r="X18" i="6040"/>
  <c r="U16" i="6040" l="1"/>
  <c r="AA16" i="6040" s="1"/>
  <c r="O21" i="6040"/>
  <c r="P20" i="6040"/>
  <c r="R18" i="6040"/>
  <c r="S18" i="6040"/>
  <c r="Y18" i="6040"/>
  <c r="X19" i="6040"/>
  <c r="Y19" i="6040" s="1"/>
  <c r="Q19" i="6040"/>
  <c r="T17" i="6040"/>
  <c r="U17" i="6040" l="1"/>
  <c r="AA17" i="6040" s="1"/>
  <c r="T18" i="6040"/>
  <c r="Z18" i="6040" s="1"/>
  <c r="Z17" i="6040"/>
  <c r="P21" i="6040"/>
  <c r="O22" i="6040"/>
  <c r="R19" i="6040"/>
  <c r="S19" i="6040"/>
  <c r="Q20" i="6040"/>
  <c r="X20" i="6040"/>
  <c r="Y20" i="6040" s="1"/>
  <c r="U18" i="6040" l="1"/>
  <c r="AA18" i="6040" s="1"/>
  <c r="T19" i="6040"/>
  <c r="U19" i="6040" s="1"/>
  <c r="AA19" i="6040" s="1"/>
  <c r="O23" i="6040"/>
  <c r="P22" i="6040"/>
  <c r="R20" i="6040"/>
  <c r="S20" i="6040"/>
  <c r="X21" i="6040"/>
  <c r="Q21" i="6040"/>
  <c r="Z19" i="6040" l="1"/>
  <c r="R21" i="6040"/>
  <c r="S21" i="6040"/>
  <c r="Y21" i="6040"/>
  <c r="T20" i="6040"/>
  <c r="Z20" i="6040" s="1"/>
  <c r="Q22" i="6040"/>
  <c r="X22" i="6040"/>
  <c r="O24" i="6040"/>
  <c r="P23" i="6040"/>
  <c r="U20" i="6040" l="1"/>
  <c r="AA20" i="6040" s="1"/>
  <c r="X23" i="6040"/>
  <c r="Q23" i="6040"/>
  <c r="Y22" i="6040"/>
  <c r="T21" i="6040"/>
  <c r="U21" i="6040" s="1"/>
  <c r="R22" i="6040"/>
  <c r="S22" i="6040"/>
  <c r="O25" i="6040"/>
  <c r="P24" i="6040"/>
  <c r="O26" i="6040" l="1"/>
  <c r="P25" i="6040"/>
  <c r="Z21" i="6040"/>
  <c r="AA21" i="6040"/>
  <c r="Q24" i="6040"/>
  <c r="X24" i="6040"/>
  <c r="R23" i="6040"/>
  <c r="S23" i="6040"/>
  <c r="T22" i="6040"/>
  <c r="Z22" i="6040" s="1"/>
  <c r="Y23" i="6040"/>
  <c r="U22" i="6040" l="1"/>
  <c r="AA22" i="6040" s="1"/>
  <c r="P26" i="6040"/>
  <c r="O27" i="6040"/>
  <c r="R24" i="6040"/>
  <c r="S24" i="6040"/>
  <c r="T23" i="6040"/>
  <c r="Z23" i="6040" s="1"/>
  <c r="X25" i="6040"/>
  <c r="Q25" i="6040"/>
  <c r="Y24" i="6040"/>
  <c r="R25" i="6040" l="1"/>
  <c r="S25" i="6040"/>
  <c r="O28" i="6040"/>
  <c r="P27" i="6040"/>
  <c r="X26" i="6040"/>
  <c r="Q26" i="6040"/>
  <c r="Y25" i="6040"/>
  <c r="U23" i="6040"/>
  <c r="AA23" i="6040" s="1"/>
  <c r="T24" i="6040"/>
  <c r="Z24" i="6040" s="1"/>
  <c r="U24" i="6040" l="1"/>
  <c r="AA24" i="6040" s="1"/>
  <c r="X27" i="6040"/>
  <c r="Q27" i="6040"/>
  <c r="T25" i="6040"/>
  <c r="U25" i="6040" s="1"/>
  <c r="Y26" i="6040"/>
  <c r="P28" i="6040"/>
  <c r="O29" i="6040"/>
  <c r="S26" i="6040"/>
  <c r="R26" i="6040"/>
  <c r="Z25" i="6040" l="1"/>
  <c r="AA25" i="6040"/>
  <c r="O30" i="6040"/>
  <c r="P29" i="6040"/>
  <c r="T26" i="6040"/>
  <c r="Z26" i="6040" s="1"/>
  <c r="X28" i="6040"/>
  <c r="Q28" i="6040"/>
  <c r="R27" i="6040"/>
  <c r="S27" i="6040"/>
  <c r="Y27" i="6040"/>
  <c r="U26" i="6040" l="1"/>
  <c r="AA26" i="6040" s="1"/>
  <c r="O31" i="6040"/>
  <c r="P30" i="6040"/>
  <c r="S28" i="6040"/>
  <c r="R28" i="6040"/>
  <c r="X29" i="6040"/>
  <c r="Y29" i="6040" s="1"/>
  <c r="Q29" i="6040"/>
  <c r="Y28" i="6040"/>
  <c r="T27" i="6040"/>
  <c r="U27" i="6040" s="1"/>
  <c r="Z27" i="6040" l="1"/>
  <c r="AA27" i="6040"/>
  <c r="X30" i="6040"/>
  <c r="Y30" i="6040" s="1"/>
  <c r="Q30" i="6040"/>
  <c r="T28" i="6040"/>
  <c r="U28" i="6040" s="1"/>
  <c r="R29" i="6040"/>
  <c r="S29" i="6040"/>
  <c r="O32" i="6040"/>
  <c r="P31" i="6040"/>
  <c r="AA28" i="6040" l="1"/>
  <c r="T29" i="6040"/>
  <c r="Z29" i="6040" s="1"/>
  <c r="X31" i="6040"/>
  <c r="Y31" i="6040" s="1"/>
  <c r="Q31" i="6040"/>
  <c r="O33" i="6040"/>
  <c r="P32" i="6040"/>
  <c r="Z28" i="6040"/>
  <c r="S30" i="6040"/>
  <c r="R30" i="6040"/>
  <c r="U29" i="6040" l="1"/>
  <c r="AA29" i="6040" s="1"/>
  <c r="T30" i="6040"/>
  <c r="Z30" i="6040" s="1"/>
  <c r="O34" i="6040"/>
  <c r="P33" i="6040"/>
  <c r="R31" i="6040"/>
  <c r="S31" i="6040"/>
  <c r="X32" i="6040"/>
  <c r="Y32" i="6040" s="1"/>
  <c r="Q32" i="6040"/>
  <c r="X33" i="6040" l="1"/>
  <c r="Q33" i="6040"/>
  <c r="P34" i="6040"/>
  <c r="O35" i="6040"/>
  <c r="S32" i="6040"/>
  <c r="R32" i="6040"/>
  <c r="T31" i="6040"/>
  <c r="Z31" i="6040" s="1"/>
  <c r="U30" i="6040"/>
  <c r="AA30" i="6040" s="1"/>
  <c r="T32" i="6040" l="1"/>
  <c r="U32" i="6040" s="1"/>
  <c r="AA32" i="6040" s="1"/>
  <c r="O36" i="6040"/>
  <c r="P35" i="6040"/>
  <c r="X34" i="6040"/>
  <c r="Y34" i="6040" s="1"/>
  <c r="Q34" i="6040"/>
  <c r="R33" i="6040"/>
  <c r="S33" i="6040"/>
  <c r="U31" i="6040"/>
  <c r="AA31" i="6040" s="1"/>
  <c r="Y33" i="6040"/>
  <c r="Z32" i="6040" l="1"/>
  <c r="O37" i="6040"/>
  <c r="P36" i="6040"/>
  <c r="X35" i="6040"/>
  <c r="Y35" i="6040" s="1"/>
  <c r="Q35" i="6040"/>
  <c r="T33" i="6040"/>
  <c r="U33" i="6040" s="1"/>
  <c r="S34" i="6040"/>
  <c r="R34" i="6040"/>
  <c r="AA33" i="6040" l="1"/>
  <c r="O38" i="6040"/>
  <c r="P37" i="6040"/>
  <c r="Z33" i="6040"/>
  <c r="X36" i="6040"/>
  <c r="Y36" i="6040" s="1"/>
  <c r="Q36" i="6040"/>
  <c r="T34" i="6040"/>
  <c r="Z34" i="6040" s="1"/>
  <c r="R35" i="6040"/>
  <c r="S35" i="6040"/>
  <c r="U34" i="6040" l="1"/>
  <c r="AA34" i="6040" s="1"/>
  <c r="T35" i="6040"/>
  <c r="U35" i="6040" s="1"/>
  <c r="AA35" i="6040" s="1"/>
  <c r="O39" i="6040"/>
  <c r="P38" i="6040"/>
  <c r="S36" i="6040"/>
  <c r="R36" i="6040"/>
  <c r="X37" i="6040"/>
  <c r="Q37" i="6040"/>
  <c r="Z35" i="6040" l="1"/>
  <c r="X38" i="6040"/>
  <c r="Q38" i="6040"/>
  <c r="T36" i="6040"/>
  <c r="U36" i="6040" s="1"/>
  <c r="O40" i="6040"/>
  <c r="P39" i="6040"/>
  <c r="Y37" i="6040"/>
  <c r="R37" i="6040"/>
  <c r="S37" i="6040"/>
  <c r="Z36" i="6040" l="1"/>
  <c r="AA36" i="6040"/>
  <c r="T37" i="6040"/>
  <c r="U37" i="6040" s="1"/>
  <c r="P40" i="6040"/>
  <c r="O41" i="6040"/>
  <c r="Y38" i="6040"/>
  <c r="X39" i="6040"/>
  <c r="Q39" i="6040"/>
  <c r="S38" i="6040"/>
  <c r="R38" i="6040"/>
  <c r="AA37" i="6040" l="1"/>
  <c r="R39" i="6040"/>
  <c r="S39" i="6040"/>
  <c r="Y39" i="6040"/>
  <c r="Z37" i="6040"/>
  <c r="X40" i="6040"/>
  <c r="Y40" i="6040" s="1"/>
  <c r="Q40" i="6040"/>
  <c r="T38" i="6040"/>
  <c r="Z38" i="6040" s="1"/>
  <c r="O42" i="6040"/>
  <c r="P41" i="6040"/>
  <c r="U38" i="6040" l="1"/>
  <c r="AA38" i="6040" s="1"/>
  <c r="X41" i="6040"/>
  <c r="Q41" i="6040"/>
  <c r="P42" i="6040"/>
  <c r="O43" i="6040"/>
  <c r="S40" i="6040"/>
  <c r="R40" i="6040"/>
  <c r="T39" i="6040"/>
  <c r="U39" i="6040" s="1"/>
  <c r="X42" i="6040" l="1"/>
  <c r="Q42" i="6040"/>
  <c r="R41" i="6040"/>
  <c r="S41" i="6040"/>
  <c r="O44" i="6040"/>
  <c r="P43" i="6040"/>
  <c r="AA39" i="6040"/>
  <c r="Z39" i="6040"/>
  <c r="T40" i="6040"/>
  <c r="Z40" i="6040" s="1"/>
  <c r="Y41" i="6040"/>
  <c r="Y42" i="6040" l="1"/>
  <c r="T41" i="6040"/>
  <c r="U41" i="6040" s="1"/>
  <c r="O45" i="6040"/>
  <c r="P44" i="6040"/>
  <c r="U40" i="6040"/>
  <c r="AA40" i="6040" s="1"/>
  <c r="X43" i="6040"/>
  <c r="Q43" i="6040"/>
  <c r="S42" i="6040"/>
  <c r="R42" i="6040"/>
  <c r="AA41" i="6040" l="1"/>
  <c r="X44" i="6040"/>
  <c r="Y44" i="6040" s="1"/>
  <c r="Q44" i="6040"/>
  <c r="T42" i="6040"/>
  <c r="Z42" i="6040" s="1"/>
  <c r="Z41" i="6040"/>
  <c r="R43" i="6040"/>
  <c r="S43" i="6040"/>
  <c r="Y43" i="6040"/>
  <c r="O46" i="6040"/>
  <c r="P45" i="6040"/>
  <c r="S44" i="6040" l="1"/>
  <c r="R44" i="6040"/>
  <c r="X45" i="6040"/>
  <c r="Q45" i="6040"/>
  <c r="O47" i="6040"/>
  <c r="P46" i="6040"/>
  <c r="T43" i="6040"/>
  <c r="Z43" i="6040" s="1"/>
  <c r="U42" i="6040"/>
  <c r="AA42" i="6040" s="1"/>
  <c r="T44" i="6040" l="1"/>
  <c r="Z44" i="6040" s="1"/>
  <c r="O48" i="6040"/>
  <c r="P47" i="6040"/>
  <c r="R45" i="6040"/>
  <c r="S45" i="6040"/>
  <c r="X46" i="6040"/>
  <c r="Q46" i="6040"/>
  <c r="U43" i="6040"/>
  <c r="AA43" i="6040" s="1"/>
  <c r="Y45" i="6040"/>
  <c r="S46" i="6040" l="1"/>
  <c r="R46" i="6040"/>
  <c r="T45" i="6040"/>
  <c r="X47" i="6040"/>
  <c r="Y47" i="6040" s="1"/>
  <c r="Q47" i="6040"/>
  <c r="U44" i="6040"/>
  <c r="AA44" i="6040" s="1"/>
  <c r="Y46" i="6040"/>
  <c r="P48" i="6040"/>
  <c r="O49" i="6040"/>
  <c r="P49" i="6040" l="1"/>
  <c r="O50" i="6040"/>
  <c r="X48" i="6040"/>
  <c r="Y48" i="6040" s="1"/>
  <c r="Q48" i="6040"/>
  <c r="R47" i="6040"/>
  <c r="S47" i="6040"/>
  <c r="T46" i="6040"/>
  <c r="Z45" i="6040"/>
  <c r="U45" i="6040"/>
  <c r="AA45" i="6040" s="1"/>
  <c r="Z46" i="6040" l="1"/>
  <c r="O51" i="6040"/>
  <c r="P50" i="6040"/>
  <c r="S48" i="6040"/>
  <c r="R48" i="6040"/>
  <c r="Q49" i="6040"/>
  <c r="X49" i="6040"/>
  <c r="U46" i="6040"/>
  <c r="AA46" i="6040" s="1"/>
  <c r="T47" i="6040"/>
  <c r="Z47" i="6040" s="1"/>
  <c r="U47" i="6040" l="1"/>
  <c r="AA47" i="6040" s="1"/>
  <c r="T48" i="6040"/>
  <c r="U48" i="6040" s="1"/>
  <c r="R49" i="6040"/>
  <c r="S49" i="6040"/>
  <c r="O52" i="6040"/>
  <c r="P51" i="6040"/>
  <c r="Y49" i="6040"/>
  <c r="X50" i="6040"/>
  <c r="Q50" i="6040"/>
  <c r="Z48" i="6040" l="1"/>
  <c r="Y50" i="6040"/>
  <c r="Q51" i="6040"/>
  <c r="X51" i="6040"/>
  <c r="Y51" i="6040" s="1"/>
  <c r="S50" i="6040"/>
  <c r="R50" i="6040"/>
  <c r="O53" i="6040"/>
  <c r="P52" i="6040"/>
  <c r="T49" i="6040"/>
  <c r="U49" i="6040" s="1"/>
  <c r="AA48" i="6040"/>
  <c r="AA49" i="6040" l="1"/>
  <c r="Z49" i="6040"/>
  <c r="O54" i="6040"/>
  <c r="P53" i="6040"/>
  <c r="T50" i="6040"/>
  <c r="U50" i="6040" s="1"/>
  <c r="R51" i="6040"/>
  <c r="S51" i="6040"/>
  <c r="X52" i="6040"/>
  <c r="Y52" i="6040" s="1"/>
  <c r="Q52" i="6040"/>
  <c r="AA50" i="6040" l="1"/>
  <c r="Z50" i="6040"/>
  <c r="Q53" i="6040"/>
  <c r="X53" i="6040"/>
  <c r="S52" i="6040"/>
  <c r="R52" i="6040"/>
  <c r="T51" i="6040"/>
  <c r="U51" i="6040" s="1"/>
  <c r="P54" i="6040"/>
  <c r="O55" i="6040"/>
  <c r="S53" i="6040" l="1"/>
  <c r="R53" i="6040"/>
  <c r="Z51" i="6040"/>
  <c r="AA51" i="6040"/>
  <c r="X54" i="6040"/>
  <c r="Y54" i="6040" s="1"/>
  <c r="Q54" i="6040"/>
  <c r="O56" i="6040"/>
  <c r="P55" i="6040"/>
  <c r="T52" i="6040"/>
  <c r="U52" i="6040" s="1"/>
  <c r="Y53" i="6040"/>
  <c r="AA52" i="6040" l="1"/>
  <c r="P56" i="6040"/>
  <c r="O57" i="6040"/>
  <c r="T53" i="6040"/>
  <c r="Z53" i="6040" s="1"/>
  <c r="Z52" i="6040"/>
  <c r="Q55" i="6040"/>
  <c r="X55" i="6040"/>
  <c r="S54" i="6040"/>
  <c r="R54" i="6040"/>
  <c r="O58" i="6040" l="1"/>
  <c r="P57" i="6040"/>
  <c r="X56" i="6040"/>
  <c r="Y56" i="6040" s="1"/>
  <c r="Q56" i="6040"/>
  <c r="Y55" i="6040"/>
  <c r="T54" i="6040"/>
  <c r="U54" i="6040" s="1"/>
  <c r="R55" i="6040"/>
  <c r="S55" i="6040"/>
  <c r="U53" i="6040"/>
  <c r="AA53" i="6040" s="1"/>
  <c r="Z54" i="6040" l="1"/>
  <c r="AA54" i="6040"/>
  <c r="Q57" i="6040"/>
  <c r="X57" i="6040"/>
  <c r="T55" i="6040"/>
  <c r="U55" i="6040" s="1"/>
  <c r="S56" i="6040"/>
  <c r="R56" i="6040"/>
  <c r="O59" i="6040"/>
  <c r="P58" i="6040"/>
  <c r="X58" i="6040" l="1"/>
  <c r="Y58" i="6040" s="1"/>
  <c r="Q58" i="6040"/>
  <c r="O60" i="6040"/>
  <c r="P59" i="6040"/>
  <c r="AA55" i="6040"/>
  <c r="Z55" i="6040"/>
  <c r="Y57" i="6040"/>
  <c r="T56" i="6040"/>
  <c r="R57" i="6040"/>
  <c r="S57" i="6040"/>
  <c r="T57" i="6040" l="1"/>
  <c r="U57" i="6040" s="1"/>
  <c r="O61" i="6040"/>
  <c r="P60" i="6040"/>
  <c r="S58" i="6040"/>
  <c r="R58" i="6040"/>
  <c r="Z56" i="6040"/>
  <c r="Q59" i="6040"/>
  <c r="X59" i="6040"/>
  <c r="Y59" i="6040" s="1"/>
  <c r="U56" i="6040"/>
  <c r="AA56" i="6040" s="1"/>
  <c r="AA57" i="6040" l="1"/>
  <c r="Z57" i="6040"/>
  <c r="X60" i="6040"/>
  <c r="Y60" i="6040" s="1"/>
  <c r="Q60" i="6040"/>
  <c r="T58" i="6040"/>
  <c r="R59" i="6040"/>
  <c r="S59" i="6040"/>
  <c r="O62" i="6040"/>
  <c r="P61" i="6040"/>
  <c r="Q61" i="6040" l="1"/>
  <c r="X61" i="6040"/>
  <c r="U58" i="6040"/>
  <c r="AA58" i="6040" s="1"/>
  <c r="T59" i="6040"/>
  <c r="Z59" i="6040" s="1"/>
  <c r="Z58" i="6040"/>
  <c r="O63" i="6040"/>
  <c r="P62" i="6040"/>
  <c r="S60" i="6040"/>
  <c r="R60" i="6040"/>
  <c r="U59" i="6040" l="1"/>
  <c r="AA59" i="6040" s="1"/>
  <c r="S61" i="6040"/>
  <c r="R61" i="6040"/>
  <c r="T60" i="6040"/>
  <c r="U60" i="6040" s="1"/>
  <c r="O64" i="6040"/>
  <c r="P63" i="6040"/>
  <c r="X62" i="6040"/>
  <c r="Y62" i="6040" s="1"/>
  <c r="Q62" i="6040"/>
  <c r="Y61" i="6040"/>
  <c r="Z60" i="6040" l="1"/>
  <c r="AA60" i="6040"/>
  <c r="Q63" i="6040"/>
  <c r="X63" i="6040"/>
  <c r="P64" i="6040"/>
  <c r="O65" i="6040"/>
  <c r="T61" i="6040"/>
  <c r="Z61" i="6040" s="1"/>
  <c r="S62" i="6040"/>
  <c r="R62" i="6040"/>
  <c r="U61" i="6040" l="1"/>
  <c r="AA61" i="6040" s="1"/>
  <c r="O66" i="6040"/>
  <c r="P65" i="6040"/>
  <c r="S63" i="6040"/>
  <c r="R63" i="6040"/>
  <c r="X64" i="6040"/>
  <c r="Y64" i="6040" s="1"/>
  <c r="Q64" i="6040"/>
  <c r="T62" i="6040"/>
  <c r="U62" i="6040" s="1"/>
  <c r="Y63" i="6040"/>
  <c r="Z62" i="6040" l="1"/>
  <c r="AA62" i="6040"/>
  <c r="S64" i="6040"/>
  <c r="R64" i="6040"/>
  <c r="Q65" i="6040"/>
  <c r="X65" i="6040"/>
  <c r="O67" i="6040"/>
  <c r="P66" i="6040"/>
  <c r="T63" i="6040"/>
  <c r="Z63" i="6040" s="1"/>
  <c r="U63" i="6040" l="1"/>
  <c r="AA63" i="6040" s="1"/>
  <c r="R65" i="6040"/>
  <c r="S65" i="6040"/>
  <c r="T64" i="6040"/>
  <c r="Z64" i="6040" s="1"/>
  <c r="X66" i="6040"/>
  <c r="Y66" i="6040" s="1"/>
  <c r="Q66" i="6040"/>
  <c r="O68" i="6040"/>
  <c r="P67" i="6040"/>
  <c r="Y65" i="6040"/>
  <c r="O69" i="6040" l="1"/>
  <c r="P68" i="6040"/>
  <c r="Q67" i="6040"/>
  <c r="X67" i="6040"/>
  <c r="Y67" i="6040" s="1"/>
  <c r="U64" i="6040"/>
  <c r="AA64" i="6040" s="1"/>
  <c r="S66" i="6040"/>
  <c r="R66" i="6040"/>
  <c r="T65" i="6040"/>
  <c r="Z65" i="6040" s="1"/>
  <c r="X68" i="6040" l="1"/>
  <c r="Y68" i="6040" s="1"/>
  <c r="Q68" i="6040"/>
  <c r="U65" i="6040"/>
  <c r="AA65" i="6040" s="1"/>
  <c r="P69" i="6040"/>
  <c r="O70" i="6040"/>
  <c r="T66" i="6040"/>
  <c r="U66" i="6040" s="1"/>
  <c r="AA66" i="6040" s="1"/>
  <c r="R67" i="6040"/>
  <c r="S67" i="6040"/>
  <c r="Z66" i="6040" l="1"/>
  <c r="Q69" i="6040"/>
  <c r="X69" i="6040"/>
  <c r="Y69" i="6040" s="1"/>
  <c r="S68" i="6040"/>
  <c r="R68" i="6040"/>
  <c r="P70" i="6040"/>
  <c r="O71" i="6040"/>
  <c r="T67" i="6040"/>
  <c r="Z67" i="6040" s="1"/>
  <c r="U67" i="6040" l="1"/>
  <c r="AA67" i="6040" s="1"/>
  <c r="X70" i="6040"/>
  <c r="Y70" i="6040" s="1"/>
  <c r="Q70" i="6040"/>
  <c r="S69" i="6040"/>
  <c r="R69" i="6040"/>
  <c r="O72" i="6040"/>
  <c r="P71" i="6040"/>
  <c r="T68" i="6040"/>
  <c r="O73" i="6040" l="1"/>
  <c r="P72" i="6040"/>
  <c r="T69" i="6040"/>
  <c r="U69" i="6040" s="1"/>
  <c r="Z68" i="6040"/>
  <c r="U68" i="6040"/>
  <c r="AA68" i="6040" s="1"/>
  <c r="Q71" i="6040"/>
  <c r="X71" i="6040"/>
  <c r="Y71" i="6040" s="1"/>
  <c r="S70" i="6040"/>
  <c r="R70" i="6040"/>
  <c r="AA69" i="6040" l="1"/>
  <c r="X72" i="6040"/>
  <c r="Y72" i="6040" s="1"/>
  <c r="Q72" i="6040"/>
  <c r="Z69" i="6040"/>
  <c r="O74" i="6040"/>
  <c r="P73" i="6040"/>
  <c r="T70" i="6040"/>
  <c r="Z70" i="6040" s="1"/>
  <c r="R71" i="6040"/>
  <c r="S71" i="6040"/>
  <c r="Q73" i="6040" l="1"/>
  <c r="X73" i="6040"/>
  <c r="U70" i="6040"/>
  <c r="AA70" i="6040" s="1"/>
  <c r="T71" i="6040"/>
  <c r="O75" i="6040"/>
  <c r="P74" i="6040"/>
  <c r="R72" i="6040"/>
  <c r="S72" i="6040"/>
  <c r="X74" i="6040" l="1"/>
  <c r="Y74" i="6040" s="1"/>
  <c r="Q74" i="6040"/>
  <c r="S73" i="6040"/>
  <c r="R73" i="6040"/>
  <c r="O76" i="6040"/>
  <c r="P75" i="6040"/>
  <c r="Y73" i="6040"/>
  <c r="T72" i="6040"/>
  <c r="U72" i="6040" s="1"/>
  <c r="U71" i="6040"/>
  <c r="AA71" i="6040" s="1"/>
  <c r="Z71" i="6040"/>
  <c r="AA72" i="6040" l="1"/>
  <c r="Q75" i="6040"/>
  <c r="X75" i="6040"/>
  <c r="Z72" i="6040"/>
  <c r="P76" i="6040"/>
  <c r="O77" i="6040"/>
  <c r="T73" i="6040"/>
  <c r="R74" i="6040"/>
  <c r="S74" i="6040"/>
  <c r="P77" i="6040" l="1"/>
  <c r="O78" i="6040"/>
  <c r="S75" i="6040"/>
  <c r="R75" i="6040"/>
  <c r="T74" i="6040"/>
  <c r="X76" i="6040"/>
  <c r="Y76" i="6040" s="1"/>
  <c r="Q76" i="6040"/>
  <c r="Y75" i="6040"/>
  <c r="U73" i="6040"/>
  <c r="AA73" i="6040" s="1"/>
  <c r="Z73" i="6040"/>
  <c r="R76" i="6040" l="1"/>
  <c r="S76" i="6040"/>
  <c r="Z74" i="6040"/>
  <c r="Q77" i="6040"/>
  <c r="X77" i="6040"/>
  <c r="T75" i="6040"/>
  <c r="Z75" i="6040" s="1"/>
  <c r="U74" i="6040"/>
  <c r="AA74" i="6040" s="1"/>
  <c r="O79" i="6040"/>
  <c r="P78" i="6040"/>
  <c r="O80" i="6040" l="1"/>
  <c r="P79" i="6040"/>
  <c r="T76" i="6040"/>
  <c r="U76" i="6040" s="1"/>
  <c r="AA76" i="6040" s="1"/>
  <c r="X78" i="6040"/>
  <c r="Y78" i="6040" s="1"/>
  <c r="Q78" i="6040"/>
  <c r="R77" i="6040"/>
  <c r="S77" i="6040"/>
  <c r="U75" i="6040"/>
  <c r="AA75" i="6040" s="1"/>
  <c r="Y77" i="6040"/>
  <c r="Z76" i="6040" l="1"/>
  <c r="T77" i="6040"/>
  <c r="Z77" i="6040" s="1"/>
  <c r="Q79" i="6040"/>
  <c r="X79" i="6040"/>
  <c r="Y79" i="6040" s="1"/>
  <c r="R78" i="6040"/>
  <c r="S78" i="6040"/>
  <c r="O81" i="6040"/>
  <c r="P80" i="6040"/>
  <c r="U77" i="6040" l="1"/>
  <c r="AA77" i="6040" s="1"/>
  <c r="X80" i="6040"/>
  <c r="Q80" i="6040"/>
  <c r="O82" i="6040"/>
  <c r="P81" i="6040"/>
  <c r="R79" i="6040"/>
  <c r="S79" i="6040"/>
  <c r="T78" i="6040"/>
  <c r="Z78" i="6040" s="1"/>
  <c r="U78" i="6040" l="1"/>
  <c r="AA78" i="6040" s="1"/>
  <c r="P82" i="6040"/>
  <c r="O83" i="6040"/>
  <c r="T79" i="6040"/>
  <c r="Z79" i="6040" s="1"/>
  <c r="Y80" i="6040"/>
  <c r="Q81" i="6040"/>
  <c r="X81" i="6040"/>
  <c r="R80" i="6040"/>
  <c r="S80" i="6040"/>
  <c r="U79" i="6040" l="1"/>
  <c r="AA79" i="6040" s="1"/>
  <c r="S81" i="6040"/>
  <c r="R81" i="6040"/>
  <c r="X82" i="6040"/>
  <c r="Y82" i="6040" s="1"/>
  <c r="Q82" i="6040"/>
  <c r="T80" i="6040"/>
  <c r="Z80" i="6040" s="1"/>
  <c r="Y81" i="6040"/>
  <c r="O84" i="6040"/>
  <c r="P83" i="6040"/>
  <c r="U80" i="6040" l="1"/>
  <c r="AA80" i="6040" s="1"/>
  <c r="T81" i="6040"/>
  <c r="U81" i="6040" s="1"/>
  <c r="AA81" i="6040" s="1"/>
  <c r="Q83" i="6040"/>
  <c r="X83" i="6040"/>
  <c r="Y83" i="6040" s="1"/>
  <c r="O85" i="6040"/>
  <c r="P84" i="6040"/>
  <c r="R82" i="6040"/>
  <c r="S82" i="6040"/>
  <c r="Z81" i="6040" l="1"/>
  <c r="T82" i="6040"/>
  <c r="U82" i="6040" s="1"/>
  <c r="AA82" i="6040" s="1"/>
  <c r="X84" i="6040"/>
  <c r="Y84" i="6040" s="1"/>
  <c r="Q84" i="6040"/>
  <c r="P85" i="6040"/>
  <c r="O86" i="6040"/>
  <c r="R83" i="6040"/>
  <c r="S83" i="6040"/>
  <c r="O87" i="6040" l="1"/>
  <c r="P86" i="6040"/>
  <c r="Q85" i="6040"/>
  <c r="X85" i="6040"/>
  <c r="Z82" i="6040"/>
  <c r="T83" i="6040"/>
  <c r="R84" i="6040"/>
  <c r="S84" i="6040"/>
  <c r="R85" i="6040" l="1"/>
  <c r="S85" i="6040"/>
  <c r="O88" i="6040"/>
  <c r="P87" i="6040"/>
  <c r="U83" i="6040"/>
  <c r="AA83" i="6040" s="1"/>
  <c r="Z83" i="6040"/>
  <c r="X86" i="6040"/>
  <c r="Q86" i="6040"/>
  <c r="T84" i="6040"/>
  <c r="U84" i="6040" s="1"/>
  <c r="Y85" i="6040"/>
  <c r="AA84" i="6040" l="1"/>
  <c r="R86" i="6040"/>
  <c r="S86" i="6040"/>
  <c r="Z84" i="6040"/>
  <c r="Y86" i="6040"/>
  <c r="Q87" i="6040"/>
  <c r="X87" i="6040"/>
  <c r="Y87" i="6040" s="1"/>
  <c r="O89" i="6040"/>
  <c r="P88" i="6040"/>
  <c r="T85" i="6040"/>
  <c r="U85" i="6040" s="1"/>
  <c r="X88" i="6040" l="1"/>
  <c r="Y88" i="6040" s="1"/>
  <c r="Q88" i="6040"/>
  <c r="T86" i="6040"/>
  <c r="Z86" i="6040" s="1"/>
  <c r="O90" i="6040"/>
  <c r="P89" i="6040"/>
  <c r="AA85" i="6040"/>
  <c r="R87" i="6040"/>
  <c r="S87" i="6040"/>
  <c r="Z85" i="6040"/>
  <c r="U86" i="6040" l="1"/>
  <c r="AA86" i="6040" s="1"/>
  <c r="Q89" i="6040"/>
  <c r="X89" i="6040"/>
  <c r="Y89" i="6040" s="1"/>
  <c r="R88" i="6040"/>
  <c r="S88" i="6040"/>
  <c r="P90" i="6040"/>
  <c r="O91" i="6040"/>
  <c r="T87" i="6040"/>
  <c r="Z87" i="6040" s="1"/>
  <c r="T88" i="6040" l="1"/>
  <c r="U88" i="6040" s="1"/>
  <c r="AA88" i="6040" s="1"/>
  <c r="O92" i="6040"/>
  <c r="P91" i="6040"/>
  <c r="U87" i="6040"/>
  <c r="AA87" i="6040" s="1"/>
  <c r="X90" i="6040"/>
  <c r="Q90" i="6040"/>
  <c r="S89" i="6040"/>
  <c r="R89" i="6040"/>
  <c r="Z88" i="6040" l="1"/>
  <c r="T89" i="6040"/>
  <c r="U89" i="6040" s="1"/>
  <c r="Y90" i="6040"/>
  <c r="Q91" i="6040"/>
  <c r="X91" i="6040"/>
  <c r="Y91" i="6040" s="1"/>
  <c r="R90" i="6040"/>
  <c r="S90" i="6040"/>
  <c r="P92" i="6040"/>
  <c r="O93" i="6040"/>
  <c r="Z89" i="6040" l="1"/>
  <c r="T90" i="6040"/>
  <c r="U90" i="6040" s="1"/>
  <c r="X92" i="6040"/>
  <c r="Y92" i="6040" s="1"/>
  <c r="Q92" i="6040"/>
  <c r="S91" i="6040"/>
  <c r="R91" i="6040"/>
  <c r="O94" i="6040"/>
  <c r="P93" i="6040"/>
  <c r="AA89" i="6040"/>
  <c r="Z90" i="6040" l="1"/>
  <c r="AA90" i="6040"/>
  <c r="R92" i="6040"/>
  <c r="S92" i="6040"/>
  <c r="T91" i="6040"/>
  <c r="Z91" i="6040" s="1"/>
  <c r="Q93" i="6040"/>
  <c r="X93" i="6040"/>
  <c r="O95" i="6040"/>
  <c r="P94" i="6040"/>
  <c r="U91" i="6040" l="1"/>
  <c r="AA91" i="6040" s="1"/>
  <c r="O96" i="6040"/>
  <c r="P95" i="6040"/>
  <c r="R93" i="6040"/>
  <c r="S93" i="6040"/>
  <c r="X94" i="6040"/>
  <c r="Q94" i="6040"/>
  <c r="Y93" i="6040"/>
  <c r="T92" i="6040"/>
  <c r="R94" i="6040" l="1"/>
  <c r="S94" i="6040"/>
  <c r="T93" i="6040"/>
  <c r="Z93" i="6040" s="1"/>
  <c r="Q95" i="6040"/>
  <c r="X95" i="6040"/>
  <c r="Y95" i="6040" s="1"/>
  <c r="Z92" i="6040"/>
  <c r="U92" i="6040"/>
  <c r="AA92" i="6040" s="1"/>
  <c r="Y94" i="6040"/>
  <c r="O97" i="6040"/>
  <c r="P96" i="6040"/>
  <c r="U93" i="6040" l="1"/>
  <c r="AA93" i="6040" s="1"/>
  <c r="T94" i="6040"/>
  <c r="U94" i="6040" s="1"/>
  <c r="P97" i="6040"/>
  <c r="O98" i="6040"/>
  <c r="X96" i="6040"/>
  <c r="Q96" i="6040"/>
  <c r="R95" i="6040"/>
  <c r="S95" i="6040"/>
  <c r="Z94" i="6040" l="1"/>
  <c r="AA94" i="6040"/>
  <c r="R96" i="6040"/>
  <c r="S96" i="6040"/>
  <c r="T95" i="6040"/>
  <c r="U95" i="6040" s="1"/>
  <c r="Q97" i="6040"/>
  <c r="X97" i="6040"/>
  <c r="Y97" i="6040" s="1"/>
  <c r="Y96" i="6040"/>
  <c r="P98" i="6040"/>
  <c r="O99" i="6040"/>
  <c r="S97" i="6040" l="1"/>
  <c r="R97" i="6040"/>
  <c r="O100" i="6040"/>
  <c r="P99" i="6040"/>
  <c r="X98" i="6040"/>
  <c r="Q98" i="6040"/>
  <c r="AA95" i="6040"/>
  <c r="Z95" i="6040"/>
  <c r="T96" i="6040"/>
  <c r="Z96" i="6040" s="1"/>
  <c r="U96" i="6040" l="1"/>
  <c r="AA96" i="6040" s="1"/>
  <c r="T97" i="6040"/>
  <c r="Z97" i="6040" s="1"/>
  <c r="Y98" i="6040"/>
  <c r="O101" i="6040"/>
  <c r="P100" i="6040"/>
  <c r="R98" i="6040"/>
  <c r="S98" i="6040"/>
  <c r="Q99" i="6040"/>
  <c r="X99" i="6040"/>
  <c r="Y99" i="6040" s="1"/>
  <c r="U97" i="6040" l="1"/>
  <c r="AA97" i="6040" s="1"/>
  <c r="O102" i="6040"/>
  <c r="P101" i="6040"/>
  <c r="T98" i="6040"/>
  <c r="U98" i="6040" s="1"/>
  <c r="S99" i="6040"/>
  <c r="R99" i="6040"/>
  <c r="X100" i="6040"/>
  <c r="Y100" i="6040" s="1"/>
  <c r="Q100" i="6040"/>
  <c r="AA98" i="6040" l="1"/>
  <c r="Z98" i="6040"/>
  <c r="T99" i="6040"/>
  <c r="U99" i="6040" s="1"/>
  <c r="Q101" i="6040"/>
  <c r="X101" i="6040"/>
  <c r="Y101" i="6040" s="1"/>
  <c r="R100" i="6040"/>
  <c r="S100" i="6040"/>
  <c r="O103" i="6040"/>
  <c r="P102" i="6040"/>
  <c r="O104" i="6040" l="1"/>
  <c r="P103" i="6040"/>
  <c r="R101" i="6040"/>
  <c r="S101" i="6040"/>
  <c r="T100" i="6040"/>
  <c r="U100" i="6040" s="1"/>
  <c r="AA100" i="6040" s="1"/>
  <c r="X102" i="6040"/>
  <c r="Q102" i="6040"/>
  <c r="AA99" i="6040"/>
  <c r="Z99" i="6040"/>
  <c r="Z100" i="6040" l="1"/>
  <c r="T101" i="6040"/>
  <c r="Z101" i="6040" s="1"/>
  <c r="R102" i="6040"/>
  <c r="S102" i="6040"/>
  <c r="Q103" i="6040"/>
  <c r="X103" i="6040"/>
  <c r="Y103" i="6040" s="1"/>
  <c r="Y102" i="6040"/>
  <c r="P104" i="6040"/>
  <c r="O105" i="6040"/>
  <c r="U101" i="6040" l="1"/>
  <c r="AA101" i="6040" s="1"/>
  <c r="O106" i="6040"/>
  <c r="P105" i="6040"/>
  <c r="X104" i="6040"/>
  <c r="Q104" i="6040"/>
  <c r="T102" i="6040"/>
  <c r="Z102" i="6040" s="1"/>
  <c r="R103" i="6040"/>
  <c r="S103" i="6040"/>
  <c r="T103" i="6040" l="1"/>
  <c r="Z103" i="6040" s="1"/>
  <c r="Q105" i="6040"/>
  <c r="X105" i="6040"/>
  <c r="Y105" i="6040" s="1"/>
  <c r="U102" i="6040"/>
  <c r="AA102" i="6040" s="1"/>
  <c r="R104" i="6040"/>
  <c r="S104" i="6040"/>
  <c r="P106" i="6040"/>
  <c r="O107" i="6040"/>
  <c r="Y104" i="6040"/>
  <c r="S105" i="6040" l="1"/>
  <c r="R105" i="6040"/>
  <c r="X106" i="6040"/>
  <c r="Y106" i="6040" s="1"/>
  <c r="Q106" i="6040"/>
  <c r="U103" i="6040"/>
  <c r="AA103" i="6040" s="1"/>
  <c r="T104" i="6040"/>
  <c r="U104" i="6040" s="1"/>
  <c r="O108" i="6040"/>
  <c r="P107" i="6040"/>
  <c r="AA104" i="6040" l="1"/>
  <c r="T105" i="6040"/>
  <c r="U105" i="6040" s="1"/>
  <c r="AA105" i="6040" s="1"/>
  <c r="Q107" i="6040"/>
  <c r="X107" i="6040"/>
  <c r="Y107" i="6040" s="1"/>
  <c r="Z104" i="6040"/>
  <c r="O109" i="6040"/>
  <c r="P108" i="6040"/>
  <c r="R106" i="6040"/>
  <c r="S106" i="6040"/>
  <c r="Z105" i="6040" l="1"/>
  <c r="X108" i="6040"/>
  <c r="Y108" i="6040" s="1"/>
  <c r="Q108" i="6040"/>
  <c r="S107" i="6040"/>
  <c r="R107" i="6040"/>
  <c r="O110" i="6040"/>
  <c r="P109" i="6040"/>
  <c r="T106" i="6040"/>
  <c r="Z106" i="6040" l="1"/>
  <c r="O111" i="6040"/>
  <c r="P110" i="6040"/>
  <c r="R108" i="6040"/>
  <c r="S108" i="6040"/>
  <c r="Q109" i="6040"/>
  <c r="X109" i="6040"/>
  <c r="Y109" i="6040" s="1"/>
  <c r="U106" i="6040"/>
  <c r="AA106" i="6040" s="1"/>
  <c r="T107" i="6040"/>
  <c r="Z107" i="6040" s="1"/>
  <c r="O112" i="6040" l="1"/>
  <c r="P111" i="6040"/>
  <c r="T108" i="6040"/>
  <c r="U108" i="6040" s="1"/>
  <c r="U107" i="6040"/>
  <c r="AA107" i="6040" s="1"/>
  <c r="R109" i="6040"/>
  <c r="S109" i="6040"/>
  <c r="X110" i="6040"/>
  <c r="Y110" i="6040" s="1"/>
  <c r="Q110" i="6040"/>
  <c r="Q111" i="6040" l="1"/>
  <c r="X111" i="6040"/>
  <c r="S110" i="6040"/>
  <c r="R110" i="6040"/>
  <c r="T109" i="6040"/>
  <c r="Z109" i="6040" s="1"/>
  <c r="AA108" i="6040"/>
  <c r="Z108" i="6040"/>
  <c r="P112" i="6040"/>
  <c r="O113" i="6040"/>
  <c r="R111" i="6040" l="1"/>
  <c r="S111" i="6040"/>
  <c r="P113" i="6040"/>
  <c r="O114" i="6040"/>
  <c r="T110" i="6040"/>
  <c r="U110" i="6040" s="1"/>
  <c r="AA110" i="6040" s="1"/>
  <c r="X112" i="6040"/>
  <c r="Y112" i="6040" s="1"/>
  <c r="Q112" i="6040"/>
  <c r="U109" i="6040"/>
  <c r="AA109" i="6040" s="1"/>
  <c r="Y111" i="6040"/>
  <c r="Z110" i="6040" l="1"/>
  <c r="Q113" i="6040"/>
  <c r="X113" i="6040"/>
  <c r="Y113" i="6040" s="1"/>
  <c r="O115" i="6040"/>
  <c r="P114" i="6040"/>
  <c r="S112" i="6040"/>
  <c r="R112" i="6040"/>
  <c r="T111" i="6040"/>
  <c r="Z111" i="6040" s="1"/>
  <c r="T112" i="6040" l="1"/>
  <c r="U112" i="6040" s="1"/>
  <c r="X114" i="6040"/>
  <c r="Q114" i="6040"/>
  <c r="U111" i="6040"/>
  <c r="AA111" i="6040" s="1"/>
  <c r="R113" i="6040"/>
  <c r="S113" i="6040"/>
  <c r="O116" i="6040"/>
  <c r="P115" i="6040"/>
  <c r="Z112" i="6040" l="1"/>
  <c r="O117" i="6040"/>
  <c r="P116" i="6040"/>
  <c r="S114" i="6040"/>
  <c r="R114" i="6040"/>
  <c r="T113" i="6040"/>
  <c r="U113" i="6040" s="1"/>
  <c r="Q115" i="6040"/>
  <c r="X115" i="6040"/>
  <c r="Y114" i="6040"/>
  <c r="AA112" i="6040"/>
  <c r="T114" i="6040" l="1"/>
  <c r="Z114" i="6040" s="1"/>
  <c r="Y115" i="6040"/>
  <c r="X116" i="6040"/>
  <c r="Q116" i="6040"/>
  <c r="R115" i="6040"/>
  <c r="S115" i="6040"/>
  <c r="Z113" i="6040"/>
  <c r="AA113" i="6040"/>
  <c r="O118" i="6040"/>
  <c r="P117" i="6040"/>
  <c r="U114" i="6040" l="1"/>
  <c r="AA114" i="6040" s="1"/>
  <c r="S116" i="6040"/>
  <c r="R116" i="6040"/>
  <c r="Q117" i="6040"/>
  <c r="X117" i="6040"/>
  <c r="Y117" i="6040" s="1"/>
  <c r="T115" i="6040"/>
  <c r="Z115" i="6040" s="1"/>
  <c r="P118" i="6040"/>
  <c r="O119" i="6040"/>
  <c r="Y116" i="6040"/>
  <c r="O120" i="6040" l="1"/>
  <c r="P119" i="6040"/>
  <c r="S117" i="6040"/>
  <c r="R117" i="6040"/>
  <c r="X118" i="6040"/>
  <c r="Y118" i="6040" s="1"/>
  <c r="Q118" i="6040"/>
  <c r="U115" i="6040"/>
  <c r="AA115" i="6040" s="1"/>
  <c r="T116" i="6040"/>
  <c r="Z116" i="6040" s="1"/>
  <c r="U116" i="6040" l="1"/>
  <c r="AA116" i="6040" s="1"/>
  <c r="Q119" i="6040"/>
  <c r="X119" i="6040"/>
  <c r="Y119" i="6040" s="1"/>
  <c r="P120" i="6040"/>
  <c r="O121" i="6040"/>
  <c r="T117" i="6040"/>
  <c r="U117" i="6040" s="1"/>
  <c r="S118" i="6040"/>
  <c r="R118" i="6040"/>
  <c r="X120" i="6040" l="1"/>
  <c r="Y120" i="6040" s="1"/>
  <c r="Q120" i="6040"/>
  <c r="AA117" i="6040"/>
  <c r="Z117" i="6040"/>
  <c r="T118" i="6040"/>
  <c r="U118" i="6040" s="1"/>
  <c r="O122" i="6040"/>
  <c r="P121" i="6040"/>
  <c r="S119" i="6040"/>
  <c r="R119" i="6040"/>
  <c r="Z118" i="6040" l="1"/>
  <c r="AA118" i="6040"/>
  <c r="Q121" i="6040"/>
  <c r="X121" i="6040"/>
  <c r="S120" i="6040"/>
  <c r="R120" i="6040"/>
  <c r="T119" i="6040"/>
  <c r="Z119" i="6040" s="1"/>
  <c r="O123" i="6040"/>
  <c r="P122" i="6040"/>
  <c r="U119" i="6040" l="1"/>
  <c r="AA119" i="6040" s="1"/>
  <c r="O124" i="6040"/>
  <c r="P123" i="6040"/>
  <c r="X122" i="6040"/>
  <c r="Q122" i="6040"/>
  <c r="T120" i="6040"/>
  <c r="Z120" i="6040" s="1"/>
  <c r="R121" i="6040"/>
  <c r="S121" i="6040"/>
  <c r="Y121" i="6040"/>
  <c r="U120" i="6040" l="1"/>
  <c r="AA120" i="6040" s="1"/>
  <c r="S122" i="6040"/>
  <c r="R122" i="6040"/>
  <c r="Q123" i="6040"/>
  <c r="X123" i="6040"/>
  <c r="Y123" i="6040" s="1"/>
  <c r="Y122" i="6040"/>
  <c r="T121" i="6040"/>
  <c r="Z121" i="6040" s="1"/>
  <c r="O125" i="6040"/>
  <c r="P124" i="6040"/>
  <c r="T122" i="6040" l="1"/>
  <c r="Z122" i="6040" s="1"/>
  <c r="X124" i="6040"/>
  <c r="Y124" i="6040" s="1"/>
  <c r="Q124" i="6040"/>
  <c r="P125" i="6040"/>
  <c r="O126" i="6040"/>
  <c r="U121" i="6040"/>
  <c r="AA121" i="6040" s="1"/>
  <c r="R123" i="6040"/>
  <c r="S123" i="6040"/>
  <c r="S124" i="6040" l="1"/>
  <c r="R124" i="6040"/>
  <c r="O127" i="6040"/>
  <c r="P126" i="6040"/>
  <c r="T123" i="6040"/>
  <c r="Z123" i="6040" s="1"/>
  <c r="Q125" i="6040"/>
  <c r="X125" i="6040"/>
  <c r="Y125" i="6040" s="1"/>
  <c r="U122" i="6040"/>
  <c r="AA122" i="6040" s="1"/>
  <c r="O128" i="6040" l="1"/>
  <c r="P127" i="6040"/>
  <c r="S125" i="6040"/>
  <c r="R125" i="6040"/>
  <c r="T124" i="6040"/>
  <c r="U123" i="6040"/>
  <c r="AA123" i="6040" s="1"/>
  <c r="X126" i="6040"/>
  <c r="Y126" i="6040" s="1"/>
  <c r="Q126" i="6040"/>
  <c r="Z124" i="6040" l="1"/>
  <c r="T125" i="6040"/>
  <c r="Z125" i="6040" s="1"/>
  <c r="Q127" i="6040"/>
  <c r="X127" i="6040"/>
  <c r="Y127" i="6040" s="1"/>
  <c r="S126" i="6040"/>
  <c r="R126" i="6040"/>
  <c r="U124" i="6040"/>
  <c r="AA124" i="6040" s="1"/>
  <c r="P128" i="6040"/>
  <c r="O129" i="6040"/>
  <c r="U125" i="6040" l="1"/>
  <c r="AA125" i="6040" s="1"/>
  <c r="T126" i="6040"/>
  <c r="U126" i="6040" s="1"/>
  <c r="AA126" i="6040" s="1"/>
  <c r="R127" i="6040"/>
  <c r="S127" i="6040"/>
  <c r="O130" i="6040"/>
  <c r="P129" i="6040"/>
  <c r="X128" i="6040"/>
  <c r="Y128" i="6040" s="1"/>
  <c r="Q128" i="6040"/>
  <c r="Z126" i="6040" l="1"/>
  <c r="S128" i="6040"/>
  <c r="R128" i="6040"/>
  <c r="Q129" i="6040"/>
  <c r="X129" i="6040"/>
  <c r="Y129" i="6040" s="1"/>
  <c r="T127" i="6040"/>
  <c r="U127" i="6040" s="1"/>
  <c r="O131" i="6040"/>
  <c r="P130" i="6040"/>
  <c r="Z127" i="6040" l="1"/>
  <c r="O132" i="6040"/>
  <c r="P131" i="6040"/>
  <c r="R129" i="6040"/>
  <c r="S129" i="6040"/>
  <c r="AA127" i="6040"/>
  <c r="T128" i="6040"/>
  <c r="U128" i="6040" s="1"/>
  <c r="X130" i="6040"/>
  <c r="Q130" i="6040"/>
  <c r="T129" i="6040" l="1"/>
  <c r="Z129" i="6040" s="1"/>
  <c r="Y130" i="6040"/>
  <c r="AA128" i="6040"/>
  <c r="Z128" i="6040"/>
  <c r="Q131" i="6040"/>
  <c r="X131" i="6040"/>
  <c r="S130" i="6040"/>
  <c r="R130" i="6040"/>
  <c r="O133" i="6040"/>
  <c r="P132" i="6040"/>
  <c r="X132" i="6040" l="1"/>
  <c r="Y132" i="6040" s="1"/>
  <c r="Q132" i="6040"/>
  <c r="O134" i="6040"/>
  <c r="P133" i="6040"/>
  <c r="Y131" i="6040"/>
  <c r="T130" i="6040"/>
  <c r="Z130" i="6040" s="1"/>
  <c r="R131" i="6040"/>
  <c r="S131" i="6040"/>
  <c r="U129" i="6040"/>
  <c r="AA129" i="6040" s="1"/>
  <c r="U130" i="6040" l="1"/>
  <c r="AA130" i="6040" s="1"/>
  <c r="T131" i="6040"/>
  <c r="U131" i="6040" s="1"/>
  <c r="Q133" i="6040"/>
  <c r="X133" i="6040"/>
  <c r="P134" i="6040"/>
  <c r="O135" i="6040"/>
  <c r="S132" i="6040"/>
  <c r="R132" i="6040"/>
  <c r="Z131" i="6040" l="1"/>
  <c r="AA131" i="6040"/>
  <c r="O136" i="6040"/>
  <c r="P135" i="6040"/>
  <c r="R133" i="6040"/>
  <c r="S133" i="6040"/>
  <c r="X134" i="6040"/>
  <c r="Y134" i="6040" s="1"/>
  <c r="Q134" i="6040"/>
  <c r="T132" i="6040"/>
  <c r="Z132" i="6040" s="1"/>
  <c r="Y133" i="6040"/>
  <c r="S134" i="6040" l="1"/>
  <c r="R134" i="6040"/>
  <c r="T133" i="6040"/>
  <c r="Z133" i="6040" s="1"/>
  <c r="Q135" i="6040"/>
  <c r="X135" i="6040"/>
  <c r="Y135" i="6040" s="1"/>
  <c r="U132" i="6040"/>
  <c r="AA132" i="6040" s="1"/>
  <c r="O137" i="6040"/>
  <c r="P136" i="6040"/>
  <c r="R135" i="6040" l="1"/>
  <c r="S135" i="6040"/>
  <c r="T134" i="6040"/>
  <c r="U134" i="6040" s="1"/>
  <c r="X136" i="6040"/>
  <c r="Y136" i="6040" s="1"/>
  <c r="Q136" i="6040"/>
  <c r="O138" i="6040"/>
  <c r="P137" i="6040"/>
  <c r="U133" i="6040"/>
  <c r="AA133" i="6040" s="1"/>
  <c r="S136" i="6040" l="1"/>
  <c r="R136" i="6040"/>
  <c r="AA134" i="6040"/>
  <c r="Z134" i="6040"/>
  <c r="Q137" i="6040"/>
  <c r="X137" i="6040"/>
  <c r="Y137" i="6040" s="1"/>
  <c r="P138" i="6040"/>
  <c r="O139" i="6040"/>
  <c r="T135" i="6040"/>
  <c r="Z135" i="6040" l="1"/>
  <c r="X138" i="6040"/>
  <c r="Y138" i="6040" s="1"/>
  <c r="Q138" i="6040"/>
  <c r="T136" i="6040"/>
  <c r="U135" i="6040"/>
  <c r="AA135" i="6040" s="1"/>
  <c r="P139" i="6040"/>
  <c r="O140" i="6040"/>
  <c r="R137" i="6040"/>
  <c r="S137" i="6040"/>
  <c r="O141" i="6040" l="1"/>
  <c r="P140" i="6040"/>
  <c r="Z136" i="6040"/>
  <c r="Q139" i="6040"/>
  <c r="X139" i="6040"/>
  <c r="T137" i="6040"/>
  <c r="Z137" i="6040" s="1"/>
  <c r="U136" i="6040"/>
  <c r="AA136" i="6040" s="1"/>
  <c r="S138" i="6040"/>
  <c r="R138" i="6040"/>
  <c r="U137" i="6040" l="1"/>
  <c r="AA137" i="6040" s="1"/>
  <c r="T138" i="6040"/>
  <c r="Z138" i="6040" s="1"/>
  <c r="Y139" i="6040"/>
  <c r="X140" i="6040"/>
  <c r="Y140" i="6040" s="1"/>
  <c r="Q140" i="6040"/>
  <c r="R139" i="6040"/>
  <c r="S139" i="6040"/>
  <c r="O142" i="6040"/>
  <c r="P141" i="6040"/>
  <c r="U138" i="6040" l="1"/>
  <c r="AA138" i="6040" s="1"/>
  <c r="O143" i="6040"/>
  <c r="P142" i="6040"/>
  <c r="S140" i="6040"/>
  <c r="R140" i="6040"/>
  <c r="T139" i="6040"/>
  <c r="U139" i="6040" s="1"/>
  <c r="Q141" i="6040"/>
  <c r="X141" i="6040"/>
  <c r="Z139" i="6040" l="1"/>
  <c r="AA139" i="6040"/>
  <c r="R141" i="6040"/>
  <c r="S141" i="6040"/>
  <c r="X142" i="6040"/>
  <c r="Q142" i="6040"/>
  <c r="O144" i="6040"/>
  <c r="P143" i="6040"/>
  <c r="Y141" i="6040"/>
  <c r="T140" i="6040"/>
  <c r="Z140" i="6040" s="1"/>
  <c r="Q143" i="6040" l="1"/>
  <c r="X143" i="6040"/>
  <c r="S142" i="6040"/>
  <c r="R142" i="6040"/>
  <c r="T141" i="6040"/>
  <c r="Z141" i="6040" s="1"/>
  <c r="U140" i="6040"/>
  <c r="AA140" i="6040" s="1"/>
  <c r="O145" i="6040"/>
  <c r="P144" i="6040"/>
  <c r="Y142" i="6040"/>
  <c r="U141" i="6040" l="1"/>
  <c r="AA141" i="6040" s="1"/>
  <c r="P145" i="6040"/>
  <c r="O146" i="6040"/>
  <c r="T142" i="6040"/>
  <c r="Z142" i="6040" s="1"/>
  <c r="R143" i="6040"/>
  <c r="S143" i="6040"/>
  <c r="X144" i="6040"/>
  <c r="Y144" i="6040" s="1"/>
  <c r="Q144" i="6040"/>
  <c r="Y143" i="6040"/>
  <c r="O147" i="6040" l="1"/>
  <c r="P146" i="6040"/>
  <c r="T143" i="6040"/>
  <c r="Z143" i="6040" s="1"/>
  <c r="Q145" i="6040"/>
  <c r="X145" i="6040"/>
  <c r="Y145" i="6040" s="1"/>
  <c r="S144" i="6040"/>
  <c r="R144" i="6040"/>
  <c r="U142" i="6040"/>
  <c r="AA142" i="6040" s="1"/>
  <c r="U143" i="6040" l="1"/>
  <c r="AA143" i="6040" s="1"/>
  <c r="X146" i="6040"/>
  <c r="Q146" i="6040"/>
  <c r="T144" i="6040"/>
  <c r="Z144" i="6040" s="1"/>
  <c r="R145" i="6040"/>
  <c r="S145" i="6040"/>
  <c r="O148" i="6040"/>
  <c r="P147" i="6040"/>
  <c r="O149" i="6040" l="1"/>
  <c r="P148" i="6040"/>
  <c r="T145" i="6040"/>
  <c r="Z145" i="6040" s="1"/>
  <c r="S146" i="6040"/>
  <c r="R146" i="6040"/>
  <c r="Q147" i="6040"/>
  <c r="X147" i="6040"/>
  <c r="U144" i="6040"/>
  <c r="AA144" i="6040" s="1"/>
  <c r="Y146" i="6040"/>
  <c r="U145" i="6040" l="1"/>
  <c r="AA145" i="6040" s="1"/>
  <c r="T146" i="6040"/>
  <c r="Z146" i="6040" s="1"/>
  <c r="Y147" i="6040"/>
  <c r="R147" i="6040"/>
  <c r="S147" i="6040"/>
  <c r="X148" i="6040"/>
  <c r="Y148" i="6040" s="1"/>
  <c r="Q148" i="6040"/>
  <c r="P149" i="6040"/>
  <c r="O150" i="6040"/>
  <c r="U146" i="6040" l="1"/>
  <c r="AA146" i="6040" s="1"/>
  <c r="S148" i="6040"/>
  <c r="R148" i="6040"/>
  <c r="T147" i="6040"/>
  <c r="P150" i="6040"/>
  <c r="O151" i="6040"/>
  <c r="Q149" i="6040"/>
  <c r="X149" i="6040"/>
  <c r="Y149" i="6040" l="1"/>
  <c r="O152" i="6040"/>
  <c r="P151" i="6040"/>
  <c r="T148" i="6040"/>
  <c r="U148" i="6040" s="1"/>
  <c r="R149" i="6040"/>
  <c r="S149" i="6040"/>
  <c r="X150" i="6040"/>
  <c r="Y150" i="6040" s="1"/>
  <c r="Q150" i="6040"/>
  <c r="Z147" i="6040"/>
  <c r="U147" i="6040"/>
  <c r="AA147" i="6040" s="1"/>
  <c r="Z148" i="6040" l="1"/>
  <c r="AA148" i="6040"/>
  <c r="Q151" i="6040"/>
  <c r="X151" i="6040"/>
  <c r="S150" i="6040"/>
  <c r="R150" i="6040"/>
  <c r="T149" i="6040"/>
  <c r="Z149" i="6040" s="1"/>
  <c r="O153" i="6040"/>
  <c r="P152" i="6040"/>
  <c r="U149" i="6040" l="1"/>
  <c r="AA149" i="6040" s="1"/>
  <c r="O154" i="6040"/>
  <c r="P153" i="6040"/>
  <c r="Y151" i="6040"/>
  <c r="X152" i="6040"/>
  <c r="Y152" i="6040" s="1"/>
  <c r="Q152" i="6040"/>
  <c r="T150" i="6040"/>
  <c r="Z150" i="6040" s="1"/>
  <c r="R151" i="6040"/>
  <c r="S151" i="6040"/>
  <c r="U150" i="6040" l="1"/>
  <c r="AA150" i="6040" s="1"/>
  <c r="T151" i="6040"/>
  <c r="U151" i="6040" s="1"/>
  <c r="AA151" i="6040" s="1"/>
  <c r="Q153" i="6040"/>
  <c r="X153" i="6040"/>
  <c r="Y153" i="6040" s="1"/>
  <c r="P154" i="6040"/>
  <c r="O155" i="6040"/>
  <c r="S152" i="6040"/>
  <c r="R152" i="6040"/>
  <c r="Z151" i="6040" l="1"/>
  <c r="T152" i="6040"/>
  <c r="U152" i="6040" s="1"/>
  <c r="AA152" i="6040" s="1"/>
  <c r="P155" i="6040"/>
  <c r="O156" i="6040"/>
  <c r="R153" i="6040"/>
  <c r="S153" i="6040"/>
  <c r="X154" i="6040"/>
  <c r="Y154" i="6040" s="1"/>
  <c r="Q154" i="6040"/>
  <c r="Z152" i="6040" l="1"/>
  <c r="S154" i="6040"/>
  <c r="R154" i="6040"/>
  <c r="T153" i="6040"/>
  <c r="U153" i="6040" s="1"/>
  <c r="O157" i="6040"/>
  <c r="P156" i="6040"/>
  <c r="Q155" i="6040"/>
  <c r="X155" i="6040"/>
  <c r="AA153" i="6040" l="1"/>
  <c r="Y155" i="6040"/>
  <c r="X156" i="6040"/>
  <c r="Q156" i="6040"/>
  <c r="R155" i="6040"/>
  <c r="S155" i="6040"/>
  <c r="O158" i="6040"/>
  <c r="P157" i="6040"/>
  <c r="T154" i="6040"/>
  <c r="U154" i="6040" s="1"/>
  <c r="Z153" i="6040"/>
  <c r="AA154" i="6040" l="1"/>
  <c r="T155" i="6040"/>
  <c r="U155" i="6040" s="1"/>
  <c r="Z154" i="6040"/>
  <c r="Q157" i="6040"/>
  <c r="X157" i="6040"/>
  <c r="S156" i="6040"/>
  <c r="R156" i="6040"/>
  <c r="O159" i="6040"/>
  <c r="P158" i="6040"/>
  <c r="Y156" i="6040"/>
  <c r="AA155" i="6040" l="1"/>
  <c r="Z155" i="6040"/>
  <c r="T156" i="6040"/>
  <c r="U156" i="6040" s="1"/>
  <c r="R157" i="6040"/>
  <c r="S157" i="6040"/>
  <c r="X158" i="6040"/>
  <c r="Y158" i="6040" s="1"/>
  <c r="Q158" i="6040"/>
  <c r="O160" i="6040"/>
  <c r="P159" i="6040"/>
  <c r="Y157" i="6040"/>
  <c r="AA156" i="6040" l="1"/>
  <c r="S158" i="6040"/>
  <c r="R158" i="6040"/>
  <c r="T157" i="6040"/>
  <c r="U157" i="6040" s="1"/>
  <c r="Q159" i="6040"/>
  <c r="X159" i="6040"/>
  <c r="Y159" i="6040" s="1"/>
  <c r="O161" i="6040"/>
  <c r="P160" i="6040"/>
  <c r="Z156" i="6040"/>
  <c r="Z157" i="6040" l="1"/>
  <c r="P161" i="6040"/>
  <c r="O162" i="6040"/>
  <c r="AA157" i="6040"/>
  <c r="T158" i="6040"/>
  <c r="U158" i="6040" s="1"/>
  <c r="X160" i="6040"/>
  <c r="Q160" i="6040"/>
  <c r="R159" i="6040"/>
  <c r="S159" i="6040"/>
  <c r="T159" i="6040" l="1"/>
  <c r="S160" i="6040"/>
  <c r="R160" i="6040"/>
  <c r="AA158" i="6040"/>
  <c r="Z158" i="6040"/>
  <c r="O163" i="6040"/>
  <c r="P162" i="6040"/>
  <c r="Y160" i="6040"/>
  <c r="Q161" i="6040"/>
  <c r="X161" i="6040"/>
  <c r="Y161" i="6040" s="1"/>
  <c r="X162" i="6040" l="1"/>
  <c r="Y162" i="6040" s="1"/>
  <c r="Q162" i="6040"/>
  <c r="T160" i="6040"/>
  <c r="R161" i="6040"/>
  <c r="S161" i="6040"/>
  <c r="O164" i="6040"/>
  <c r="P163" i="6040"/>
  <c r="Z159" i="6040"/>
  <c r="U159" i="6040"/>
  <c r="AA159" i="6040" s="1"/>
  <c r="T161" i="6040" l="1"/>
  <c r="Z161" i="6040" s="1"/>
  <c r="S162" i="6040"/>
  <c r="R162" i="6040"/>
  <c r="Q163" i="6040"/>
  <c r="X163" i="6040"/>
  <c r="Y163" i="6040" s="1"/>
  <c r="Z160" i="6040"/>
  <c r="O165" i="6040"/>
  <c r="P164" i="6040"/>
  <c r="U160" i="6040"/>
  <c r="AA160" i="6040" s="1"/>
  <c r="U161" i="6040" l="1"/>
  <c r="AA161" i="6040" s="1"/>
  <c r="X164" i="6040"/>
  <c r="Y164" i="6040" s="1"/>
  <c r="Q164" i="6040"/>
  <c r="O166" i="6040"/>
  <c r="P165" i="6040"/>
  <c r="R163" i="6040"/>
  <c r="S163" i="6040"/>
  <c r="T162" i="6040"/>
  <c r="Z162" i="6040" s="1"/>
  <c r="U162" i="6040" l="1"/>
  <c r="AA162" i="6040" s="1"/>
  <c r="S164" i="6040"/>
  <c r="R164" i="6040"/>
  <c r="T163" i="6040"/>
  <c r="Z163" i="6040" s="1"/>
  <c r="Q165" i="6040"/>
  <c r="X165" i="6040"/>
  <c r="P166" i="6040"/>
  <c r="O167" i="6040"/>
  <c r="U163" i="6040" l="1"/>
  <c r="AA163" i="6040" s="1"/>
  <c r="X166" i="6040"/>
  <c r="Y166" i="6040" s="1"/>
  <c r="Q166" i="6040"/>
  <c r="Y165" i="6040"/>
  <c r="R165" i="6040"/>
  <c r="S165" i="6040"/>
  <c r="T164" i="6040"/>
  <c r="Z164" i="6040" s="1"/>
  <c r="O168" i="6040"/>
  <c r="P167" i="6040"/>
  <c r="U164" i="6040" l="1"/>
  <c r="AA164" i="6040" s="1"/>
  <c r="Q167" i="6040"/>
  <c r="X167" i="6040"/>
  <c r="O169" i="6040"/>
  <c r="P168" i="6040"/>
  <c r="T165" i="6040"/>
  <c r="U165" i="6040" s="1"/>
  <c r="S166" i="6040"/>
  <c r="R166" i="6040"/>
  <c r="Z165" i="6040" l="1"/>
  <c r="AA165" i="6040"/>
  <c r="Y167" i="6040"/>
  <c r="T166" i="6040"/>
  <c r="X168" i="6040"/>
  <c r="Y168" i="6040" s="1"/>
  <c r="Q168" i="6040"/>
  <c r="R167" i="6040"/>
  <c r="S167" i="6040"/>
  <c r="O170" i="6040"/>
  <c r="P169" i="6040"/>
  <c r="P170" i="6040" l="1"/>
  <c r="O171" i="6040"/>
  <c r="S168" i="6040"/>
  <c r="R168" i="6040"/>
  <c r="Z166" i="6040"/>
  <c r="Q169" i="6040"/>
  <c r="X169" i="6040"/>
  <c r="Y169" i="6040" s="1"/>
  <c r="T167" i="6040"/>
  <c r="Z167" i="6040" s="1"/>
  <c r="U166" i="6040"/>
  <c r="AA166" i="6040" s="1"/>
  <c r="U167" i="6040" l="1"/>
  <c r="AA167" i="6040" s="1"/>
  <c r="P171" i="6040"/>
  <c r="O172" i="6040"/>
  <c r="R169" i="6040"/>
  <c r="S169" i="6040"/>
  <c r="X170" i="6040"/>
  <c r="Y170" i="6040" s="1"/>
  <c r="Q170" i="6040"/>
  <c r="T168" i="6040"/>
  <c r="U168" i="6040" s="1"/>
  <c r="O173" i="6040" l="1"/>
  <c r="P172" i="6040"/>
  <c r="Q171" i="6040"/>
  <c r="X171" i="6040"/>
  <c r="Z168" i="6040"/>
  <c r="AA168" i="6040"/>
  <c r="S170" i="6040"/>
  <c r="R170" i="6040"/>
  <c r="T169" i="6040"/>
  <c r="Z169" i="6040" s="1"/>
  <c r="T170" i="6040" l="1"/>
  <c r="Z170" i="6040" s="1"/>
  <c r="Y171" i="6040"/>
  <c r="X172" i="6040"/>
  <c r="Q172" i="6040"/>
  <c r="U169" i="6040"/>
  <c r="AA169" i="6040" s="1"/>
  <c r="R171" i="6040"/>
  <c r="S171" i="6040"/>
  <c r="O174" i="6040"/>
  <c r="P173" i="6040"/>
  <c r="U170" i="6040" l="1"/>
  <c r="AA170" i="6040" s="1"/>
  <c r="T171" i="6040"/>
  <c r="Z171" i="6040" s="1"/>
  <c r="Q173" i="6040"/>
  <c r="X173" i="6040"/>
  <c r="Y173" i="6040" s="1"/>
  <c r="O175" i="6040"/>
  <c r="P174" i="6040"/>
  <c r="S172" i="6040"/>
  <c r="R172" i="6040"/>
  <c r="Y172" i="6040"/>
  <c r="U171" i="6040" l="1"/>
  <c r="AA171" i="6040" s="1"/>
  <c r="X174" i="6040"/>
  <c r="Y174" i="6040" s="1"/>
  <c r="Q174" i="6040"/>
  <c r="R173" i="6040"/>
  <c r="S173" i="6040"/>
  <c r="O176" i="6040"/>
  <c r="P175" i="6040"/>
  <c r="T172" i="6040"/>
  <c r="U172" i="6040" s="1"/>
  <c r="Z172" i="6040" l="1"/>
  <c r="AA172" i="6040"/>
  <c r="Q175" i="6040"/>
  <c r="X175" i="6040"/>
  <c r="S174" i="6040"/>
  <c r="R174" i="6040"/>
  <c r="O177" i="6040"/>
  <c r="P176" i="6040"/>
  <c r="T173" i="6040"/>
  <c r="U173" i="6040" s="1"/>
  <c r="AA173" i="6040" l="1"/>
  <c r="Z173" i="6040"/>
  <c r="P177" i="6040"/>
  <c r="O178" i="6040"/>
  <c r="Y175" i="6040"/>
  <c r="X176" i="6040"/>
  <c r="Y176" i="6040" s="1"/>
  <c r="Q176" i="6040"/>
  <c r="T174" i="6040"/>
  <c r="U174" i="6040" s="1"/>
  <c r="R175" i="6040"/>
  <c r="S175" i="6040"/>
  <c r="AA174" i="6040" l="1"/>
  <c r="S176" i="6040"/>
  <c r="R176" i="6040"/>
  <c r="Q177" i="6040"/>
  <c r="X177" i="6040"/>
  <c r="Y177" i="6040" s="1"/>
  <c r="T175" i="6040"/>
  <c r="U175" i="6040" s="1"/>
  <c r="O179" i="6040"/>
  <c r="P178" i="6040"/>
  <c r="Z174" i="6040"/>
  <c r="Z175" i="6040" l="1"/>
  <c r="O180" i="6040"/>
  <c r="P179" i="6040"/>
  <c r="AA175" i="6040"/>
  <c r="R177" i="6040"/>
  <c r="S177" i="6040"/>
  <c r="T176" i="6040"/>
  <c r="U176" i="6040" s="1"/>
  <c r="X178" i="6040"/>
  <c r="Y178" i="6040" s="1"/>
  <c r="Q178" i="6040"/>
  <c r="AA176" i="6040" l="1"/>
  <c r="O181" i="6040"/>
  <c r="P180" i="6040"/>
  <c r="S178" i="6040"/>
  <c r="R178" i="6040"/>
  <c r="Z176" i="6040"/>
  <c r="T177" i="6040"/>
  <c r="Z177" i="6040" s="1"/>
  <c r="Q179" i="6040"/>
  <c r="X179" i="6040"/>
  <c r="Y179" i="6040" s="1"/>
  <c r="U177" i="6040" l="1"/>
  <c r="AA177" i="6040" s="1"/>
  <c r="P181" i="6040"/>
  <c r="O182" i="6040"/>
  <c r="R179" i="6040"/>
  <c r="S179" i="6040"/>
  <c r="X180" i="6040"/>
  <c r="Y180" i="6040" s="1"/>
  <c r="Q180" i="6040"/>
  <c r="T178" i="6040"/>
  <c r="Z178" i="6040" s="1"/>
  <c r="P182" i="6040" l="1"/>
  <c r="O183" i="6040"/>
  <c r="U178" i="6040"/>
  <c r="AA178" i="6040" s="1"/>
  <c r="S180" i="6040"/>
  <c r="R180" i="6040"/>
  <c r="T179" i="6040"/>
  <c r="U179" i="6040" s="1"/>
  <c r="Q181" i="6040"/>
  <c r="X181" i="6040"/>
  <c r="Y181" i="6040" s="1"/>
  <c r="T180" i="6040" l="1"/>
  <c r="U180" i="6040" s="1"/>
  <c r="AA180" i="6040" s="1"/>
  <c r="R181" i="6040"/>
  <c r="S181" i="6040"/>
  <c r="O184" i="6040"/>
  <c r="P183" i="6040"/>
  <c r="AA179" i="6040"/>
  <c r="Z179" i="6040"/>
  <c r="X182" i="6040"/>
  <c r="Y182" i="6040" s="1"/>
  <c r="Q182" i="6040"/>
  <c r="Z180" i="6040" l="1"/>
  <c r="O185" i="6040"/>
  <c r="P185" i="6040" s="1"/>
  <c r="P184" i="6040"/>
  <c r="T181" i="6040"/>
  <c r="U181" i="6040" s="1"/>
  <c r="S182" i="6040"/>
  <c r="R182" i="6040"/>
  <c r="Q183" i="6040"/>
  <c r="X183" i="6040"/>
  <c r="R183" i="6040" l="1"/>
  <c r="S183" i="6040"/>
  <c r="T182" i="6040"/>
  <c r="X184" i="6040"/>
  <c r="Y184" i="6040" s="1"/>
  <c r="Q184" i="6040"/>
  <c r="Q185" i="6040"/>
  <c r="X185" i="6040"/>
  <c r="Z181" i="6040"/>
  <c r="Y183" i="6040"/>
  <c r="AA181" i="6040"/>
  <c r="S184" i="6040" l="1"/>
  <c r="R184" i="6040"/>
  <c r="Z182" i="6040"/>
  <c r="R185" i="6040"/>
  <c r="T185" i="6040" s="1"/>
  <c r="S185" i="6040"/>
  <c r="T183" i="6040"/>
  <c r="Z183" i="6040" s="1"/>
  <c r="Y185" i="6040"/>
  <c r="U182" i="6040"/>
  <c r="AA182" i="6040" s="1"/>
  <c r="AA185" i="6040" l="1"/>
  <c r="U183" i="6040"/>
  <c r="AA183" i="6040" s="1"/>
  <c r="Z185" i="6040"/>
  <c r="T184" i="6040"/>
  <c r="U184" i="6040" s="1"/>
  <c r="AA184" i="6040" l="1"/>
  <c r="Z184" i="6040"/>
  <c r="AA186" i="6040" s="1"/>
  <c r="G28" i="6040" l="1"/>
  <c r="J28" i="6040"/>
  <c r="I28" i="6040"/>
  <c r="C28" i="6040"/>
  <c r="D28" i="6040"/>
  <c r="F28" i="6040"/>
  <c r="K28" i="6040"/>
  <c r="H28" i="6040"/>
  <c r="B28" i="6040"/>
  <c r="I543" i="1" s="1"/>
  <c r="A28" i="6040"/>
  <c r="E28" i="6040"/>
  <c r="G911" i="1" s="1"/>
  <c r="E578" i="1" l="1"/>
  <c r="R578" i="1" s="1"/>
  <c r="G136" i="6041"/>
  <c r="G1413" i="1"/>
  <c r="I136" i="6041"/>
  <c r="I1413" i="1"/>
  <c r="I911" i="1"/>
  <c r="S578" i="1" l="1"/>
  <c r="H1109" i="1"/>
  <c r="I1109" i="1"/>
  <c r="C1120" i="1" s="1"/>
  <c r="F169" i="6041"/>
  <c r="G169" i="6041"/>
  <c r="C173" i="6041" s="1"/>
  <c r="G944" i="1"/>
  <c r="D945" i="1"/>
  <c r="C950" i="1" s="1"/>
  <c r="G914" i="1"/>
  <c r="D914" i="1"/>
  <c r="G140" i="6041"/>
  <c r="F140" i="6041"/>
  <c r="K1415" i="1"/>
  <c r="H1415" i="1"/>
  <c r="S173" i="6041" l="1"/>
  <c r="R173" i="6041"/>
  <c r="S1120" i="1"/>
  <c r="R1120" i="1"/>
  <c r="R950" i="1"/>
  <c r="S950" i="1"/>
  <c r="A1840" i="1"/>
  <c r="B1417" i="1"/>
  <c r="A1816" i="1"/>
  <c r="B916" i="1"/>
  <c r="A236" i="6041"/>
  <c r="B141" i="6041"/>
  <c r="S141" i="6041" l="1"/>
  <c r="R141" i="6041"/>
  <c r="S1417" i="1"/>
  <c r="R1417" i="1"/>
  <c r="R916" i="1"/>
  <c r="S916" i="1"/>
  <c r="S1741" i="1" l="1"/>
  <c r="A1854" i="1" s="1"/>
  <c r="R1741" i="1"/>
  <c r="A1855" i="1" s="1"/>
  <c r="A1853" i="1" l="1"/>
</calcChain>
</file>

<file path=xl/sharedStrings.xml><?xml version="1.0" encoding="utf-8"?>
<sst xmlns="http://schemas.openxmlformats.org/spreadsheetml/2006/main" count="2318" uniqueCount="980">
  <si>
    <t>The length of the span adjacent to the abutment is required to calculate the pedestrian loads and wind loads on the abutment.  It is also used to assess whether the bridge is simply supported or continuous, and in the simplified procedure to determine axial forces induced in the piles in continuous bridges due to thermal movements.  Input the total span length for single span bridges.</t>
  </si>
  <si>
    <t>klf</t>
  </si>
  <si>
    <t>The moment of the wind on the live load is equal to the force times the moment arm which is equal to the distance from the top of the pile cap to the top of the deck plus 6 ft.</t>
  </si>
  <si>
    <r>
      <t>The effective shaft length is the total shaft length minus a length at the top of the pile which is ineffective due to the lateral movement which occurs.  Using a displacement of 2% of the pile diameter as the boundary above which skin friction becomes ineffective has been found to be reasonable.  The depth, L</t>
    </r>
    <r>
      <rPr>
        <vertAlign val="subscript"/>
        <sz val="10"/>
        <rFont val="Arial"/>
        <family val="2"/>
      </rPr>
      <t>n</t>
    </r>
    <r>
      <rPr>
        <sz val="10"/>
        <rFont val="Arial"/>
        <family val="2"/>
      </rPr>
      <t>, at which the displacement reaches this critical value was determined previously using the computer program LPile.</t>
    </r>
  </si>
  <si>
    <t>tsf  =</t>
  </si>
  <si>
    <t>Ru (k)</t>
  </si>
  <si>
    <t>b (in)</t>
  </si>
  <si>
    <t>f'c (ksi)</t>
  </si>
  <si>
    <t>Fy (ksi)</t>
  </si>
  <si>
    <t>hb (in)</t>
  </si>
  <si>
    <t>hp (in)</t>
  </si>
  <si>
    <t>d (in)</t>
  </si>
  <si>
    <t>As1 (in2)</t>
  </si>
  <si>
    <t>As2 (in2)</t>
  </si>
  <si>
    <t>As3 (in2)</t>
  </si>
  <si>
    <t>fr (ksi)</t>
  </si>
  <si>
    <t>L (in)</t>
  </si>
  <si>
    <t>Ig (in4)</t>
  </si>
  <si>
    <t>yt (in)</t>
  </si>
  <si>
    <t>As (in2)</t>
  </si>
  <si>
    <t>W (k/ft)</t>
  </si>
  <si>
    <t>Mu (k-ft)</t>
  </si>
  <si>
    <t>Mcr (k-ft)</t>
  </si>
  <si>
    <t>1.2 Mcr (k-ft)</t>
  </si>
  <si>
    <t>cover (in)</t>
  </si>
  <si>
    <t>k1 (ksi)</t>
  </si>
  <si>
    <t>k2 (ksi)</t>
  </si>
  <si>
    <t>k3 (ksi)</t>
  </si>
  <si>
    <t>Provided Steel Areas</t>
  </si>
  <si>
    <t>4 #8 bars:</t>
  </si>
  <si>
    <t>4 #9 bars:</t>
  </si>
  <si>
    <t>4 #10 bars:</t>
  </si>
  <si>
    <t>Warning - concrete bridge length limited to 590 ft.  Use of integral abutment on bridges with lengths in excess of this limit shall be considered on a case-by-case basis and shall require written approval of Chief Bridge Engineer at the Type, Size, and Location stage.</t>
  </si>
  <si>
    <r>
      <t xml:space="preserve">The following reactions are the extreme factored dead and live load girder reaction calculated previously, plus the extreme reactions on the exterior girder due to wind, centifugal, and thermal forces.  It is recognized that the extreme reactions due to lateral forces occur on the exterior girders, while the extreme gravity reaction may occur on the interior girders, but combining the two should not be overly conservative.  The </t>
    </r>
    <r>
      <rPr>
        <sz val="12"/>
        <rFont val="Symbol"/>
        <family val="1"/>
        <charset val="2"/>
      </rPr>
      <t>h</t>
    </r>
    <r>
      <rPr>
        <vertAlign val="subscript"/>
        <sz val="10"/>
        <rFont val="Arial"/>
        <family val="2"/>
      </rPr>
      <t xml:space="preserve"> i</t>
    </r>
    <r>
      <rPr>
        <sz val="10"/>
        <rFont val="Arial"/>
        <family val="2"/>
      </rPr>
      <t xml:space="preserve"> modifier is included here as well.</t>
    </r>
  </si>
  <si>
    <t xml:space="preserve">Total factored dead and live load reactions per pile, assuming two exterior girders, with the remaining being interior girders. </t>
  </si>
  <si>
    <r>
      <t>h</t>
    </r>
    <r>
      <rPr>
        <vertAlign val="subscript"/>
        <sz val="10"/>
        <rFont val="Arial"/>
        <family val="2"/>
      </rPr>
      <t xml:space="preserve"> i,max</t>
    </r>
    <r>
      <rPr>
        <sz val="10"/>
        <rFont val="Arial"/>
        <family val="2"/>
      </rPr>
      <t xml:space="preserve"> = 0.95 </t>
    </r>
    <r>
      <rPr>
        <b/>
        <sz val="10"/>
        <rFont val="Symbol"/>
        <family val="1"/>
        <charset val="2"/>
      </rPr>
      <t>£</t>
    </r>
    <r>
      <rPr>
        <sz val="10"/>
        <rFont val="Arial"/>
        <family val="2"/>
      </rPr>
      <t xml:space="preserve"> </t>
    </r>
    <r>
      <rPr>
        <sz val="12"/>
        <rFont val="Symbol"/>
        <family val="1"/>
        <charset val="2"/>
      </rPr>
      <t>h</t>
    </r>
    <r>
      <rPr>
        <vertAlign val="subscript"/>
        <sz val="10"/>
        <rFont val="Arial"/>
        <family val="2"/>
      </rPr>
      <t xml:space="preserve"> i</t>
    </r>
    <r>
      <rPr>
        <sz val="10"/>
        <rFont val="Arial"/>
        <family val="2"/>
      </rPr>
      <t xml:space="preserve"> </t>
    </r>
    <r>
      <rPr>
        <b/>
        <sz val="10"/>
        <rFont val="Symbol"/>
        <family val="1"/>
        <charset val="2"/>
      </rPr>
      <t>£</t>
    </r>
    <r>
      <rPr>
        <sz val="10"/>
        <rFont val="Arial"/>
        <family val="2"/>
      </rPr>
      <t xml:space="preserve"> 1.05</t>
    </r>
  </si>
  <si>
    <r>
      <t xml:space="preserve">Live Load rotations for the Extreme Event II limit state are determined using the PHL-93 loading.  These are added to any composite factored dead load rotations.  The </t>
    </r>
    <r>
      <rPr>
        <sz val="12"/>
        <rFont val="Symbol"/>
        <family val="1"/>
        <charset val="2"/>
      </rPr>
      <t>h</t>
    </r>
    <r>
      <rPr>
        <sz val="10"/>
        <rFont val="Arial"/>
        <family val="2"/>
      </rPr>
      <t xml:space="preserve"> (eta) factor is included here as well.</t>
    </r>
  </si>
  <si>
    <r>
      <t>The maximum bending moment in the pile, within the depth to fixity, L</t>
    </r>
    <r>
      <rPr>
        <vertAlign val="subscript"/>
        <sz val="10"/>
        <rFont val="Arial"/>
        <family val="2"/>
      </rPr>
      <t>sc</t>
    </r>
    <r>
      <rPr>
        <sz val="10"/>
        <rFont val="Arial"/>
        <family val="2"/>
      </rPr>
      <t>.</t>
    </r>
  </si>
  <si>
    <t>Compressive resistance (pile tip - axial loads only) from main tab:</t>
  </si>
  <si>
    <t>Total gross cross-sectional area of the member, A</t>
  </si>
  <si>
    <t>Where:</t>
  </si>
  <si>
    <r>
      <t>For unstiffened slender elements (flanges), Q</t>
    </r>
    <r>
      <rPr>
        <vertAlign val="subscript"/>
        <sz val="10"/>
        <rFont val="Arial"/>
        <family val="2"/>
      </rPr>
      <t>s</t>
    </r>
    <r>
      <rPr>
        <sz val="10"/>
        <rFont val="Arial"/>
        <family val="2"/>
      </rPr>
      <t xml:space="preserve"> is based on the b/t ratio as shown below.</t>
    </r>
  </si>
  <si>
    <r>
      <t>1.03(E/Fy)</t>
    </r>
    <r>
      <rPr>
        <vertAlign val="superscript"/>
        <sz val="10"/>
        <rFont val="Arial"/>
        <family val="2"/>
      </rPr>
      <t>0.5</t>
    </r>
    <r>
      <rPr>
        <sz val="10"/>
        <rFont val="Arial"/>
        <family val="2"/>
      </rPr>
      <t xml:space="preserve"> =</t>
    </r>
  </si>
  <si>
    <r>
      <t>Q</t>
    </r>
    <r>
      <rPr>
        <vertAlign val="subscript"/>
        <sz val="10"/>
        <rFont val="Arial"/>
        <family val="2"/>
      </rPr>
      <t>s</t>
    </r>
    <r>
      <rPr>
        <sz val="10"/>
        <rFont val="Arial"/>
        <family val="2"/>
      </rPr>
      <t xml:space="preserve"> = 1.415 - 0.74(b/t)(F</t>
    </r>
    <r>
      <rPr>
        <vertAlign val="subscript"/>
        <sz val="10"/>
        <rFont val="Arial"/>
        <family val="2"/>
      </rPr>
      <t>y</t>
    </r>
    <r>
      <rPr>
        <sz val="10"/>
        <rFont val="Arial"/>
        <family val="2"/>
      </rPr>
      <t>/E)</t>
    </r>
    <r>
      <rPr>
        <vertAlign val="superscript"/>
        <sz val="10"/>
        <rFont val="Arial"/>
        <family val="2"/>
      </rPr>
      <t>0.5</t>
    </r>
    <r>
      <rPr>
        <sz val="10"/>
        <rFont val="Arial"/>
        <family val="2"/>
      </rPr>
      <t xml:space="preserve"> per AASHTO Equation 6.9.4.2.2-1</t>
    </r>
  </si>
  <si>
    <r>
      <t>Q</t>
    </r>
    <r>
      <rPr>
        <vertAlign val="subscript"/>
        <sz val="10"/>
        <rFont val="Arial"/>
        <family val="2"/>
      </rPr>
      <t>s</t>
    </r>
    <r>
      <rPr>
        <sz val="10"/>
        <rFont val="Arial"/>
        <family val="2"/>
      </rPr>
      <t xml:space="preserve"> = 0.69E/[F</t>
    </r>
    <r>
      <rPr>
        <vertAlign val="subscript"/>
        <sz val="10"/>
        <rFont val="Arial"/>
        <family val="2"/>
      </rPr>
      <t>y</t>
    </r>
    <r>
      <rPr>
        <sz val="10"/>
        <rFont val="Arial"/>
        <family val="2"/>
      </rPr>
      <t>(b/t)</t>
    </r>
    <r>
      <rPr>
        <vertAlign val="superscript"/>
        <sz val="10"/>
        <rFont val="Arial"/>
        <family val="2"/>
      </rPr>
      <t>2</t>
    </r>
    <r>
      <rPr>
        <sz val="10"/>
        <rFont val="Arial"/>
        <family val="2"/>
      </rPr>
      <t>] per AASHTO Equation 6.9.4.2.2-2</t>
    </r>
  </si>
  <si>
    <r>
      <t>Q</t>
    </r>
    <r>
      <rPr>
        <vertAlign val="subscript"/>
        <sz val="10"/>
        <rFont val="Arial"/>
        <family val="2"/>
      </rPr>
      <t>s</t>
    </r>
    <r>
      <rPr>
        <sz val="10"/>
        <rFont val="Arial"/>
        <family val="2"/>
      </rPr>
      <t xml:space="preserve"> =</t>
    </r>
  </si>
  <si>
    <r>
      <t>1.92t(E/ƒ)</t>
    </r>
    <r>
      <rPr>
        <vertAlign val="superscript"/>
        <sz val="10"/>
        <rFont val="Arial"/>
        <family val="2"/>
      </rPr>
      <t>0.5</t>
    </r>
    <r>
      <rPr>
        <sz val="10"/>
        <rFont val="Arial"/>
        <family val="2"/>
      </rPr>
      <t>[1-0.34(E/ƒ)</t>
    </r>
    <r>
      <rPr>
        <vertAlign val="superscript"/>
        <sz val="10"/>
        <rFont val="Arial"/>
        <family val="2"/>
      </rPr>
      <t>0.5</t>
    </r>
    <r>
      <rPr>
        <sz val="10"/>
        <rFont val="Arial"/>
        <family val="2"/>
      </rPr>
      <t>/(b/t)] =</t>
    </r>
  </si>
  <si>
    <r>
      <t>b</t>
    </r>
    <r>
      <rPr>
        <vertAlign val="subscript"/>
        <sz val="10"/>
        <rFont val="Arial"/>
        <family val="2"/>
      </rPr>
      <t>e</t>
    </r>
    <r>
      <rPr>
        <sz val="10"/>
        <rFont val="Arial"/>
        <family val="2"/>
      </rPr>
      <t xml:space="preserve"> =</t>
    </r>
  </si>
  <si>
    <r>
      <t>ƒ</t>
    </r>
    <r>
      <rPr>
        <sz val="10"/>
        <rFont val="Arial"/>
        <family val="2"/>
      </rPr>
      <t xml:space="preserve"> =</t>
    </r>
  </si>
  <si>
    <r>
      <t>ksi, = Q</t>
    </r>
    <r>
      <rPr>
        <vertAlign val="subscript"/>
        <sz val="10"/>
        <rFont val="Arial"/>
        <family val="2"/>
      </rPr>
      <t>s</t>
    </r>
    <r>
      <rPr>
        <sz val="10"/>
        <rFont val="Arial"/>
        <family val="2"/>
      </rPr>
      <t>Fy</t>
    </r>
  </si>
  <si>
    <r>
      <t>Slender element reduction factor, Q</t>
    </r>
    <r>
      <rPr>
        <vertAlign val="subscript"/>
        <sz val="10"/>
        <rFont val="Arial"/>
        <family val="2"/>
      </rPr>
      <t>a</t>
    </r>
    <r>
      <rPr>
        <sz val="10"/>
        <rFont val="Arial"/>
        <family val="2"/>
      </rPr>
      <t xml:space="preserve"> = A</t>
    </r>
    <r>
      <rPr>
        <vertAlign val="subscript"/>
        <sz val="10"/>
        <rFont val="Arial"/>
        <family val="2"/>
      </rPr>
      <t>eff</t>
    </r>
    <r>
      <rPr>
        <sz val="10"/>
        <rFont val="Arial"/>
        <family val="2"/>
      </rPr>
      <t xml:space="preserve">/A </t>
    </r>
  </si>
  <si>
    <r>
      <t>Q</t>
    </r>
    <r>
      <rPr>
        <vertAlign val="subscript"/>
        <sz val="10"/>
        <rFont val="Arial"/>
        <family val="2"/>
      </rPr>
      <t>a</t>
    </r>
    <r>
      <rPr>
        <sz val="10"/>
        <rFont val="Arial"/>
        <family val="2"/>
      </rPr>
      <t xml:space="preserve"> =</t>
    </r>
  </si>
  <si>
    <t>Interior girder, DC1</t>
  </si>
  <si>
    <t>Exterior girder, DC1</t>
  </si>
  <si>
    <t>Interior girder, DC2</t>
  </si>
  <si>
    <t>Exterior girder, DC2</t>
  </si>
  <si>
    <t>Interior girder, DW</t>
  </si>
  <si>
    <t>Exterior girder, DW</t>
  </si>
  <si>
    <t>Non-composite DC1 loads - include girder, deck, haunch, interior diaphragms</t>
  </si>
  <si>
    <t>Wingwall height at end</t>
  </si>
  <si>
    <t>Uplift force (acts @ 1/4 point)</t>
  </si>
  <si>
    <t>distributed force =</t>
  </si>
  <si>
    <r>
      <t>Axial force induced in piles, P</t>
    </r>
    <r>
      <rPr>
        <vertAlign val="subscript"/>
        <sz val="10"/>
        <rFont val="Arial"/>
        <family val="2"/>
      </rPr>
      <t>T</t>
    </r>
    <r>
      <rPr>
        <sz val="10"/>
        <rFont val="Arial"/>
        <family val="2"/>
      </rPr>
      <t xml:space="preserve"> =</t>
    </r>
  </si>
  <si>
    <r>
      <t>Total factored resistance per pile, Q</t>
    </r>
    <r>
      <rPr>
        <vertAlign val="subscript"/>
        <sz val="10"/>
        <rFont val="Arial"/>
        <family val="2"/>
      </rPr>
      <t>R</t>
    </r>
    <r>
      <rPr>
        <sz val="10"/>
        <rFont val="Arial"/>
        <family val="2"/>
      </rPr>
      <t xml:space="preserve"> = </t>
    </r>
    <r>
      <rPr>
        <sz val="10"/>
        <rFont val="Symbol"/>
        <family val="1"/>
        <charset val="2"/>
      </rPr>
      <t>f</t>
    </r>
    <r>
      <rPr>
        <vertAlign val="subscript"/>
        <sz val="10"/>
        <rFont val="Arial"/>
        <family val="2"/>
      </rPr>
      <t>qp</t>
    </r>
    <r>
      <rPr>
        <sz val="10"/>
        <rFont val="Arial"/>
        <family val="2"/>
      </rPr>
      <t>Q</t>
    </r>
    <r>
      <rPr>
        <vertAlign val="subscript"/>
        <sz val="10"/>
        <rFont val="Arial"/>
        <family val="2"/>
      </rPr>
      <t>p</t>
    </r>
    <r>
      <rPr>
        <sz val="10"/>
        <rFont val="Arial"/>
        <family val="2"/>
      </rPr>
      <t xml:space="preserve"> + </t>
    </r>
    <r>
      <rPr>
        <sz val="10"/>
        <rFont val="Symbol"/>
        <family val="1"/>
        <charset val="2"/>
      </rPr>
      <t>f</t>
    </r>
    <r>
      <rPr>
        <vertAlign val="subscript"/>
        <sz val="10"/>
        <rFont val="Arial"/>
        <family val="2"/>
      </rPr>
      <t>qs</t>
    </r>
    <r>
      <rPr>
        <sz val="10"/>
        <rFont val="Arial"/>
        <family val="2"/>
      </rPr>
      <t>Q</t>
    </r>
    <r>
      <rPr>
        <vertAlign val="subscript"/>
        <sz val="10"/>
        <rFont val="Arial"/>
        <family val="2"/>
      </rPr>
      <t>s</t>
    </r>
  </si>
  <si>
    <t>Out-to-out superstructure width</t>
  </si>
  <si>
    <r>
      <t xml:space="preserve">Per AASHTO 1.3.2.1, the LRFD design philosophy employs the equation </t>
    </r>
    <r>
      <rPr>
        <sz val="10"/>
        <rFont val="Symbol"/>
        <family val="1"/>
        <charset val="2"/>
      </rPr>
      <t>S</t>
    </r>
    <r>
      <rPr>
        <sz val="12"/>
        <rFont val="Symbol"/>
        <family val="1"/>
        <charset val="2"/>
      </rPr>
      <t>h</t>
    </r>
    <r>
      <rPr>
        <vertAlign val="subscript"/>
        <sz val="10"/>
        <rFont val="Arial"/>
        <family val="2"/>
      </rPr>
      <t>i</t>
    </r>
    <r>
      <rPr>
        <sz val="10"/>
        <rFont val="Symbol"/>
        <family val="1"/>
        <charset val="2"/>
      </rPr>
      <t>g</t>
    </r>
    <r>
      <rPr>
        <vertAlign val="subscript"/>
        <sz val="10"/>
        <rFont val="Arial"/>
        <family val="2"/>
      </rPr>
      <t>i</t>
    </r>
    <r>
      <rPr>
        <sz val="10"/>
        <rFont val="Arial"/>
        <family val="2"/>
      </rPr>
      <t>Q</t>
    </r>
    <r>
      <rPr>
        <vertAlign val="subscript"/>
        <sz val="10"/>
        <rFont val="Arial"/>
        <family val="2"/>
      </rPr>
      <t>i</t>
    </r>
    <r>
      <rPr>
        <sz val="10"/>
        <rFont val="Arial"/>
        <family val="2"/>
      </rPr>
      <t xml:space="preserve"> </t>
    </r>
    <r>
      <rPr>
        <sz val="10"/>
        <rFont val="Symbol"/>
        <family val="1"/>
        <charset val="2"/>
      </rPr>
      <t>£</t>
    </r>
    <r>
      <rPr>
        <sz val="10"/>
        <rFont val="Arial"/>
        <family val="2"/>
      </rPr>
      <t xml:space="preserve"> </t>
    </r>
    <r>
      <rPr>
        <sz val="10"/>
        <rFont val="Symbol"/>
        <family val="1"/>
        <charset val="2"/>
      </rPr>
      <t>j</t>
    </r>
    <r>
      <rPr>
        <sz val="10"/>
        <rFont val="Arial"/>
        <family val="2"/>
      </rPr>
      <t>R</t>
    </r>
    <r>
      <rPr>
        <vertAlign val="subscript"/>
        <sz val="10"/>
        <rFont val="Arial"/>
        <family val="2"/>
      </rPr>
      <t>n</t>
    </r>
    <r>
      <rPr>
        <sz val="10"/>
        <rFont val="Arial"/>
        <family val="2"/>
      </rPr>
      <t xml:space="preserve"> = R</t>
    </r>
    <r>
      <rPr>
        <vertAlign val="subscript"/>
        <sz val="10"/>
        <rFont val="Arial"/>
        <family val="2"/>
      </rPr>
      <t>r</t>
    </r>
    <r>
      <rPr>
        <sz val="10"/>
        <rFont val="Arial"/>
        <family val="2"/>
      </rPr>
      <t xml:space="preserve">. In this equation, </t>
    </r>
    <r>
      <rPr>
        <sz val="10"/>
        <rFont val="Symbol"/>
        <family val="1"/>
        <charset val="2"/>
      </rPr>
      <t>g</t>
    </r>
    <r>
      <rPr>
        <vertAlign val="subscript"/>
        <sz val="10"/>
        <rFont val="Arial"/>
        <family val="2"/>
      </rPr>
      <t>i</t>
    </r>
    <r>
      <rPr>
        <sz val="10"/>
        <rFont val="Arial"/>
        <family val="2"/>
      </rPr>
      <t xml:space="preserve"> is a load factor, Q</t>
    </r>
    <r>
      <rPr>
        <vertAlign val="subscript"/>
        <sz val="10"/>
        <rFont val="Arial"/>
        <family val="2"/>
      </rPr>
      <t>i</t>
    </r>
    <r>
      <rPr>
        <sz val="10"/>
        <rFont val="Arial"/>
        <family val="2"/>
      </rPr>
      <t xml:space="preserve"> is a load effect, </t>
    </r>
    <r>
      <rPr>
        <sz val="10"/>
        <rFont val="Symbol"/>
        <family val="1"/>
        <charset val="2"/>
      </rPr>
      <t>j</t>
    </r>
    <r>
      <rPr>
        <sz val="10"/>
        <rFont val="Arial"/>
        <family val="2"/>
      </rPr>
      <t xml:space="preserve"> is a resistance factor, R</t>
    </r>
    <r>
      <rPr>
        <vertAlign val="subscript"/>
        <sz val="10"/>
        <rFont val="Arial"/>
        <family val="2"/>
      </rPr>
      <t>n</t>
    </r>
    <r>
      <rPr>
        <sz val="10"/>
        <rFont val="Arial"/>
        <family val="2"/>
      </rPr>
      <t xml:space="preserve"> is a nominal resistance, and R</t>
    </r>
    <r>
      <rPr>
        <vertAlign val="subscript"/>
        <sz val="10"/>
        <rFont val="Arial"/>
        <family val="2"/>
      </rPr>
      <t>r</t>
    </r>
    <r>
      <rPr>
        <sz val="10"/>
        <rFont val="Arial"/>
        <family val="2"/>
      </rPr>
      <t xml:space="preserve"> is a factored resistance. This leaves the </t>
    </r>
    <r>
      <rPr>
        <sz val="12"/>
        <rFont val="Symbol"/>
        <family val="1"/>
        <charset val="2"/>
      </rPr>
      <t>h</t>
    </r>
    <r>
      <rPr>
        <vertAlign val="subscript"/>
        <sz val="10"/>
        <rFont val="Arial"/>
        <family val="2"/>
      </rPr>
      <t xml:space="preserve"> i</t>
    </r>
    <r>
      <rPr>
        <sz val="10"/>
        <rFont val="Arial"/>
        <family val="2"/>
      </rPr>
      <t xml:space="preserve"> (eta) factor, which is a load modifier used to account for ductility, redundancy, and operational importance. </t>
    </r>
    <r>
      <rPr>
        <sz val="12"/>
        <rFont val="Symbol"/>
        <family val="1"/>
        <charset val="2"/>
      </rPr>
      <t>h</t>
    </r>
    <r>
      <rPr>
        <vertAlign val="subscript"/>
        <sz val="10"/>
        <rFont val="Arial"/>
        <family val="2"/>
      </rPr>
      <t xml:space="preserve"> i,max</t>
    </r>
    <r>
      <rPr>
        <sz val="10"/>
        <rFont val="Arial"/>
        <family val="2"/>
      </rPr>
      <t xml:space="preserve"> is used when maximizing loads. </t>
    </r>
    <r>
      <rPr>
        <sz val="12"/>
        <rFont val="Symbol"/>
        <family val="1"/>
        <charset val="2"/>
      </rPr>
      <t>h</t>
    </r>
    <r>
      <rPr>
        <vertAlign val="subscript"/>
        <sz val="10"/>
        <rFont val="Arial"/>
        <family val="2"/>
      </rPr>
      <t xml:space="preserve"> i,min</t>
    </r>
    <r>
      <rPr>
        <sz val="10"/>
        <rFont val="Arial"/>
        <family val="2"/>
      </rPr>
      <t xml:space="preserve"> is used when minimizing loads. DM-4 1.3.2.1 limits </t>
    </r>
    <r>
      <rPr>
        <sz val="12"/>
        <rFont val="Symbol"/>
        <family val="1"/>
        <charset val="2"/>
      </rPr>
      <t>h</t>
    </r>
    <r>
      <rPr>
        <vertAlign val="subscript"/>
        <sz val="10"/>
        <rFont val="Arial"/>
        <family val="2"/>
      </rPr>
      <t xml:space="preserve"> i</t>
    </r>
    <r>
      <rPr>
        <sz val="10"/>
        <rFont val="Arial"/>
        <family val="2"/>
      </rPr>
      <t xml:space="preserve"> to not be less than 1.0 nor greater than 1.0.</t>
    </r>
  </si>
  <si>
    <t>Results from LPile (See the figures below for illustrations of the data required from the program).</t>
  </si>
  <si>
    <t>D10.5.5.3.3</t>
  </si>
  <si>
    <t>lbs</t>
  </si>
  <si>
    <t>The nominal flexural resistance of the concrete filled steel pipe pile is determined in accordance with AASHTO 6.12.2.3.2. Per DM-4 Ap.G1.4.2.3, the transformed yield moment used in the analysis shall not exceed the plastic moment of the steel pipe only. If so, the plastic moment is used for both.</t>
  </si>
  <si>
    <t>Per DM-4 Ap.G1.4.2.3, the concrete inside the pipe is not included.</t>
  </si>
  <si>
    <r>
      <t>M</t>
    </r>
    <r>
      <rPr>
        <vertAlign val="subscript"/>
        <sz val="10"/>
        <rFont val="Arial"/>
        <family val="2"/>
      </rPr>
      <t>n</t>
    </r>
    <r>
      <rPr>
        <sz val="10"/>
        <rFont val="Arial"/>
        <family val="2"/>
      </rPr>
      <t xml:space="preserve"> =</t>
    </r>
  </si>
  <si>
    <r>
      <t>D</t>
    </r>
    <r>
      <rPr>
        <vertAlign val="subscript"/>
        <sz val="10"/>
        <rFont val="Arial"/>
        <family val="2"/>
      </rPr>
      <t>T</t>
    </r>
    <r>
      <rPr>
        <sz val="10"/>
        <rFont val="Arial"/>
        <family val="2"/>
      </rPr>
      <t xml:space="preserve"> =</t>
    </r>
  </si>
  <si>
    <r>
      <t xml:space="preserve">Temperature range (sum of rise and fall), </t>
    </r>
    <r>
      <rPr>
        <sz val="10"/>
        <rFont val="Symbol"/>
        <family val="1"/>
        <charset val="2"/>
      </rPr>
      <t>D</t>
    </r>
    <r>
      <rPr>
        <vertAlign val="subscript"/>
        <sz val="10"/>
        <rFont val="Arial"/>
        <family val="2"/>
      </rPr>
      <t>T</t>
    </r>
    <r>
      <rPr>
        <sz val="10"/>
        <rFont val="Arial"/>
        <family val="2"/>
      </rPr>
      <t xml:space="preserve"> </t>
    </r>
  </si>
  <si>
    <r>
      <t>D</t>
    </r>
    <r>
      <rPr>
        <sz val="10"/>
        <rFont val="Arial"/>
        <family val="2"/>
      </rPr>
      <t xml:space="preserve"> =</t>
    </r>
  </si>
  <si>
    <r>
      <t xml:space="preserve">Design displacement, </t>
    </r>
    <r>
      <rPr>
        <sz val="10"/>
        <rFont val="Symbol"/>
        <family val="1"/>
        <charset val="2"/>
      </rPr>
      <t>D</t>
    </r>
    <r>
      <rPr>
        <sz val="10"/>
        <rFont val="Arial"/>
        <family val="2"/>
      </rPr>
      <t xml:space="preserve"> = k</t>
    </r>
    <r>
      <rPr>
        <sz val="10"/>
        <rFont val="Symbol"/>
        <family val="1"/>
        <charset val="2"/>
      </rPr>
      <t>f</t>
    </r>
    <r>
      <rPr>
        <vertAlign val="subscript"/>
        <sz val="10"/>
        <rFont val="Arial"/>
        <family val="2"/>
      </rPr>
      <t>T</t>
    </r>
    <r>
      <rPr>
        <sz val="10"/>
        <rFont val="Symbol"/>
        <family val="1"/>
        <charset val="2"/>
      </rPr>
      <t>aD</t>
    </r>
    <r>
      <rPr>
        <vertAlign val="subscript"/>
        <sz val="10"/>
        <rFont val="Arial"/>
        <family val="2"/>
      </rPr>
      <t>T</t>
    </r>
    <r>
      <rPr>
        <sz val="10"/>
        <rFont val="Arial"/>
        <family val="2"/>
      </rPr>
      <t xml:space="preserve">L </t>
    </r>
    <r>
      <rPr>
        <sz val="10"/>
        <rFont val="Symbol"/>
        <family val="1"/>
        <charset val="2"/>
      </rPr>
      <t/>
    </r>
  </si>
  <si>
    <r>
      <t>q</t>
    </r>
    <r>
      <rPr>
        <vertAlign val="subscript"/>
        <sz val="10"/>
        <rFont val="Arial"/>
        <family val="2"/>
      </rPr>
      <t>w</t>
    </r>
    <r>
      <rPr>
        <sz val="10"/>
        <rFont val="Arial"/>
        <family val="2"/>
      </rPr>
      <t xml:space="preserve"> =</t>
    </r>
  </si>
  <si>
    <r>
      <t>Pile yield stress, F</t>
    </r>
    <r>
      <rPr>
        <vertAlign val="subscript"/>
        <sz val="10"/>
        <rFont val="Arial"/>
        <family val="2"/>
      </rPr>
      <t>y</t>
    </r>
    <r>
      <rPr>
        <sz val="10"/>
        <rFont val="Arial"/>
        <family val="2"/>
      </rPr>
      <t xml:space="preserve"> =</t>
    </r>
  </si>
  <si>
    <r>
      <t>q</t>
    </r>
    <r>
      <rPr>
        <vertAlign val="subscript"/>
        <sz val="10"/>
        <rFont val="Arial"/>
        <family val="2"/>
      </rPr>
      <t>p</t>
    </r>
    <r>
      <rPr>
        <sz val="10"/>
        <rFont val="Arial"/>
        <family val="2"/>
      </rPr>
      <t xml:space="preserve"> =</t>
    </r>
  </si>
  <si>
    <r>
      <t>q</t>
    </r>
    <r>
      <rPr>
        <vertAlign val="subscript"/>
        <sz val="10"/>
        <rFont val="Arial"/>
        <family val="2"/>
      </rPr>
      <t>inel</t>
    </r>
    <r>
      <rPr>
        <sz val="10"/>
        <rFont val="Arial"/>
        <family val="2"/>
      </rPr>
      <t xml:space="preserve"> =</t>
    </r>
  </si>
  <si>
    <r>
      <t xml:space="preserve">Inelastic rotation capacity, </t>
    </r>
    <r>
      <rPr>
        <sz val="10"/>
        <rFont val="Symbol"/>
        <family val="1"/>
        <charset val="2"/>
      </rPr>
      <t>q</t>
    </r>
    <r>
      <rPr>
        <vertAlign val="subscript"/>
        <sz val="10"/>
        <rFont val="Arial"/>
        <family val="2"/>
      </rPr>
      <t>inel</t>
    </r>
    <r>
      <rPr>
        <sz val="10"/>
        <rFont val="Arial"/>
        <family val="2"/>
      </rPr>
      <t xml:space="preserve"> = (K*C</t>
    </r>
    <r>
      <rPr>
        <vertAlign val="subscript"/>
        <sz val="10"/>
        <rFont val="Arial"/>
        <family val="2"/>
      </rPr>
      <t>i</t>
    </r>
    <r>
      <rPr>
        <sz val="10"/>
        <rFont val="Arial"/>
        <family val="2"/>
      </rPr>
      <t>M</t>
    </r>
    <r>
      <rPr>
        <vertAlign val="subscript"/>
        <sz val="10"/>
        <rFont val="Arial"/>
        <family val="2"/>
      </rPr>
      <t>p</t>
    </r>
    <r>
      <rPr>
        <sz val="10"/>
        <rFont val="Arial"/>
        <family val="2"/>
      </rPr>
      <t>L</t>
    </r>
    <r>
      <rPr>
        <vertAlign val="subscript"/>
        <sz val="10"/>
        <rFont val="Arial"/>
        <family val="2"/>
      </rPr>
      <t>i</t>
    </r>
    <r>
      <rPr>
        <sz val="10"/>
        <rFont val="Arial"/>
        <family val="2"/>
      </rPr>
      <t>)/EI =</t>
    </r>
  </si>
  <si>
    <r>
      <t>D</t>
    </r>
    <r>
      <rPr>
        <vertAlign val="subscript"/>
        <sz val="10"/>
        <rFont val="Arial"/>
        <family val="2"/>
      </rPr>
      <t>i</t>
    </r>
    <r>
      <rPr>
        <sz val="10"/>
        <rFont val="Arial"/>
        <family val="2"/>
      </rPr>
      <t xml:space="preserve"> =</t>
    </r>
  </si>
  <si>
    <t>Additional loading lines here</t>
  </si>
  <si>
    <r>
      <t>l</t>
    </r>
    <r>
      <rPr>
        <sz val="10"/>
        <rFont val="Arial"/>
        <family val="2"/>
      </rPr>
      <t xml:space="preserve"> = (K</t>
    </r>
    <r>
      <rPr>
        <sz val="10"/>
        <rFont val="Arial"/>
        <family val="2"/>
      </rPr>
      <t>L</t>
    </r>
    <r>
      <rPr>
        <vertAlign val="subscript"/>
        <sz val="10"/>
        <rFont val="Arial"/>
        <family val="2"/>
      </rPr>
      <t>sc</t>
    </r>
    <r>
      <rPr>
        <sz val="10"/>
        <rFont val="Arial"/>
        <family val="2"/>
      </rPr>
      <t>/r</t>
    </r>
    <r>
      <rPr>
        <vertAlign val="subscript"/>
        <sz val="10"/>
        <rFont val="Arial"/>
        <family val="2"/>
      </rPr>
      <t>s</t>
    </r>
    <r>
      <rPr>
        <sz val="10"/>
        <rFont val="Symbol"/>
        <family val="1"/>
        <charset val="2"/>
      </rPr>
      <t>p</t>
    </r>
    <r>
      <rPr>
        <sz val="10"/>
        <rFont val="Arial"/>
        <family val="2"/>
      </rPr>
      <t>)</t>
    </r>
    <r>
      <rPr>
        <vertAlign val="superscript"/>
        <sz val="10"/>
        <rFont val="Arial"/>
        <family val="2"/>
      </rPr>
      <t>2</t>
    </r>
    <r>
      <rPr>
        <sz val="10"/>
        <rFont val="Arial"/>
        <family val="2"/>
      </rPr>
      <t xml:space="preserve"> (F</t>
    </r>
    <r>
      <rPr>
        <vertAlign val="subscript"/>
        <sz val="10"/>
        <rFont val="Arial"/>
        <family val="2"/>
      </rPr>
      <t>e</t>
    </r>
    <r>
      <rPr>
        <sz val="10"/>
        <rFont val="Arial"/>
        <family val="2"/>
      </rPr>
      <t>/E</t>
    </r>
    <r>
      <rPr>
        <vertAlign val="subscript"/>
        <sz val="10"/>
        <rFont val="Arial"/>
        <family val="2"/>
      </rPr>
      <t>e</t>
    </r>
    <r>
      <rPr>
        <sz val="10"/>
        <rFont val="Arial"/>
        <family val="2"/>
      </rPr>
      <t>) =</t>
    </r>
  </si>
  <si>
    <t>DM-4 Ap.G.1.4.2.4</t>
  </si>
  <si>
    <t>Service I Limit State Pile Loads</t>
  </si>
  <si>
    <t>The STRENGTH limit state pile resistance factors in DM-4 are to be applied assuming only axial forces are present at the tip of the pile, where any driving damage is likely to occur.  At other locations along the length of the pile, where axial forces and bending are present, the piles are generally undamaged.  For these reasons, the axial force only resistance factor is low at the STRENGTH limit state while the combined flexure and axial force resistance factors are higher.  The calculated nominal axial resistances are also different, as the pile is assumed fully supported at the tip, but an unbraced length of 0.65 times the depth to fixity is used in the upper portion where the pile is exposed due to scour. Per DM-4 Appendix G 1.4.2.4, the scour check is applied at the extreme event limit state.  Per AASHTO 6.5.5, all resistance factors at the extreme event limit state shall be taken to be 1.0.</t>
  </si>
  <si>
    <t>4 #11 bars:</t>
  </si>
  <si>
    <t>The depth to the second point of inflection is the depth measured from the bottom of the abutment to the second point of zero moment on the pile moment diagram.  For a short pile with only one point of inflection, input the total pile length</t>
  </si>
  <si>
    <t>The unit shaft resistance (skin friction) is required for friction piles.  For layered soils, a weighted average unit shaft resistance should be used.</t>
  </si>
  <si>
    <r>
      <t>P</t>
    </r>
    <r>
      <rPr>
        <vertAlign val="subscript"/>
        <sz val="10"/>
        <rFont val="Arial"/>
        <family val="2"/>
      </rPr>
      <t>u</t>
    </r>
    <r>
      <rPr>
        <sz val="10"/>
        <rFont val="Arial"/>
        <family val="2"/>
      </rPr>
      <t xml:space="preserve"> / P</t>
    </r>
    <r>
      <rPr>
        <vertAlign val="subscript"/>
        <sz val="10"/>
        <rFont val="Arial"/>
        <family val="2"/>
      </rPr>
      <t>r</t>
    </r>
    <r>
      <rPr>
        <sz val="10"/>
        <rFont val="Arial"/>
        <family val="2"/>
      </rPr>
      <t xml:space="preserve"> =</t>
    </r>
  </si>
  <si>
    <t>Moment - axial interaction =</t>
  </si>
  <si>
    <t>L</t>
  </si>
  <si>
    <r>
      <t>P</t>
    </r>
    <r>
      <rPr>
        <vertAlign val="subscript"/>
        <sz val="10"/>
        <rFont val="Arial"/>
        <family val="2"/>
      </rPr>
      <t>T</t>
    </r>
    <r>
      <rPr>
        <sz val="10"/>
        <rFont val="Arial"/>
        <family val="2"/>
      </rPr>
      <t xml:space="preserve"> = </t>
    </r>
  </si>
  <si>
    <t>(used together)</t>
  </si>
  <si>
    <t>length =</t>
  </si>
  <si>
    <t>out-to-out width =</t>
  </si>
  <si>
    <t>skew =</t>
  </si>
  <si>
    <t>The coefficient of thermal expansion and temperature range are assigned based on the girder material, concrete or steel.</t>
  </si>
  <si>
    <t>HP360x174</t>
  </si>
  <si>
    <t>HP360x152</t>
  </si>
  <si>
    <t>HP360x108</t>
  </si>
  <si>
    <t>HP310x125</t>
  </si>
  <si>
    <t>HP310x110</t>
  </si>
  <si>
    <t>HP310x94</t>
  </si>
  <si>
    <t>HP310x79</t>
  </si>
  <si>
    <t>HP250x85</t>
  </si>
  <si>
    <t>HP250x62</t>
  </si>
  <si>
    <t>HP200x54</t>
  </si>
  <si>
    <t>HP14x117</t>
  </si>
  <si>
    <t>HP14x102</t>
  </si>
  <si>
    <t>HP14x73</t>
  </si>
  <si>
    <t>HP12x84</t>
  </si>
  <si>
    <t>HP12x74</t>
  </si>
  <si>
    <t>HP12x63</t>
  </si>
  <si>
    <t>HP12x53</t>
  </si>
  <si>
    <t>HP10x57</t>
  </si>
  <si>
    <t>HP10x42</t>
  </si>
  <si>
    <t>HP8x36</t>
  </si>
  <si>
    <t>Designation</t>
  </si>
  <si>
    <t>Metric</t>
  </si>
  <si>
    <t>English</t>
  </si>
  <si>
    <t>Area</t>
  </si>
  <si>
    <t>Depth</t>
  </si>
  <si>
    <r>
      <t>I</t>
    </r>
    <r>
      <rPr>
        <vertAlign val="subscript"/>
        <sz val="10"/>
        <rFont val="Arial"/>
        <family val="2"/>
      </rPr>
      <t>yy</t>
    </r>
  </si>
  <si>
    <r>
      <t>S</t>
    </r>
    <r>
      <rPr>
        <vertAlign val="subscript"/>
        <sz val="10"/>
        <rFont val="Arial"/>
        <family val="2"/>
      </rPr>
      <t>yy</t>
    </r>
  </si>
  <si>
    <r>
      <t>r</t>
    </r>
    <r>
      <rPr>
        <vertAlign val="subscript"/>
        <sz val="10"/>
        <rFont val="Arial"/>
        <family val="2"/>
      </rPr>
      <t>yy</t>
    </r>
  </si>
  <si>
    <r>
      <t>Z</t>
    </r>
    <r>
      <rPr>
        <vertAlign val="subscript"/>
        <sz val="10"/>
        <rFont val="Arial"/>
        <family val="2"/>
      </rPr>
      <t>yy</t>
    </r>
  </si>
  <si>
    <r>
      <t>t</t>
    </r>
    <r>
      <rPr>
        <vertAlign val="subscript"/>
        <sz val="10"/>
        <rFont val="Arial"/>
        <family val="2"/>
      </rPr>
      <t>f</t>
    </r>
  </si>
  <si>
    <r>
      <t>b</t>
    </r>
    <r>
      <rPr>
        <vertAlign val="subscript"/>
        <sz val="10"/>
        <rFont val="Arial"/>
        <family val="2"/>
      </rPr>
      <t>f</t>
    </r>
  </si>
  <si>
    <r>
      <t>t</t>
    </r>
    <r>
      <rPr>
        <vertAlign val="subscript"/>
        <sz val="10"/>
        <rFont val="Arial"/>
        <family val="2"/>
      </rPr>
      <t>w</t>
    </r>
  </si>
  <si>
    <t>The total axial force induced in the pile due to these three components is equal to:</t>
  </si>
  <si>
    <r>
      <t>Yield stress of pile steel, F</t>
    </r>
    <r>
      <rPr>
        <vertAlign val="subscript"/>
        <sz val="10"/>
        <rFont val="Arial"/>
        <family val="2"/>
      </rPr>
      <t>y</t>
    </r>
  </si>
  <si>
    <t>Pile Properties</t>
  </si>
  <si>
    <t>Type of piles H - HP shape, P - pipe</t>
  </si>
  <si>
    <r>
      <t>Moment of inertia, I</t>
    </r>
    <r>
      <rPr>
        <vertAlign val="subscript"/>
        <sz val="10"/>
        <rFont val="Arial"/>
        <family val="2"/>
      </rPr>
      <t>y-y</t>
    </r>
  </si>
  <si>
    <t>Pipe</t>
  </si>
  <si>
    <t>Future wearing surface currently present (Y or N)?</t>
  </si>
  <si>
    <t>DW load factors</t>
  </si>
  <si>
    <t>Maximum =</t>
  </si>
  <si>
    <t>Minimum =</t>
  </si>
  <si>
    <t>Future wearing surface currently present on bridge (Y or N)?</t>
  </si>
  <si>
    <t>Pile resistance factors</t>
  </si>
  <si>
    <t>Shaft resistance (skin friction)</t>
  </si>
  <si>
    <r>
      <t>Nominal axial resistance, P</t>
    </r>
    <r>
      <rPr>
        <vertAlign val="subscript"/>
        <sz val="10"/>
        <rFont val="Arial"/>
        <family val="2"/>
      </rPr>
      <t>n</t>
    </r>
    <r>
      <rPr>
        <sz val="10"/>
        <rFont val="Arial"/>
        <family val="2"/>
      </rPr>
      <t xml:space="preserve"> =</t>
    </r>
  </si>
  <si>
    <t>Wingwall height at back face of abutment</t>
  </si>
  <si>
    <t>Current Pile Data</t>
  </si>
  <si>
    <r>
      <t>Plastic Moment, M</t>
    </r>
    <r>
      <rPr>
        <vertAlign val="subscript"/>
        <sz val="10"/>
        <rFont val="Arial"/>
        <family val="2"/>
      </rPr>
      <t>p</t>
    </r>
    <r>
      <rPr>
        <sz val="10"/>
        <rFont val="Arial"/>
        <family val="2"/>
      </rPr>
      <t xml:space="preserve"> = F</t>
    </r>
    <r>
      <rPr>
        <vertAlign val="subscript"/>
        <sz val="10"/>
        <rFont val="Arial"/>
        <family val="2"/>
      </rPr>
      <t>y</t>
    </r>
    <r>
      <rPr>
        <sz val="10"/>
        <rFont val="Arial"/>
        <family val="2"/>
      </rPr>
      <t xml:space="preserve"> Z</t>
    </r>
    <r>
      <rPr>
        <vertAlign val="subscript"/>
        <sz val="10"/>
        <rFont val="Arial"/>
        <family val="2"/>
      </rPr>
      <t>y</t>
    </r>
    <r>
      <rPr>
        <sz val="10"/>
        <rFont val="Arial"/>
        <family val="2"/>
      </rPr>
      <t xml:space="preserve"> =</t>
    </r>
  </si>
  <si>
    <t>Typical LPile results (exaggerated)</t>
  </si>
  <si>
    <t>l =</t>
  </si>
  <si>
    <r>
      <t>Unbraced length, l = Depth to Fixity, L</t>
    </r>
    <r>
      <rPr>
        <vertAlign val="subscript"/>
        <sz val="10"/>
        <rFont val="Arial"/>
        <family val="2"/>
      </rPr>
      <t>sc</t>
    </r>
  </si>
  <si>
    <t>kips as calculated previously</t>
  </si>
  <si>
    <t>Per DM-4 6.5.2, the resistance factors for the stability (pile buckling) check at the service limit state are equal to 1.0.</t>
  </si>
  <si>
    <t>Refer to the previous calculations for the compactness of the flange and nominal flexural resistance calculations.</t>
  </si>
  <si>
    <r>
      <t xml:space="preserve">Tip (bearing) resistance factor, </t>
    </r>
    <r>
      <rPr>
        <sz val="10"/>
        <rFont val="Symbol"/>
        <family val="1"/>
        <charset val="2"/>
      </rPr>
      <t>f</t>
    </r>
    <r>
      <rPr>
        <vertAlign val="subscript"/>
        <sz val="10"/>
        <rFont val="Arial"/>
        <family val="2"/>
      </rPr>
      <t>qp</t>
    </r>
    <r>
      <rPr>
        <sz val="10"/>
        <rFont val="Arial"/>
        <family val="2"/>
      </rPr>
      <t xml:space="preserve"> =</t>
    </r>
  </si>
  <si>
    <r>
      <t>Nominal pile tip resistance, Q</t>
    </r>
    <r>
      <rPr>
        <vertAlign val="subscript"/>
        <sz val="10"/>
        <rFont val="Arial"/>
        <family val="2"/>
      </rPr>
      <t>p</t>
    </r>
    <r>
      <rPr>
        <sz val="10"/>
        <rFont val="Arial"/>
        <family val="2"/>
      </rPr>
      <t xml:space="preserve"> =</t>
    </r>
  </si>
  <si>
    <t>kips, as previously calculated</t>
  </si>
  <si>
    <r>
      <t xml:space="preserve">Shaft (skin friction) resistance factor (previously entered), </t>
    </r>
    <r>
      <rPr>
        <sz val="10"/>
        <rFont val="Symbol"/>
        <family val="1"/>
        <charset val="2"/>
      </rPr>
      <t>f</t>
    </r>
    <r>
      <rPr>
        <vertAlign val="subscript"/>
        <sz val="10"/>
        <rFont val="Arial"/>
        <family val="2"/>
      </rPr>
      <t>qs</t>
    </r>
    <r>
      <rPr>
        <sz val="10"/>
        <rFont val="Arial"/>
        <family val="2"/>
      </rPr>
      <t xml:space="preserve"> =</t>
    </r>
  </si>
  <si>
    <r>
      <t>Unit shaft resistance, q</t>
    </r>
    <r>
      <rPr>
        <vertAlign val="subscript"/>
        <sz val="10"/>
        <rFont val="Arial"/>
        <family val="2"/>
      </rPr>
      <t>s</t>
    </r>
    <r>
      <rPr>
        <sz val="10"/>
        <rFont val="Arial"/>
        <family val="2"/>
      </rPr>
      <t xml:space="preserve"> =</t>
    </r>
  </si>
  <si>
    <t>ksi, as previously input</t>
  </si>
  <si>
    <t>as previously calculated</t>
  </si>
  <si>
    <r>
      <t>Depth to 2% deflection at the Strength Limit State, L</t>
    </r>
    <r>
      <rPr>
        <vertAlign val="subscript"/>
        <sz val="10"/>
        <rFont val="Arial"/>
        <family val="2"/>
      </rPr>
      <t>sn</t>
    </r>
    <r>
      <rPr>
        <sz val="10"/>
        <rFont val="Arial"/>
        <family val="2"/>
      </rPr>
      <t xml:space="preserve"> =</t>
    </r>
  </si>
  <si>
    <r>
      <t>Maximum bending moment in pile at the Service I Limit State, M</t>
    </r>
    <r>
      <rPr>
        <vertAlign val="subscript"/>
        <sz val="10"/>
        <rFont val="Arial"/>
        <family val="2"/>
      </rPr>
      <t>su</t>
    </r>
    <r>
      <rPr>
        <sz val="10"/>
        <rFont val="Arial"/>
        <family val="2"/>
      </rPr>
      <t xml:space="preserve"> =</t>
    </r>
  </si>
  <si>
    <r>
      <t>Maximum bending moment in pile at the Strength Limit State, M</t>
    </r>
    <r>
      <rPr>
        <vertAlign val="subscript"/>
        <sz val="10"/>
        <rFont val="Arial"/>
        <family val="2"/>
      </rPr>
      <t>su</t>
    </r>
    <r>
      <rPr>
        <sz val="10"/>
        <rFont val="Arial"/>
        <family val="2"/>
      </rPr>
      <t xml:space="preserve"> =</t>
    </r>
  </si>
  <si>
    <t>k-in as calculated previously</t>
  </si>
  <si>
    <t>The percentage of thermal expansion that occurs at the abutment being designed is input here.  The value should be between 0 and 100%.  For symmetrical structures, 50% of the expansion occurs at each abutment.  For unsymmetrical structures, use the procedure described in DM-4 Ap.G1.2.7.4 to determine the percentage of movement at each end.</t>
  </si>
  <si>
    <r>
      <t>Maximum movement (expansion or contraction) at abutment (</t>
    </r>
    <r>
      <rPr>
        <sz val="12"/>
        <rFont val="Symbol"/>
        <family val="1"/>
        <charset val="2"/>
      </rPr>
      <t>±</t>
    </r>
    <r>
      <rPr>
        <sz val="10"/>
        <rFont val="Arial"/>
        <family val="2"/>
      </rPr>
      <t xml:space="preserve">), </t>
    </r>
    <r>
      <rPr>
        <sz val="10"/>
        <rFont val="Symbol"/>
        <family val="1"/>
        <charset val="2"/>
      </rPr>
      <t>D</t>
    </r>
  </si>
  <si>
    <t>DM-4 Ap.G.1.2.2, skews are limited to 70 degrees or more for continuous spans and single spans longer than 130 ft.  Skews of up to 60 degrees are allowed for single spans in excess of 90 ft but not longer than 130 ft.  For single spans 90 ft and less, skews up to 45 degrees are permitted.  Only positive skew values &gt;45 or &lt;90 degrees can be used in the spreadsheet.</t>
  </si>
  <si>
    <t>The number of girders and the girder spacing are needed to determine the maximum girder reaction for pile cap design.  Other dimensions are used to determine various things such as end diaphragm height and lateral wind area of the span, which are utilized in calculating dead and wind loads.</t>
  </si>
  <si>
    <t xml:space="preserve">Girder width </t>
  </si>
  <si>
    <t>ft (maximum of top or bottom flange width at the abutment)</t>
  </si>
  <si>
    <t>Per DM-4 Ap.G.1.4.1, the abutment width is set at 4 ft so that for any potential skew angle, the pile cap reinforcement can fit around the piles.</t>
  </si>
  <si>
    <t>Per DM-4 Ap.G.1.4.1, the minimum pile cap height is 3.25 ft.  The flexural design of the pile cap is based on the supplied minimum dimension.  There are a number of factors which can affect the maximum pile cap height.  These include, but are not limited to, bridge width and cross-slopes, superelevation, skew, etc.</t>
  </si>
  <si>
    <r>
      <t>Although DM-4 Ap.G.1.4.1 permits the opposite ends of integral abutments to vary up to 1.5 ft in height due to superelevation (1 ft for skews less than 80</t>
    </r>
    <r>
      <rPr>
        <vertAlign val="superscript"/>
        <sz val="10"/>
        <rFont val="Arial"/>
        <family val="2"/>
      </rPr>
      <t>o</t>
    </r>
    <r>
      <rPr>
        <sz val="10"/>
        <rFont val="Arial"/>
        <family val="2"/>
      </rPr>
      <t>), sloping the bottom of the pile cap such that the ends are equal is recommended by PennDOT to simplify reinforcement details.</t>
    </r>
  </si>
  <si>
    <r>
      <t>Pile cap height at the crown of the roadway, or at the bridge midwidth for a superelevated roadway, d</t>
    </r>
    <r>
      <rPr>
        <vertAlign val="subscript"/>
        <sz val="10"/>
        <rFont val="Arial"/>
        <family val="2"/>
      </rPr>
      <t>pc,cl</t>
    </r>
  </si>
  <si>
    <t>WINGWALL DATA</t>
  </si>
  <si>
    <t>Is a pile analysis for scour required?</t>
  </si>
  <si>
    <r>
      <t xml:space="preserve">  L</t>
    </r>
    <r>
      <rPr>
        <vertAlign val="subscript"/>
        <sz val="10"/>
        <rFont val="Arial"/>
        <family val="2"/>
      </rPr>
      <t>sn</t>
    </r>
  </si>
  <si>
    <r>
      <t>L</t>
    </r>
    <r>
      <rPr>
        <vertAlign val="subscript"/>
        <sz val="10"/>
        <rFont val="Arial"/>
        <family val="2"/>
      </rPr>
      <t>sc</t>
    </r>
  </si>
  <si>
    <r>
      <t>D</t>
    </r>
    <r>
      <rPr>
        <sz val="10"/>
        <rFont val="Arial"/>
        <family val="2"/>
      </rPr>
      <t xml:space="preserve"> = 2%</t>
    </r>
  </si>
  <si>
    <t xml:space="preserve"> Soil surface</t>
  </si>
  <si>
    <r>
      <t>M</t>
    </r>
    <r>
      <rPr>
        <vertAlign val="subscript"/>
        <sz val="10"/>
        <rFont val="Arial"/>
        <family val="2"/>
      </rPr>
      <t>su</t>
    </r>
  </si>
  <si>
    <t>The unfactored extreme loads per pile for wind cases are calculated similar to the girder reactions.</t>
  </si>
  <si>
    <t>WS Pile Loads</t>
  </si>
  <si>
    <t>Uplift Pile Loads</t>
  </si>
  <si>
    <t>WL Pile Loads</t>
  </si>
  <si>
    <t>CE Pile Loads</t>
  </si>
  <si>
    <t>in, per DM-4 App. G 1.5</t>
  </si>
  <si>
    <t>ft, per DM-4 App. G 1.5</t>
  </si>
  <si>
    <t>k, per DM-4 3.5.1</t>
  </si>
  <si>
    <t>k, per AASHTO 3.6.1.2.4</t>
  </si>
  <si>
    <t>b</t>
  </si>
  <si>
    <t>b / t</t>
  </si>
  <si>
    <t xml:space="preserve"> --- </t>
  </si>
  <si>
    <t>k =</t>
  </si>
  <si>
    <t>E =</t>
  </si>
  <si>
    <t>Fy =</t>
  </si>
  <si>
    <t>AASHTO Table 6.9.4.2.1-1</t>
  </si>
  <si>
    <t>AASHTO Eq. 6.9.4.2.1-1</t>
  </si>
  <si>
    <t>Slender?</t>
  </si>
  <si>
    <t>Slender Check - Flange</t>
  </si>
  <si>
    <t>Slender Check - Web</t>
  </si>
  <si>
    <t>k√(E/Fy)=</t>
  </si>
  <si>
    <t>T</t>
  </si>
  <si>
    <t>Pile</t>
  </si>
  <si>
    <t>Section</t>
  </si>
  <si>
    <r>
      <t>Pile tip area, A</t>
    </r>
    <r>
      <rPr>
        <vertAlign val="subscript"/>
        <sz val="10"/>
        <rFont val="Arial"/>
        <family val="2"/>
      </rPr>
      <t>Tip</t>
    </r>
    <r>
      <rPr>
        <sz val="10"/>
        <rFont val="Arial"/>
        <family val="2"/>
      </rPr>
      <t xml:space="preserve"> = </t>
    </r>
    <r>
      <rPr>
        <sz val="10"/>
        <rFont val="Mathcad UniMath"/>
        <family val="3"/>
      </rPr>
      <t>π</t>
    </r>
    <r>
      <rPr>
        <sz val="10"/>
        <rFont val="Arial"/>
        <family val="2"/>
      </rPr>
      <t>Do</t>
    </r>
    <r>
      <rPr>
        <vertAlign val="superscript"/>
        <sz val="10"/>
        <rFont val="Arial"/>
        <family val="2"/>
      </rPr>
      <t>2</t>
    </r>
    <r>
      <rPr>
        <sz val="10"/>
        <rFont val="Arial"/>
        <family val="2"/>
      </rPr>
      <t>/4 (Pipe Piles) or bf x d (H-Piles) =</t>
    </r>
  </si>
  <si>
    <r>
      <t>If P</t>
    </r>
    <r>
      <rPr>
        <vertAlign val="subscript"/>
        <sz val="10"/>
        <rFont val="Arial"/>
        <family val="2"/>
      </rPr>
      <t>u</t>
    </r>
    <r>
      <rPr>
        <sz val="10"/>
        <rFont val="Arial"/>
        <family val="2"/>
      </rPr>
      <t xml:space="preserve"> / P</t>
    </r>
    <r>
      <rPr>
        <vertAlign val="subscript"/>
        <sz val="10"/>
        <rFont val="Arial"/>
        <family val="2"/>
      </rPr>
      <t>r</t>
    </r>
    <r>
      <rPr>
        <sz val="10"/>
        <rFont val="Arial"/>
        <family val="2"/>
      </rPr>
      <t xml:space="preserve"> &lt; 0.2 then P</t>
    </r>
    <r>
      <rPr>
        <vertAlign val="subscript"/>
        <sz val="10"/>
        <rFont val="Arial"/>
        <family val="2"/>
      </rPr>
      <t>u</t>
    </r>
    <r>
      <rPr>
        <sz val="10"/>
        <rFont val="Arial"/>
        <family val="2"/>
      </rPr>
      <t xml:space="preserve"> / 2.0P</t>
    </r>
    <r>
      <rPr>
        <vertAlign val="subscript"/>
        <sz val="10"/>
        <rFont val="Arial"/>
        <family val="2"/>
      </rPr>
      <t>r</t>
    </r>
    <r>
      <rPr>
        <sz val="10"/>
        <rFont val="Arial"/>
        <family val="2"/>
      </rPr>
      <t xml:space="preserve"> + M</t>
    </r>
    <r>
      <rPr>
        <vertAlign val="subscript"/>
        <sz val="10"/>
        <rFont val="Arial"/>
        <family val="2"/>
      </rPr>
      <t>u</t>
    </r>
    <r>
      <rPr>
        <sz val="10"/>
        <rFont val="Arial"/>
        <family val="2"/>
      </rPr>
      <t xml:space="preserve"> / M</t>
    </r>
    <r>
      <rPr>
        <vertAlign val="subscript"/>
        <sz val="10"/>
        <rFont val="Arial"/>
        <family val="2"/>
      </rPr>
      <t>r</t>
    </r>
    <r>
      <rPr>
        <sz val="10"/>
        <rFont val="Arial"/>
        <family val="2"/>
      </rPr>
      <t xml:space="preserve"> </t>
    </r>
    <r>
      <rPr>
        <b/>
        <sz val="10"/>
        <rFont val="Symbol"/>
        <family val="1"/>
        <charset val="2"/>
      </rPr>
      <t>£</t>
    </r>
    <r>
      <rPr>
        <sz val="10"/>
        <rFont val="Arial"/>
        <family val="2"/>
      </rPr>
      <t xml:space="preserve"> 1.0 per AASHTO Equation 6.9.2.2-1</t>
    </r>
  </si>
  <si>
    <r>
      <t>If P</t>
    </r>
    <r>
      <rPr>
        <vertAlign val="subscript"/>
        <sz val="10"/>
        <rFont val="Arial"/>
        <family val="2"/>
      </rPr>
      <t>u</t>
    </r>
    <r>
      <rPr>
        <sz val="10"/>
        <rFont val="Arial"/>
        <family val="2"/>
      </rPr>
      <t xml:space="preserve"> / P</t>
    </r>
    <r>
      <rPr>
        <vertAlign val="subscript"/>
        <sz val="10"/>
        <rFont val="Arial"/>
        <family val="2"/>
      </rPr>
      <t>r</t>
    </r>
    <r>
      <rPr>
        <sz val="10"/>
        <rFont val="Arial"/>
        <family val="2"/>
      </rPr>
      <t xml:space="preserve"> </t>
    </r>
    <r>
      <rPr>
        <b/>
        <sz val="10"/>
        <rFont val="Symbol"/>
        <family val="1"/>
        <charset val="2"/>
      </rPr>
      <t>³</t>
    </r>
    <r>
      <rPr>
        <sz val="10"/>
        <rFont val="Arial"/>
        <family val="2"/>
      </rPr>
      <t xml:space="preserve"> 0.2 then P</t>
    </r>
    <r>
      <rPr>
        <vertAlign val="subscript"/>
        <sz val="10"/>
        <rFont val="Arial"/>
        <family val="2"/>
      </rPr>
      <t>u</t>
    </r>
    <r>
      <rPr>
        <sz val="10"/>
        <rFont val="Arial"/>
        <family val="2"/>
      </rPr>
      <t xml:space="preserve"> / P</t>
    </r>
    <r>
      <rPr>
        <vertAlign val="subscript"/>
        <sz val="10"/>
        <rFont val="Arial"/>
        <family val="2"/>
      </rPr>
      <t>r</t>
    </r>
    <r>
      <rPr>
        <sz val="10"/>
        <rFont val="Arial"/>
        <family val="2"/>
      </rPr>
      <t xml:space="preserve"> + (8.0 / 9.0) M</t>
    </r>
    <r>
      <rPr>
        <vertAlign val="subscript"/>
        <sz val="10"/>
        <rFont val="Arial"/>
        <family val="2"/>
      </rPr>
      <t>u</t>
    </r>
    <r>
      <rPr>
        <sz val="10"/>
        <rFont val="Arial"/>
        <family val="2"/>
      </rPr>
      <t xml:space="preserve"> / M</t>
    </r>
    <r>
      <rPr>
        <vertAlign val="subscript"/>
        <sz val="10"/>
        <rFont val="Arial"/>
        <family val="2"/>
      </rPr>
      <t>r</t>
    </r>
    <r>
      <rPr>
        <sz val="10"/>
        <rFont val="Arial"/>
        <family val="2"/>
      </rPr>
      <t xml:space="preserve"> </t>
    </r>
    <r>
      <rPr>
        <b/>
        <sz val="10"/>
        <rFont val="Symbol"/>
        <family val="1"/>
        <charset val="2"/>
      </rPr>
      <t>£</t>
    </r>
    <r>
      <rPr>
        <sz val="10"/>
        <rFont val="Arial"/>
        <family val="2"/>
      </rPr>
      <t xml:space="preserve"> 1.0 per AASHTO Equation 6.9.2.2-2</t>
    </r>
  </si>
  <si>
    <t>Nominal Flexural Resistance</t>
  </si>
  <si>
    <t>Factored Flexural Resistance</t>
  </si>
  <si>
    <r>
      <t>M</t>
    </r>
    <r>
      <rPr>
        <vertAlign val="subscript"/>
        <sz val="10"/>
        <rFont val="Arial"/>
        <family val="2"/>
      </rPr>
      <t>r</t>
    </r>
    <r>
      <rPr>
        <sz val="10"/>
        <rFont val="Arial"/>
        <family val="2"/>
      </rPr>
      <t xml:space="preserve"> =</t>
    </r>
  </si>
  <si>
    <t>The thermal expansion of the bridge is calculated assuming the entire superstructure length, L, is unrestrained, and undergoes a uniform thermal expansion.  This ignores the pier stiffnesses (if any) and passive soil pressure against the backwalls.  For design purposes, a percentage of this thermal expansion can be assigned to take place at the abutment under consideration.  It is the responsibility of the designer to determine the percentage of expansion.  In some cases, such as single spans with identical abutments, simply assigning 50% of the movement to each end may be appropriate.  In other cases, such as for continuous structures with unsymmetrical piers, a more in-depth thermal analysis taking pier and abutment stiffnesses into account is required.  See DM-4 Ap.G.1.2.7.4 for thermal movement requirements.</t>
  </si>
  <si>
    <r>
      <t xml:space="preserve">/ </t>
    </r>
    <r>
      <rPr>
        <vertAlign val="superscript"/>
        <sz val="10"/>
        <rFont val="Arial"/>
        <family val="2"/>
      </rPr>
      <t>o</t>
    </r>
    <r>
      <rPr>
        <sz val="10"/>
        <rFont val="Arial"/>
        <family val="2"/>
      </rPr>
      <t>F per</t>
    </r>
  </si>
  <si>
    <r>
      <t>o</t>
    </r>
    <r>
      <rPr>
        <sz val="10"/>
        <rFont val="Arial"/>
        <family val="2"/>
      </rPr>
      <t>F per DM-4 Ap.G.1.2.7.4</t>
    </r>
  </si>
  <si>
    <t>per DM-4 Ap.G.1.2.7.6</t>
  </si>
  <si>
    <r>
      <t>The density of loose sand given per AASHTO 3.5.1 is 0.100 k/ft</t>
    </r>
    <r>
      <rPr>
        <vertAlign val="superscript"/>
        <sz val="10"/>
        <rFont val="Arial"/>
        <family val="2"/>
      </rPr>
      <t>3</t>
    </r>
    <r>
      <rPr>
        <sz val="10"/>
        <rFont val="Arial"/>
        <family val="2"/>
      </rPr>
      <t>.</t>
    </r>
  </si>
  <si>
    <r>
      <t xml:space="preserve"> Q</t>
    </r>
    <r>
      <rPr>
        <vertAlign val="subscript"/>
        <sz val="10"/>
        <rFont val="Arial"/>
        <family val="2"/>
      </rPr>
      <t>R</t>
    </r>
    <r>
      <rPr>
        <sz val="10"/>
        <rFont val="Arial"/>
        <family val="2"/>
      </rPr>
      <t xml:space="preserve"> =</t>
    </r>
    <r>
      <rPr>
        <vertAlign val="subscript"/>
        <sz val="10"/>
        <rFont val="Arial"/>
        <family val="2"/>
      </rPr>
      <t/>
    </r>
  </si>
  <si>
    <t>per DM-4 Table 10.5.5.2.3-1</t>
  </si>
  <si>
    <t>Pile group moment of inertia about the longitudinal axis of the bridge =</t>
  </si>
  <si>
    <t>Pile Cap Reinforcing Design</t>
  </si>
  <si>
    <t>Pile Cap Reinforcing</t>
  </si>
  <si>
    <t>Total average abutment height</t>
  </si>
  <si>
    <t>LOAD DATA</t>
  </si>
  <si>
    <t>The depth to the uppermost point of inflection is the depth measured from the bottom of the abutment to the first point of zero moment on the pile moment diagram.</t>
  </si>
  <si>
    <r>
      <t>F</t>
    </r>
    <r>
      <rPr>
        <vertAlign val="subscript"/>
        <sz val="10"/>
        <rFont val="Arial"/>
        <family val="2"/>
      </rPr>
      <t>e</t>
    </r>
  </si>
  <si>
    <r>
      <t>E</t>
    </r>
    <r>
      <rPr>
        <vertAlign val="subscript"/>
        <sz val="10"/>
        <rFont val="Arial"/>
        <family val="2"/>
      </rPr>
      <t>e</t>
    </r>
  </si>
  <si>
    <t>Factored Dead + Live reaction for interior girder:</t>
  </si>
  <si>
    <t>Factored Dead + Live reaction for exterior girder:</t>
  </si>
  <si>
    <t>For H-piles, if the width-to-thickness ratio of the flanges is not sufficient to consider the section compact, an interaction formula from AISC is used to interpolate between the plastic moment resistance and the yield moment resistance.</t>
  </si>
  <si>
    <t>A6.9.2.2</t>
  </si>
  <si>
    <t>Curb-to-curb (roadway) width</t>
  </si>
  <si>
    <t>Average factored live load + future dead load rotations (including eta factor):</t>
  </si>
  <si>
    <t>Maximum edge distance to centerline of piles</t>
  </si>
  <si>
    <t>Extreme forces due to centrifugal forces</t>
  </si>
  <si>
    <t>CE</t>
  </si>
  <si>
    <t>Extreme forces due to centrifugal force</t>
  </si>
  <si>
    <t>Bridge Cross-section</t>
  </si>
  <si>
    <t>assumed parapet width =</t>
  </si>
  <si>
    <t>deck depth =</t>
  </si>
  <si>
    <t>Deck cross-section data</t>
  </si>
  <si>
    <t>min=</t>
  </si>
  <si>
    <t>max=</t>
  </si>
  <si>
    <t>The geotechnical resistance can be supplied by skin friction, end bearing, or both.  The easiest way to eliminate one or the other from contributing to the resistance is to simply put zero in for the unit resistance of the one to be neglected.  The resistance factors for bearing capacity and skin friction should be chosen according to the provisions of DM-4.</t>
  </si>
  <si>
    <r>
      <t xml:space="preserve">( </t>
    </r>
    <r>
      <rPr>
        <b/>
        <sz val="10"/>
        <rFont val="Symbol"/>
        <family val="1"/>
        <charset val="2"/>
      </rPr>
      <t>³</t>
    </r>
    <r>
      <rPr>
        <sz val="10"/>
        <rFont val="Arial"/>
        <family val="2"/>
      </rPr>
      <t xml:space="preserve"> 0.0)</t>
    </r>
  </si>
  <si>
    <r>
      <t>h</t>
    </r>
    <r>
      <rPr>
        <vertAlign val="subscript"/>
        <sz val="10"/>
        <rFont val="Arial"/>
        <family val="2"/>
      </rPr>
      <t xml:space="preserve"> i</t>
    </r>
    <r>
      <rPr>
        <sz val="10"/>
        <rFont val="Arial"/>
        <family val="2"/>
      </rPr>
      <t xml:space="preserve"> factor for operational importance</t>
    </r>
  </si>
  <si>
    <r>
      <t>h</t>
    </r>
    <r>
      <rPr>
        <vertAlign val="subscript"/>
        <sz val="10"/>
        <rFont val="Arial"/>
        <family val="2"/>
      </rPr>
      <t xml:space="preserve"> i</t>
    </r>
    <r>
      <rPr>
        <sz val="10"/>
        <rFont val="Arial"/>
        <family val="2"/>
      </rPr>
      <t xml:space="preserve"> (eta) factor - load modifier to acount for ductility, redundancy, and operational importance</t>
    </r>
  </si>
  <si>
    <t>At this point, an iterative procedure is initiated to determine the loads on the piles.  Initially, a depth to fixity of the piles is assumed.  Later, the actual depth to fixity is calculated using the computer program LPile, and this value is adjusted as necessary.  The procedure is repeated until the estimated value is within 10% of the value obtained from the LPile computer program.  An initial choice of 15-20 ft to the point of fixity is reasonable.</t>
  </si>
  <si>
    <t>Per AASHTO 6.9.4.2, the slenderness of the plates shall satisfy:</t>
  </si>
  <si>
    <t>b / t =</t>
  </si>
  <si>
    <r>
      <t xml:space="preserve">b / t </t>
    </r>
    <r>
      <rPr>
        <sz val="10"/>
        <rFont val="Arial"/>
        <family val="2"/>
      </rPr>
      <t>≤</t>
    </r>
    <r>
      <rPr>
        <sz val="10"/>
        <rFont val="Arial"/>
        <family val="2"/>
      </rPr>
      <t xml:space="preserve"> k(E/Fy)</t>
    </r>
    <r>
      <rPr>
        <vertAlign val="superscript"/>
        <sz val="10"/>
        <rFont val="Arial"/>
        <family val="2"/>
      </rPr>
      <t>0.5</t>
    </r>
    <r>
      <rPr>
        <sz val="10"/>
        <rFont val="Arial"/>
        <family val="2"/>
      </rPr>
      <t xml:space="preserve"> per AASHTO 6.9.4.2.1 where E is assumed equal to 29,000 ksi</t>
    </r>
  </si>
  <si>
    <t xml:space="preserve">in = T per 14th Edition AISC Table 1-4 </t>
  </si>
  <si>
    <t>Plate thickness, t = web thickness which is equal to the flange thickness for HP piles</t>
  </si>
  <si>
    <t>Slender Element Reduction Factor, Q</t>
  </si>
  <si>
    <t>Design values for LPile:</t>
  </si>
  <si>
    <t>k-in</t>
  </si>
  <si>
    <t>Approach slab thickness =</t>
  </si>
  <si>
    <t xml:space="preserve">Approach slab length = </t>
  </si>
  <si>
    <t>Approach slab loads</t>
  </si>
  <si>
    <t>Pile area</t>
  </si>
  <si>
    <t>Pile width or diameter</t>
  </si>
  <si>
    <t>Pile moment of inertia</t>
  </si>
  <si>
    <t>abutment width =</t>
  </si>
  <si>
    <t>The maximum bending moment in the pile is the maximum moment below the uppermost point of inflection and neglects the moment at the pile-pile cap interface.</t>
  </si>
  <si>
    <t>width of girders =</t>
  </si>
  <si>
    <t>Length of span adjacent to abutment - centerline bearing to centerline bearing</t>
  </si>
  <si>
    <r>
      <t>F</t>
    </r>
    <r>
      <rPr>
        <vertAlign val="subscript"/>
        <sz val="10"/>
        <rFont val="Arial"/>
        <family val="2"/>
      </rPr>
      <t>p</t>
    </r>
    <r>
      <rPr>
        <sz val="10"/>
        <rFont val="Arial"/>
        <family val="2"/>
      </rPr>
      <t xml:space="preserve"> = 2FH / 3L / number of piles =</t>
    </r>
  </si>
  <si>
    <t>ANALYSIS SUMMARY PAGE</t>
  </si>
  <si>
    <t xml:space="preserve">Pile location check  </t>
  </si>
  <si>
    <t>Lateral Pile Analysis</t>
  </si>
  <si>
    <t>Pile Capacity Analysis</t>
  </si>
  <si>
    <t>Bridge Description</t>
  </si>
  <si>
    <t>Integral Abutment Description</t>
  </si>
  <si>
    <t>Girder type (I - I-girder, B - Box girder)</t>
  </si>
  <si>
    <r>
      <t>if P</t>
    </r>
    <r>
      <rPr>
        <vertAlign val="subscript"/>
        <sz val="10"/>
        <rFont val="Arial"/>
        <family val="2"/>
      </rPr>
      <t>u</t>
    </r>
    <r>
      <rPr>
        <sz val="10"/>
        <rFont val="Arial"/>
        <family val="2"/>
      </rPr>
      <t xml:space="preserve"> / P</t>
    </r>
    <r>
      <rPr>
        <vertAlign val="subscript"/>
        <sz val="10"/>
        <rFont val="Arial"/>
        <family val="2"/>
      </rPr>
      <t>r</t>
    </r>
    <r>
      <rPr>
        <sz val="10"/>
        <rFont val="Arial"/>
        <family val="2"/>
      </rPr>
      <t xml:space="preserve"> </t>
    </r>
    <r>
      <rPr>
        <b/>
        <sz val="10"/>
        <rFont val="Symbol"/>
        <family val="1"/>
        <charset val="2"/>
      </rPr>
      <t>³</t>
    </r>
    <r>
      <rPr>
        <sz val="10"/>
        <rFont val="Arial"/>
        <family val="2"/>
      </rPr>
      <t xml:space="preserve"> 0.2 then P</t>
    </r>
    <r>
      <rPr>
        <vertAlign val="subscript"/>
        <sz val="10"/>
        <rFont val="Arial"/>
        <family val="2"/>
      </rPr>
      <t>u</t>
    </r>
    <r>
      <rPr>
        <sz val="10"/>
        <rFont val="Arial"/>
        <family val="2"/>
      </rPr>
      <t xml:space="preserve"> / P</t>
    </r>
    <r>
      <rPr>
        <vertAlign val="subscript"/>
        <sz val="10"/>
        <rFont val="Arial"/>
        <family val="2"/>
      </rPr>
      <t>r</t>
    </r>
    <r>
      <rPr>
        <sz val="10"/>
        <rFont val="Arial"/>
        <family val="2"/>
      </rPr>
      <t xml:space="preserve"> + (8.0 / 9.0) M</t>
    </r>
    <r>
      <rPr>
        <vertAlign val="subscript"/>
        <sz val="10"/>
        <rFont val="Arial"/>
        <family val="2"/>
      </rPr>
      <t>u</t>
    </r>
    <r>
      <rPr>
        <sz val="10"/>
        <rFont val="Arial"/>
        <family val="2"/>
      </rPr>
      <t xml:space="preserve"> / M</t>
    </r>
    <r>
      <rPr>
        <vertAlign val="subscript"/>
        <sz val="10"/>
        <rFont val="Arial"/>
        <family val="2"/>
      </rPr>
      <t>r</t>
    </r>
    <r>
      <rPr>
        <sz val="10"/>
        <rFont val="Arial"/>
        <family val="2"/>
      </rPr>
      <t xml:space="preserve"> </t>
    </r>
    <r>
      <rPr>
        <b/>
        <sz val="10"/>
        <rFont val="Symbol"/>
        <family val="1"/>
        <charset val="2"/>
      </rPr>
      <t>£</t>
    </r>
    <r>
      <rPr>
        <sz val="10"/>
        <rFont val="Arial"/>
        <family val="2"/>
      </rPr>
      <t xml:space="preserve"> 1.0</t>
    </r>
  </si>
  <si>
    <r>
      <t>Total pile length, L</t>
    </r>
    <r>
      <rPr>
        <vertAlign val="subscript"/>
        <sz val="10"/>
        <rFont val="Arial"/>
        <family val="2"/>
      </rPr>
      <t>tot</t>
    </r>
  </si>
  <si>
    <r>
      <t>Steel yield stress, F</t>
    </r>
    <r>
      <rPr>
        <vertAlign val="subscript"/>
        <sz val="10"/>
        <rFont val="Arial"/>
        <family val="2"/>
      </rPr>
      <t>y</t>
    </r>
  </si>
  <si>
    <r>
      <t>Pile area, A</t>
    </r>
    <r>
      <rPr>
        <vertAlign val="subscript"/>
        <sz val="10"/>
        <rFont val="Arial"/>
        <family val="2"/>
      </rPr>
      <t>p</t>
    </r>
    <r>
      <rPr>
        <sz val="10"/>
        <rFont val="Arial"/>
        <family val="2"/>
      </rPr>
      <t xml:space="preserve"> (H-piles), or pile area with concrete transformed to steel, A</t>
    </r>
    <r>
      <rPr>
        <vertAlign val="subscript"/>
        <sz val="10"/>
        <rFont val="Arial"/>
        <family val="2"/>
      </rPr>
      <t>tr</t>
    </r>
    <r>
      <rPr>
        <sz val="10"/>
        <rFont val="Arial"/>
        <family val="2"/>
      </rPr>
      <t xml:space="preserve"> (pipe piles)</t>
    </r>
  </si>
  <si>
    <t>The wind forces on the abutment are calculated assuming only the bridge span adjacent to the abutment contributes to the load, and that the span is simply supported laterally (half of the wind force on the end span is resisted by the abutment).</t>
  </si>
  <si>
    <t>The moment due to the wind on the superstructure is equal to the wind force times half the depth of the structure plus the bearing pad depth.</t>
  </si>
  <si>
    <t>The unfactored extreme reactions per girder for wind loads are calculated assuming the vertical wind forces are distributed equally to all girders, and the moments are resisted by vertical reactions of the girders (see figure below - note that five I-girders are used for illustrative purposes only - actual number of girders used in calculations).  Forces due to the moments are calculated assuming the superstructure acts as a rigid member transversely, and the vertical force is proportional to the distance from the center of gravity of the girder group.  The force at any girder is equal to the moment times the distance from the midwidth of the bridge divided by the second moment of inertia.  The extreme overturning reactions are therefore at the exterior girders.</t>
  </si>
  <si>
    <r>
      <t>Flange width, b</t>
    </r>
    <r>
      <rPr>
        <vertAlign val="subscript"/>
        <sz val="10"/>
        <rFont val="Arial"/>
        <family val="2"/>
      </rPr>
      <t>f</t>
    </r>
    <r>
      <rPr>
        <sz val="10"/>
        <rFont val="Arial"/>
        <family val="2"/>
      </rPr>
      <t xml:space="preserve"> (H-piles), or outside diameter, D</t>
    </r>
    <r>
      <rPr>
        <vertAlign val="subscript"/>
        <sz val="10"/>
        <rFont val="Arial"/>
        <family val="2"/>
      </rPr>
      <t>o</t>
    </r>
    <r>
      <rPr>
        <sz val="10"/>
        <rFont val="Arial"/>
        <family val="2"/>
      </rPr>
      <t xml:space="preserve"> (pipe piles)</t>
    </r>
  </si>
  <si>
    <r>
      <t xml:space="preserve">Factored Dead + Live reaction for girders - including </t>
    </r>
    <r>
      <rPr>
        <sz val="12"/>
        <rFont val="Symbol"/>
        <family val="1"/>
        <charset val="2"/>
      </rPr>
      <t>h</t>
    </r>
    <r>
      <rPr>
        <sz val="10"/>
        <rFont val="Arial"/>
        <family val="2"/>
      </rPr>
      <t xml:space="preserve"> (eta) factor</t>
    </r>
  </si>
  <si>
    <t>Input all the geometric and material data for the proposed bridge.  This information should be available from a superstructure design already performed independently, as well as a Type, Size, and Location (TS&amp;L) Report, if available.</t>
  </si>
  <si>
    <r>
      <t xml:space="preserve">The extreme girder reactions, interior or exterior, are (conservatively) required for the design of the abutment pile cap.  The total reaction with all lanes loaded, or the average pile reaction, is required for the pile design, which also requires both interior and exterior girder reactions.  Note:  The </t>
    </r>
    <r>
      <rPr>
        <sz val="12"/>
        <rFont val="Symbol"/>
        <family val="1"/>
        <charset val="2"/>
      </rPr>
      <t>h</t>
    </r>
    <r>
      <rPr>
        <vertAlign val="subscript"/>
        <sz val="10"/>
        <rFont val="Arial"/>
        <family val="2"/>
      </rPr>
      <t>i</t>
    </r>
    <r>
      <rPr>
        <sz val="10"/>
        <rFont val="Arial"/>
        <family val="2"/>
      </rPr>
      <t xml:space="preserve"> factor is included here.</t>
    </r>
  </si>
  <si>
    <t>This tab calculates the flexural reinforcement required for the pile cap.  Actual dimensions from the integral abutment design are used (rather than assumed values) so it may not agree exactly with DM-4 Ap.G. Figure C1.4.3-2.</t>
  </si>
  <si>
    <t>This tab assists in running the computer program COM624P by creating a template for the input file with many of the required values inserted in the template.  Although a brief description of the input file is provided to the right of the templates, the user will still require the COM624P input manual in order to run the program.  The user is required to determine many additional parameters required for the input file, and may even need to change some of the values supplied to the template.  This can be accomplished by accessing the generated file(s) using any text editor and simply entering (or changing) the required values.  Two file templates can be created by pushing the buttons located to the left.  The first creates a template called com624p1.tmp to be used with the Main tab.  The second creates a template called com624p2.tmp to be used with the Scour tab.</t>
  </si>
  <si>
    <t>Main tab template</t>
  </si>
  <si>
    <t>Scour tab template</t>
  </si>
  <si>
    <t>Loading conditions line - third value is plastic moment</t>
  </si>
  <si>
    <t>Vertical axial load</t>
  </si>
  <si>
    <t>Design rotation</t>
  </si>
  <si>
    <t>Design thermal movement</t>
  </si>
  <si>
    <t>Title line - can be altered to be any title desired</t>
  </si>
  <si>
    <t>Units line - arbitrarily assigned to use SI units</t>
  </si>
  <si>
    <t>Input control line - missing value is number of soil layers</t>
  </si>
  <si>
    <t>Input control line - missing values related to soil data</t>
  </si>
  <si>
    <t>Pile geometry line</t>
  </si>
  <si>
    <t>Output control line</t>
  </si>
  <si>
    <r>
      <t xml:space="preserve">Temperature range, </t>
    </r>
    <r>
      <rPr>
        <sz val="10"/>
        <rFont val="Symbol"/>
        <family val="1"/>
        <charset val="2"/>
      </rPr>
      <t>D</t>
    </r>
    <r>
      <rPr>
        <vertAlign val="subscript"/>
        <sz val="10"/>
        <rFont val="Arial"/>
        <family val="2"/>
      </rPr>
      <t>T</t>
    </r>
    <r>
      <rPr>
        <sz val="10"/>
        <rFont val="Arial"/>
        <family val="2"/>
      </rPr>
      <t xml:space="preserve"> (</t>
    </r>
    <r>
      <rPr>
        <sz val="12"/>
        <rFont val="Symbol"/>
        <family val="1"/>
        <charset val="2"/>
      </rPr>
      <t>±</t>
    </r>
    <r>
      <rPr>
        <sz val="10"/>
        <rFont val="Arial"/>
        <family val="2"/>
      </rPr>
      <t>)</t>
    </r>
  </si>
  <si>
    <t>Load Case</t>
  </si>
  <si>
    <t>Flexural Reinforcement of Pile Cap Beam</t>
  </si>
  <si>
    <t>Additional loads due to wind and centrifugal force are calculated here.  The approach slab dead and live loads, and wingwall and abutment dead loads are calculated in the next section.</t>
  </si>
  <si>
    <t>Warning - steel bridge length limited to 390 ft.  Use of integral abutment on bridges with lengths in excess of this limit shall be considered on a case-by-case basis and shall require written approval of Chief Bridge Engineer at the Type, Size, and Location stage.</t>
  </si>
  <si>
    <t>Error - skew must be greater than or equal to 70 degrees for single spans longer than 130 ft</t>
  </si>
  <si>
    <t>Error - skew must be greater than or equal to 60 degrees for single spans between 90 ft and 130 ft</t>
  </si>
  <si>
    <t>Error - skew must be greater than or equal to 45 degrees for single spans 90 ft or less</t>
  </si>
  <si>
    <t>Maximum number of lanes with sidewalks =</t>
  </si>
  <si>
    <t>Maximum number of lanes without sidewalks =</t>
  </si>
  <si>
    <r>
      <t>ft</t>
    </r>
    <r>
      <rPr>
        <vertAlign val="superscript"/>
        <sz val="10"/>
        <rFont val="Arial"/>
        <family val="2"/>
      </rPr>
      <t>2</t>
    </r>
  </si>
  <si>
    <t>Bearing pad thickness - usually 3/4 inch</t>
  </si>
  <si>
    <t>Pile designation, HP##x## (H-piles), or pipe (pipe piles)</t>
  </si>
  <si>
    <t>tsf</t>
  </si>
  <si>
    <r>
      <t>Depth of maximum scour, D</t>
    </r>
    <r>
      <rPr>
        <vertAlign val="subscript"/>
        <sz val="10"/>
        <rFont val="Arial"/>
        <family val="2"/>
      </rPr>
      <t>sc</t>
    </r>
    <r>
      <rPr>
        <sz val="10"/>
        <rFont val="Arial"/>
        <family val="2"/>
      </rPr>
      <t xml:space="preserve"> (required for LPile run)</t>
    </r>
  </si>
  <si>
    <t>Wingwall length from back face of abutment - including 12" chamfer</t>
  </si>
  <si>
    <t>An additional LPile run must be performed for the maximum scour case.  For this run the soil is removed down to the depth of maximum scour (pile extends out of the ground).  The depth of maximum scour must be determined by the user.</t>
  </si>
  <si>
    <t>The effective shaft length is the total shaft length minus a length at the top of the pile which is ineffective due to the lateral movement which occurs.  A displacement of 2% of the pile diameter is used as the boundary above which skin friction becomes ineffective.  The depth at which the displacement reaches this critical value was determined previously using the computer program LPile for the post-scour condition.</t>
  </si>
  <si>
    <t>ksf</t>
  </si>
  <si>
    <t>*  This cover value assumes #5 stirrups, #10 main bars, and 3 in clearance</t>
  </si>
  <si>
    <t>A6.5.5</t>
  </si>
  <si>
    <t>Calculated edge distance to centerline of piles</t>
  </si>
  <si>
    <t>Choose a pile layout.  If a geotechnical report is available with a calculated pile capacity, a preliminary number of piles can be found by dividing the total factored dead + live girder reactions by the given pile capacity and rounding up to the next highest integer.  If no pile load capacity is available, use an estimate of the load capacity based on the soil conditions.  The maximum pile spacing is 10 ft per DM-4 Ap.G.1.4.2.  Per DM-4 10.7.1.2, the minimum pile spacing is the larger of 3 ft, or 2.5 times the diameter for round piles, or 2.5 times the diagonal dimension for H-piles.  Note that the approximate range of allowed pile spacing calculated below is based on the calculated minimum and maximum pile edge distances.  The pile location check made below should flag any erroneous spacings attempted, however.</t>
  </si>
  <si>
    <t>ft, measured along the centerline of bearings</t>
  </si>
  <si>
    <t>angle</t>
  </si>
  <si>
    <t>(degrees)</t>
  </si>
  <si>
    <t>(radians)</t>
  </si>
  <si>
    <t>N.A.</t>
  </si>
  <si>
    <t>Steel tube</t>
  </si>
  <si>
    <t>Moment</t>
  </si>
  <si>
    <r>
      <t>Depth to 2% deflection, L</t>
    </r>
    <r>
      <rPr>
        <vertAlign val="subscript"/>
        <sz val="10"/>
        <rFont val="Arial"/>
        <family val="2"/>
      </rPr>
      <t>sn</t>
    </r>
    <r>
      <rPr>
        <sz val="10"/>
        <rFont val="Arial"/>
        <family val="2"/>
      </rPr>
      <t xml:space="preserve"> =</t>
    </r>
  </si>
  <si>
    <t>Percentage of expansion at abutment being designed</t>
  </si>
  <si>
    <t>Error - skew must be greater than or equal to 70 degrees for multiple spans</t>
  </si>
  <si>
    <t>Pile loads due to wind and centrifugal forces</t>
  </si>
  <si>
    <t>Additional Dead + Live Loads (Approach Slab, Wingwalls, and Abutment)</t>
  </si>
  <si>
    <t>Pile Section</t>
  </si>
  <si>
    <r>
      <t>The moment, M</t>
    </r>
    <r>
      <rPr>
        <vertAlign val="subscript"/>
        <sz val="10"/>
        <rFont val="Arial"/>
        <family val="2"/>
      </rPr>
      <t>T</t>
    </r>
    <r>
      <rPr>
        <sz val="10"/>
        <rFont val="Arial"/>
        <family val="2"/>
      </rPr>
      <t xml:space="preserve"> = 6E</t>
    </r>
    <r>
      <rPr>
        <vertAlign val="subscript"/>
        <sz val="10"/>
        <rFont val="Arial"/>
        <family val="2"/>
      </rPr>
      <t>p</t>
    </r>
    <r>
      <rPr>
        <sz val="10"/>
        <rFont val="Arial"/>
        <family val="2"/>
      </rPr>
      <t>I</t>
    </r>
    <r>
      <rPr>
        <vertAlign val="subscript"/>
        <sz val="10"/>
        <rFont val="Arial"/>
        <family val="2"/>
      </rPr>
      <t>p</t>
    </r>
    <r>
      <rPr>
        <sz val="10"/>
        <rFont val="Symbol"/>
        <family val="1"/>
        <charset val="2"/>
      </rPr>
      <t>D</t>
    </r>
    <r>
      <rPr>
        <sz val="10"/>
        <rFont val="Arial"/>
        <family val="2"/>
      </rPr>
      <t>/L</t>
    </r>
    <r>
      <rPr>
        <vertAlign val="subscript"/>
        <sz val="10"/>
        <rFont val="Arial"/>
        <family val="2"/>
      </rPr>
      <t>p</t>
    </r>
    <r>
      <rPr>
        <vertAlign val="superscript"/>
        <sz val="10"/>
        <rFont val="Arial"/>
        <family val="2"/>
      </rPr>
      <t>2</t>
    </r>
    <r>
      <rPr>
        <sz val="10"/>
        <rFont val="Arial"/>
        <family val="2"/>
      </rPr>
      <t xml:space="preserve"> =</t>
    </r>
  </si>
  <si>
    <t>The horizontal force induced in the pile by the thermal deformation can be determined using the following equation.  The top of the pile is assumed to be fixed.</t>
  </si>
  <si>
    <t>ft</t>
  </si>
  <si>
    <t>k</t>
  </si>
  <si>
    <r>
      <t>g</t>
    </r>
    <r>
      <rPr>
        <vertAlign val="subscript"/>
        <sz val="10"/>
        <rFont val="Arial"/>
        <family val="2"/>
      </rPr>
      <t>DC</t>
    </r>
  </si>
  <si>
    <r>
      <t>g</t>
    </r>
    <r>
      <rPr>
        <vertAlign val="subscript"/>
        <sz val="10"/>
        <rFont val="Arial"/>
        <family val="2"/>
      </rPr>
      <t>DW</t>
    </r>
  </si>
  <si>
    <r>
      <t>g</t>
    </r>
    <r>
      <rPr>
        <vertAlign val="subscript"/>
        <sz val="10"/>
        <rFont val="Arial"/>
        <family val="2"/>
      </rPr>
      <t>EV</t>
    </r>
  </si>
  <si>
    <r>
      <t>g</t>
    </r>
    <r>
      <rPr>
        <vertAlign val="subscript"/>
        <sz val="10"/>
        <rFont val="Arial"/>
        <family val="2"/>
      </rPr>
      <t>EH</t>
    </r>
  </si>
  <si>
    <r>
      <t>g</t>
    </r>
    <r>
      <rPr>
        <vertAlign val="subscript"/>
        <sz val="10"/>
        <rFont val="Arial"/>
        <family val="2"/>
      </rPr>
      <t>ES</t>
    </r>
  </si>
  <si>
    <r>
      <t>g</t>
    </r>
    <r>
      <rPr>
        <vertAlign val="subscript"/>
        <sz val="10"/>
        <rFont val="Arial"/>
        <family val="2"/>
      </rPr>
      <t>LS</t>
    </r>
  </si>
  <si>
    <r>
      <t>g</t>
    </r>
    <r>
      <rPr>
        <vertAlign val="subscript"/>
        <sz val="10"/>
        <rFont val="Arial"/>
        <family val="2"/>
      </rPr>
      <t>LLIM</t>
    </r>
  </si>
  <si>
    <r>
      <t>g</t>
    </r>
    <r>
      <rPr>
        <vertAlign val="subscript"/>
        <sz val="10"/>
        <rFont val="Arial"/>
        <family val="2"/>
      </rPr>
      <t>PL</t>
    </r>
  </si>
  <si>
    <r>
      <t>g</t>
    </r>
    <r>
      <rPr>
        <vertAlign val="subscript"/>
        <sz val="10"/>
        <rFont val="Arial"/>
        <family val="2"/>
      </rPr>
      <t>WS</t>
    </r>
  </si>
  <si>
    <r>
      <t>g</t>
    </r>
    <r>
      <rPr>
        <vertAlign val="subscript"/>
        <sz val="10"/>
        <rFont val="Arial"/>
        <family val="2"/>
      </rPr>
      <t>WL</t>
    </r>
  </si>
  <si>
    <r>
      <t>g</t>
    </r>
    <r>
      <rPr>
        <vertAlign val="subscript"/>
        <sz val="10"/>
        <rFont val="Arial"/>
        <family val="2"/>
      </rPr>
      <t>TU</t>
    </r>
  </si>
  <si>
    <t>Design vehicle</t>
  </si>
  <si>
    <t>SERV I</t>
  </si>
  <si>
    <t>STR I</t>
  </si>
  <si>
    <t>STR IP</t>
  </si>
  <si>
    <t>STR II</t>
  </si>
  <si>
    <t>STR III</t>
  </si>
  <si>
    <t>STR V</t>
  </si>
  <si>
    <t>PHL-93</t>
  </si>
  <si>
    <t>---</t>
  </si>
  <si>
    <t>Wind pressure</t>
  </si>
  <si>
    <t>Check the capacity of the pile as a structural member</t>
  </si>
  <si>
    <r>
      <t xml:space="preserve">Load factor, </t>
    </r>
    <r>
      <rPr>
        <sz val="10"/>
        <rFont val="Symbol"/>
        <family val="1"/>
        <charset val="2"/>
      </rPr>
      <t>f</t>
    </r>
    <r>
      <rPr>
        <vertAlign val="subscript"/>
        <sz val="10"/>
        <rFont val="Arial"/>
        <family val="2"/>
      </rPr>
      <t>T</t>
    </r>
  </si>
  <si>
    <t xml:space="preserve">Abutment length </t>
  </si>
  <si>
    <t>k-ft/pile</t>
  </si>
  <si>
    <t>PILE DATA</t>
  </si>
  <si>
    <t>Scour Analysis Summary</t>
  </si>
  <si>
    <r>
      <t>M</t>
    </r>
    <r>
      <rPr>
        <vertAlign val="subscript"/>
        <sz val="10"/>
        <rFont val="Arial"/>
        <family val="2"/>
      </rPr>
      <t>n</t>
    </r>
    <r>
      <rPr>
        <sz val="10"/>
        <rFont val="Arial"/>
        <family val="2"/>
      </rPr>
      <t xml:space="preserve"> = M</t>
    </r>
    <r>
      <rPr>
        <vertAlign val="subscript"/>
        <sz val="10"/>
        <rFont val="Arial"/>
        <family val="2"/>
      </rPr>
      <t>p</t>
    </r>
    <r>
      <rPr>
        <sz val="10"/>
        <rFont val="Arial"/>
        <family val="2"/>
      </rPr>
      <t xml:space="preserve"> - (M</t>
    </r>
    <r>
      <rPr>
        <vertAlign val="subscript"/>
        <sz val="10"/>
        <rFont val="Arial"/>
        <family val="2"/>
      </rPr>
      <t>p</t>
    </r>
    <r>
      <rPr>
        <sz val="10"/>
        <rFont val="Arial"/>
        <family val="2"/>
      </rPr>
      <t xml:space="preserve"> - M</t>
    </r>
    <r>
      <rPr>
        <vertAlign val="subscript"/>
        <sz val="10"/>
        <rFont val="Arial"/>
        <family val="2"/>
      </rPr>
      <t>y</t>
    </r>
    <r>
      <rPr>
        <sz val="10"/>
        <rFont val="Arial"/>
        <family val="2"/>
      </rPr>
      <t>)(</t>
    </r>
    <r>
      <rPr>
        <sz val="10"/>
        <rFont val="Symbol"/>
        <family val="1"/>
        <charset val="2"/>
      </rPr>
      <t>l</t>
    </r>
    <r>
      <rPr>
        <sz val="10"/>
        <rFont val="Arial"/>
        <family val="2"/>
      </rPr>
      <t xml:space="preserve"> - </t>
    </r>
    <r>
      <rPr>
        <sz val="10"/>
        <rFont val="Symbol"/>
        <family val="1"/>
        <charset val="2"/>
      </rPr>
      <t>l</t>
    </r>
    <r>
      <rPr>
        <vertAlign val="subscript"/>
        <sz val="10"/>
        <rFont val="Arial"/>
        <family val="2"/>
      </rPr>
      <t>p</t>
    </r>
    <r>
      <rPr>
        <sz val="10"/>
        <rFont val="Arial"/>
        <family val="2"/>
      </rPr>
      <t>)/(</t>
    </r>
    <r>
      <rPr>
        <sz val="10"/>
        <rFont val="Symbol"/>
        <family val="1"/>
        <charset val="2"/>
      </rPr>
      <t>l</t>
    </r>
    <r>
      <rPr>
        <vertAlign val="subscript"/>
        <sz val="10"/>
        <rFont val="Arial"/>
        <family val="2"/>
      </rPr>
      <t>r</t>
    </r>
    <r>
      <rPr>
        <sz val="10"/>
        <rFont val="Arial"/>
        <family val="2"/>
      </rPr>
      <t xml:space="preserve"> - </t>
    </r>
    <r>
      <rPr>
        <sz val="10"/>
        <rFont val="Symbol"/>
        <family val="1"/>
        <charset val="2"/>
      </rPr>
      <t>l</t>
    </r>
    <r>
      <rPr>
        <vertAlign val="subscript"/>
        <sz val="10"/>
        <rFont val="Arial"/>
        <family val="2"/>
      </rPr>
      <t>p</t>
    </r>
    <r>
      <rPr>
        <sz val="10"/>
        <rFont val="Arial"/>
        <family val="2"/>
      </rPr>
      <t xml:space="preserve">) </t>
    </r>
    <r>
      <rPr>
        <b/>
        <sz val="10"/>
        <rFont val="Symbol"/>
        <family val="1"/>
        <charset val="2"/>
      </rPr>
      <t>£</t>
    </r>
    <r>
      <rPr>
        <sz val="10"/>
        <rFont val="Arial"/>
        <family val="2"/>
      </rPr>
      <t xml:space="preserve"> M</t>
    </r>
    <r>
      <rPr>
        <vertAlign val="subscript"/>
        <sz val="10"/>
        <rFont val="Arial"/>
        <family val="2"/>
      </rPr>
      <t>p</t>
    </r>
    <r>
      <rPr>
        <sz val="12"/>
        <rFont val="WP MathA"/>
        <charset val="2"/>
      </rPr>
      <t xml:space="preserve"> </t>
    </r>
  </si>
  <si>
    <r>
      <t xml:space="preserve">if </t>
    </r>
    <r>
      <rPr>
        <sz val="10"/>
        <rFont val="Symbol"/>
        <family val="1"/>
        <charset val="2"/>
      </rPr>
      <t>l</t>
    </r>
    <r>
      <rPr>
        <sz val="10"/>
        <rFont val="Arial"/>
        <family val="2"/>
      </rPr>
      <t xml:space="preserve"> </t>
    </r>
    <r>
      <rPr>
        <b/>
        <sz val="10"/>
        <rFont val="Symbol"/>
        <family val="1"/>
        <charset val="2"/>
      </rPr>
      <t>£</t>
    </r>
    <r>
      <rPr>
        <sz val="10"/>
        <rFont val="Arial"/>
        <family val="2"/>
      </rPr>
      <t xml:space="preserve"> 2.25, P</t>
    </r>
    <r>
      <rPr>
        <vertAlign val="subscript"/>
        <sz val="10"/>
        <rFont val="Arial"/>
        <family val="2"/>
      </rPr>
      <t>n</t>
    </r>
    <r>
      <rPr>
        <sz val="10"/>
        <rFont val="Arial"/>
        <family val="2"/>
      </rPr>
      <t xml:space="preserve"> = 0.66</t>
    </r>
    <r>
      <rPr>
        <vertAlign val="superscript"/>
        <sz val="10"/>
        <rFont val="Symbol"/>
        <family val="1"/>
        <charset val="2"/>
      </rPr>
      <t>l</t>
    </r>
    <r>
      <rPr>
        <sz val="10"/>
        <rFont val="Arial"/>
        <family val="2"/>
      </rPr>
      <t>F</t>
    </r>
    <r>
      <rPr>
        <vertAlign val="subscript"/>
        <sz val="10"/>
        <rFont val="Arial"/>
        <family val="2"/>
      </rPr>
      <t>e</t>
    </r>
    <r>
      <rPr>
        <sz val="10"/>
        <rFont val="Arial"/>
        <family val="2"/>
      </rPr>
      <t>A</t>
    </r>
    <r>
      <rPr>
        <vertAlign val="subscript"/>
        <sz val="10"/>
        <rFont val="Arial"/>
        <family val="2"/>
      </rPr>
      <t xml:space="preserve">s </t>
    </r>
    <r>
      <rPr>
        <sz val="10"/>
        <rFont val="Arial"/>
        <family val="2"/>
      </rPr>
      <t xml:space="preserve">, if </t>
    </r>
    <r>
      <rPr>
        <sz val="10"/>
        <rFont val="Symbol"/>
        <family val="1"/>
        <charset val="2"/>
      </rPr>
      <t>l</t>
    </r>
    <r>
      <rPr>
        <sz val="10"/>
        <rFont val="Arial"/>
        <family val="2"/>
      </rPr>
      <t xml:space="preserve"> &gt; 2.25, P</t>
    </r>
    <r>
      <rPr>
        <vertAlign val="subscript"/>
        <sz val="10"/>
        <rFont val="Arial"/>
        <family val="2"/>
      </rPr>
      <t>n</t>
    </r>
    <r>
      <rPr>
        <sz val="10"/>
        <rFont val="Arial"/>
        <family val="2"/>
      </rPr>
      <t xml:space="preserve"> = 0.88F</t>
    </r>
    <r>
      <rPr>
        <vertAlign val="subscript"/>
        <sz val="10"/>
        <rFont val="Arial"/>
        <family val="2"/>
      </rPr>
      <t>e</t>
    </r>
    <r>
      <rPr>
        <sz val="10"/>
        <rFont val="Arial"/>
        <family val="2"/>
      </rPr>
      <t>A</t>
    </r>
    <r>
      <rPr>
        <vertAlign val="subscript"/>
        <sz val="10"/>
        <rFont val="Arial"/>
        <family val="2"/>
      </rPr>
      <t>s</t>
    </r>
    <r>
      <rPr>
        <sz val="10"/>
        <rFont val="Arial"/>
        <family val="2"/>
      </rPr>
      <t xml:space="preserve"> / </t>
    </r>
    <r>
      <rPr>
        <sz val="10"/>
        <rFont val="Symbol"/>
        <family val="1"/>
        <charset val="2"/>
      </rPr>
      <t>l</t>
    </r>
  </si>
  <si>
    <r>
      <t>Unit tip resistance, q</t>
    </r>
    <r>
      <rPr>
        <vertAlign val="subscript"/>
        <sz val="10"/>
        <rFont val="Arial"/>
        <family val="2"/>
      </rPr>
      <t>p</t>
    </r>
  </si>
  <si>
    <r>
      <t>Unit shaft resistance, q</t>
    </r>
    <r>
      <rPr>
        <vertAlign val="subscript"/>
        <sz val="10"/>
        <rFont val="Arial"/>
        <family val="2"/>
      </rPr>
      <t>s</t>
    </r>
  </si>
  <si>
    <r>
      <t>Nominal pile shaft resistance, Q</t>
    </r>
    <r>
      <rPr>
        <vertAlign val="subscript"/>
        <sz val="10"/>
        <rFont val="Arial"/>
        <family val="2"/>
      </rPr>
      <t>s</t>
    </r>
    <r>
      <rPr>
        <sz val="10"/>
        <rFont val="Arial"/>
        <family val="2"/>
      </rPr>
      <t xml:space="preserve"> = q</t>
    </r>
    <r>
      <rPr>
        <vertAlign val="subscript"/>
        <sz val="10"/>
        <rFont val="Arial"/>
        <family val="2"/>
      </rPr>
      <t>s</t>
    </r>
    <r>
      <rPr>
        <sz val="10"/>
        <rFont val="Arial"/>
        <family val="2"/>
      </rPr>
      <t>A</t>
    </r>
    <r>
      <rPr>
        <vertAlign val="subscript"/>
        <sz val="10"/>
        <rFont val="Arial"/>
        <family val="2"/>
      </rPr>
      <t>s</t>
    </r>
  </si>
  <si>
    <r>
      <t>D</t>
    </r>
    <r>
      <rPr>
        <vertAlign val="subscript"/>
        <sz val="10"/>
        <rFont val="Arial"/>
        <family val="2"/>
      </rPr>
      <t>i</t>
    </r>
    <r>
      <rPr>
        <sz val="10"/>
        <rFont val="Arial"/>
        <family val="2"/>
      </rPr>
      <t xml:space="preserve"> = allowable displacement</t>
    </r>
  </si>
  <si>
    <r>
      <t xml:space="preserve">Ductility Criterion, </t>
    </r>
    <r>
      <rPr>
        <sz val="10"/>
        <rFont val="Symbol"/>
        <family val="1"/>
        <charset val="2"/>
      </rPr>
      <t>D</t>
    </r>
    <r>
      <rPr>
        <sz val="10"/>
        <rFont val="Arial"/>
        <family val="2"/>
      </rPr>
      <t xml:space="preserve"> </t>
    </r>
    <r>
      <rPr>
        <b/>
        <sz val="10"/>
        <rFont val="Symbol"/>
        <family val="1"/>
        <charset val="2"/>
      </rPr>
      <t>£</t>
    </r>
    <r>
      <rPr>
        <sz val="10"/>
        <rFont val="Arial"/>
        <family val="2"/>
      </rPr>
      <t xml:space="preserve"> </t>
    </r>
    <r>
      <rPr>
        <sz val="10"/>
        <rFont val="Symbol"/>
        <family val="1"/>
        <charset val="2"/>
      </rPr>
      <t>D</t>
    </r>
    <r>
      <rPr>
        <vertAlign val="subscript"/>
        <sz val="10"/>
        <rFont val="Arial"/>
        <family val="2"/>
      </rPr>
      <t>i</t>
    </r>
    <r>
      <rPr>
        <sz val="10"/>
        <rFont val="Arial"/>
        <family val="2"/>
      </rPr>
      <t>, where</t>
    </r>
  </si>
  <si>
    <r>
      <t>Inelastic rotation capacity reduction factor, C</t>
    </r>
    <r>
      <rPr>
        <vertAlign val="subscript"/>
        <sz val="10"/>
        <rFont val="Arial"/>
        <family val="2"/>
      </rPr>
      <t>i</t>
    </r>
    <r>
      <rPr>
        <sz val="10"/>
        <rFont val="Arial"/>
        <family val="2"/>
      </rPr>
      <t xml:space="preserve"> (0</t>
    </r>
    <r>
      <rPr>
        <b/>
        <sz val="10"/>
        <rFont val="Symbol"/>
        <family val="1"/>
        <charset val="2"/>
      </rPr>
      <t>£</t>
    </r>
    <r>
      <rPr>
        <sz val="10"/>
        <rFont val="Arial"/>
        <family val="2"/>
      </rPr>
      <t>C</t>
    </r>
    <r>
      <rPr>
        <vertAlign val="subscript"/>
        <sz val="10"/>
        <rFont val="Arial"/>
        <family val="2"/>
      </rPr>
      <t>i</t>
    </r>
    <r>
      <rPr>
        <b/>
        <sz val="10"/>
        <rFont val="Symbol"/>
        <family val="1"/>
        <charset val="2"/>
      </rPr>
      <t>£</t>
    </r>
    <r>
      <rPr>
        <sz val="10"/>
        <rFont val="Arial"/>
        <family val="2"/>
      </rPr>
      <t>1.0)</t>
    </r>
  </si>
  <si>
    <t>(1)</t>
  </si>
  <si>
    <t>(2)</t>
  </si>
  <si>
    <t>(3)</t>
  </si>
  <si>
    <t>Pile cap height</t>
  </si>
  <si>
    <r>
      <t xml:space="preserve">For the Extreme Event II limit state, the </t>
    </r>
    <r>
      <rPr>
        <sz val="12"/>
        <rFont val="Symbol"/>
        <family val="1"/>
        <charset val="2"/>
      </rPr>
      <t>h</t>
    </r>
    <r>
      <rPr>
        <sz val="10"/>
        <rFont val="Arial"/>
        <family val="2"/>
      </rPr>
      <t xml:space="preserve"> (eta) factors for ductility and redundancy are assumed to be equal to 1.00.  The </t>
    </r>
    <r>
      <rPr>
        <sz val="12"/>
        <rFont val="Symbol"/>
        <family val="1"/>
        <charset val="2"/>
      </rPr>
      <t>h</t>
    </r>
    <r>
      <rPr>
        <sz val="10"/>
        <rFont val="Arial"/>
        <family val="2"/>
      </rPr>
      <t xml:space="preserve"> factor for operational importance, can be a value between 0.95 and 1.05.</t>
    </r>
  </si>
  <si>
    <t>A1.3.2</t>
  </si>
  <si>
    <t>D1.3.2</t>
  </si>
  <si>
    <t>Extreme Factored Dead + Live Loads per pile:</t>
  </si>
  <si>
    <t>The total pile length is required in order to calculate the percentage of skin friction lost to scour.</t>
  </si>
  <si>
    <t>End diaphragm height</t>
  </si>
  <si>
    <t>Wingwall width</t>
  </si>
  <si>
    <t>Post-scour</t>
  </si>
  <si>
    <r>
      <t>Effective shaft length, L</t>
    </r>
    <r>
      <rPr>
        <vertAlign val="subscript"/>
        <sz val="10"/>
        <rFont val="Arial"/>
        <family val="2"/>
      </rPr>
      <t>se</t>
    </r>
    <r>
      <rPr>
        <sz val="10"/>
        <rFont val="Arial"/>
        <family val="2"/>
      </rPr>
      <t xml:space="preserve"> = L</t>
    </r>
    <r>
      <rPr>
        <vertAlign val="subscript"/>
        <sz val="10"/>
        <rFont val="Arial"/>
        <family val="2"/>
      </rPr>
      <t>tot</t>
    </r>
    <r>
      <rPr>
        <sz val="10"/>
        <rFont val="Arial"/>
        <family val="2"/>
      </rPr>
      <t xml:space="preserve"> - L</t>
    </r>
    <r>
      <rPr>
        <vertAlign val="subscript"/>
        <sz val="10"/>
        <rFont val="Arial"/>
        <family val="2"/>
      </rPr>
      <t>sn</t>
    </r>
    <r>
      <rPr>
        <sz val="10"/>
        <rFont val="Arial"/>
        <family val="2"/>
      </rPr>
      <t xml:space="preserve"> =</t>
    </r>
  </si>
  <si>
    <t>Bridge Data</t>
  </si>
  <si>
    <t>Girder material (steel or concrete)</t>
  </si>
  <si>
    <t>Girder type (I-girder or box girder)</t>
  </si>
  <si>
    <t>Factored Live Load + Future Dead Load Rotations:</t>
  </si>
  <si>
    <r>
      <t xml:space="preserve">Live Load rotations for the service I limit state are determined using the PHL-93 loading.  These are added to any composite factored dead load rotations.  The </t>
    </r>
    <r>
      <rPr>
        <sz val="10"/>
        <rFont val="Symbol"/>
        <family val="1"/>
        <charset val="2"/>
      </rPr>
      <t>h</t>
    </r>
    <r>
      <rPr>
        <sz val="10"/>
        <rFont val="Arial"/>
        <family val="2"/>
      </rPr>
      <t xml:space="preserve"> (eta) factor is included here as well.</t>
    </r>
  </si>
  <si>
    <t>Factored Pile Loads due to Girder Reactions:</t>
  </si>
  <si>
    <t>Factored Pile Loads due to Wind, Centrifugal Force, and Temperature:</t>
  </si>
  <si>
    <t>Factored Pile Loads due to Approach Slab Loadings:</t>
  </si>
  <si>
    <t>Composite DW loads - include future wearing surface</t>
  </si>
  <si>
    <t>Total Factored Pile Loads</t>
  </si>
  <si>
    <t>Service I Limit State</t>
  </si>
  <si>
    <t>There are three types of girders which can be used with integral abutments: Steel I-girders, concrete I-girders, or concrete spread box girders.</t>
  </si>
  <si>
    <t>Flange Compactness Check</t>
  </si>
  <si>
    <r>
      <t>l</t>
    </r>
    <r>
      <rPr>
        <vertAlign val="subscript"/>
        <sz val="10"/>
        <rFont val="Arial"/>
        <family val="2"/>
      </rPr>
      <t>f</t>
    </r>
    <r>
      <rPr>
        <sz val="10"/>
        <rFont val="Arial"/>
        <family val="2"/>
      </rPr>
      <t xml:space="preserve"> =</t>
    </r>
  </si>
  <si>
    <r>
      <t xml:space="preserve">Slenderness ratio for the flange, </t>
    </r>
    <r>
      <rPr>
        <sz val="10"/>
        <rFont val="Symbol"/>
        <family val="1"/>
        <charset val="2"/>
      </rPr>
      <t>l</t>
    </r>
    <r>
      <rPr>
        <vertAlign val="subscript"/>
        <sz val="10"/>
        <rFont val="Arial"/>
        <family val="2"/>
      </rPr>
      <t>f</t>
    </r>
    <r>
      <rPr>
        <sz val="10"/>
        <rFont val="Arial"/>
        <family val="2"/>
      </rPr>
      <t xml:space="preserve"> = b</t>
    </r>
    <r>
      <rPr>
        <vertAlign val="subscript"/>
        <sz val="10"/>
        <rFont val="Arial"/>
        <family val="2"/>
      </rPr>
      <t>f</t>
    </r>
    <r>
      <rPr>
        <sz val="10"/>
        <rFont val="Arial"/>
        <family val="2"/>
      </rPr>
      <t>/(2t</t>
    </r>
    <r>
      <rPr>
        <vertAlign val="subscript"/>
        <sz val="10"/>
        <rFont val="Arial"/>
        <family val="2"/>
      </rPr>
      <t>f</t>
    </r>
    <r>
      <rPr>
        <sz val="10"/>
        <rFont val="Arial"/>
        <family val="2"/>
      </rPr>
      <t>) per AASHTO Eq. 6.12.2.2.1-3.</t>
    </r>
  </si>
  <si>
    <r>
      <t>k(E/Fy)</t>
    </r>
    <r>
      <rPr>
        <vertAlign val="superscript"/>
        <sz val="10"/>
        <rFont val="Arial"/>
        <family val="2"/>
      </rPr>
      <t>0.5</t>
    </r>
    <r>
      <rPr>
        <sz val="10"/>
        <rFont val="Arial"/>
        <family val="2"/>
      </rPr>
      <t xml:space="preserve"> =</t>
    </r>
  </si>
  <si>
    <r>
      <t>l</t>
    </r>
    <r>
      <rPr>
        <vertAlign val="subscript"/>
        <sz val="10"/>
        <rFont val="Arial"/>
        <family val="2"/>
      </rPr>
      <t>pf</t>
    </r>
    <r>
      <rPr>
        <sz val="10"/>
        <rFont val="Arial"/>
        <family val="2"/>
      </rPr>
      <t xml:space="preserve"> =</t>
    </r>
  </si>
  <si>
    <r>
      <t xml:space="preserve">Limiting slenderness ratio for a noncompact flange, </t>
    </r>
    <r>
      <rPr>
        <sz val="10"/>
        <rFont val="Symbol"/>
        <family val="1"/>
        <charset val="2"/>
      </rPr>
      <t>l</t>
    </r>
    <r>
      <rPr>
        <vertAlign val="subscript"/>
        <sz val="10"/>
        <rFont val="Arial"/>
        <family val="2"/>
      </rPr>
      <t>rf</t>
    </r>
    <r>
      <rPr>
        <sz val="10"/>
        <rFont val="Arial"/>
        <family val="2"/>
      </rPr>
      <t xml:space="preserve"> = 0.83</t>
    </r>
    <r>
      <rPr>
        <sz val="10"/>
        <rFont val="Arial"/>
        <family val="2"/>
      </rPr>
      <t>(E/Fy</t>
    </r>
    <r>
      <rPr>
        <sz val="10"/>
        <rFont val="Arial"/>
        <family val="2"/>
      </rPr>
      <t>)</t>
    </r>
    <r>
      <rPr>
        <vertAlign val="superscript"/>
        <sz val="10"/>
        <rFont val="Arial"/>
        <family val="2"/>
      </rPr>
      <t>0.5</t>
    </r>
    <r>
      <rPr>
        <sz val="10"/>
        <rFont val="Arial"/>
        <family val="2"/>
      </rPr>
      <t xml:space="preserve"> per AASHTO Eq. 6.12.2.2.1-5.</t>
    </r>
  </si>
  <si>
    <t>k-in =</t>
  </si>
  <si>
    <r>
      <t xml:space="preserve">If </t>
    </r>
    <r>
      <rPr>
        <sz val="10"/>
        <rFont val="Symbol"/>
        <family val="1"/>
        <charset val="2"/>
      </rPr>
      <t>l</t>
    </r>
    <r>
      <rPr>
        <vertAlign val="subscript"/>
        <sz val="10"/>
        <rFont val="Arial"/>
        <family val="2"/>
      </rPr>
      <t>f</t>
    </r>
    <r>
      <rPr>
        <sz val="10"/>
        <rFont val="Arial"/>
        <family val="2"/>
      </rPr>
      <t xml:space="preserve"> &lt; </t>
    </r>
    <r>
      <rPr>
        <sz val="10"/>
        <rFont val="Symbol"/>
        <family val="1"/>
        <charset val="2"/>
      </rPr>
      <t>l</t>
    </r>
    <r>
      <rPr>
        <vertAlign val="subscript"/>
        <sz val="10"/>
        <rFont val="Arial"/>
        <family val="2"/>
      </rPr>
      <t>pf</t>
    </r>
    <r>
      <rPr>
        <sz val="10"/>
        <rFont val="Arial"/>
        <family val="2"/>
      </rPr>
      <t>, then flange is compact and M</t>
    </r>
    <r>
      <rPr>
        <vertAlign val="subscript"/>
        <sz val="10"/>
        <rFont val="Arial"/>
        <family val="2"/>
      </rPr>
      <t>n</t>
    </r>
    <r>
      <rPr>
        <sz val="10"/>
        <rFont val="Arial"/>
        <family val="2"/>
      </rPr>
      <t xml:space="preserve"> = M</t>
    </r>
    <r>
      <rPr>
        <vertAlign val="subscript"/>
        <sz val="10"/>
        <rFont val="Arial"/>
        <family val="2"/>
      </rPr>
      <t>p</t>
    </r>
    <r>
      <rPr>
        <sz val="10"/>
        <rFont val="Arial"/>
        <family val="2"/>
      </rPr>
      <t xml:space="preserve"> per AASHTO Equation 6.12.2.2.1-1</t>
    </r>
  </si>
  <si>
    <r>
      <t>M</t>
    </r>
    <r>
      <rPr>
        <vertAlign val="subscript"/>
        <sz val="10"/>
        <rFont val="Arial"/>
        <family val="2"/>
      </rPr>
      <t>n</t>
    </r>
    <r>
      <rPr>
        <sz val="10"/>
        <rFont val="Arial"/>
        <family val="2"/>
      </rPr>
      <t xml:space="preserve"> =</t>
    </r>
    <r>
      <rPr>
        <sz val="10"/>
        <rFont val="Arial"/>
        <family val="2"/>
      </rPr>
      <t/>
    </r>
  </si>
  <si>
    <r>
      <t>M</t>
    </r>
    <r>
      <rPr>
        <vertAlign val="subscript"/>
        <sz val="10"/>
        <rFont val="Arial"/>
        <family val="2"/>
      </rPr>
      <t>n</t>
    </r>
    <r>
      <rPr>
        <sz val="10"/>
        <rFont val="Arial"/>
        <family val="2"/>
      </rPr>
      <t xml:space="preserve"> = M</t>
    </r>
    <r>
      <rPr>
        <vertAlign val="subscript"/>
        <sz val="10"/>
        <rFont val="Arial"/>
        <family val="2"/>
      </rPr>
      <t>p</t>
    </r>
    <r>
      <rPr>
        <sz val="10"/>
        <rFont val="Arial"/>
        <family val="2"/>
      </rPr>
      <t xml:space="preserve"> = 1.5F</t>
    </r>
    <r>
      <rPr>
        <vertAlign val="subscript"/>
        <sz val="10"/>
        <rFont val="Arial"/>
        <family val="2"/>
      </rPr>
      <t>y</t>
    </r>
    <r>
      <rPr>
        <sz val="10"/>
        <rFont val="Arial"/>
        <family val="2"/>
      </rPr>
      <t>S per AASHTO C6.12.2.2.1 =</t>
    </r>
  </si>
  <si>
    <t>The combined effects of axial compression and concurrent moment are determined in accordance with AASHTO 6.9.2.2.</t>
  </si>
  <si>
    <t>H-Pile Combined Axial Compression and Flexure (upper portion of pile - under combined axial load and moment)</t>
  </si>
  <si>
    <t>The elastic critical buckling resistance based on flexural buckling is determined in accordance with AASHTO 6.9.4.1.2. Since the radius of gyration is smaller in the y-direction and the unbraced lengths about each axis are assumed equal, the resistance is only calculated about the y-axis. Torsional buckling is not considered.</t>
  </si>
  <si>
    <r>
      <t>P</t>
    </r>
    <r>
      <rPr>
        <vertAlign val="subscript"/>
        <sz val="10"/>
        <rFont val="Arial"/>
        <family val="2"/>
      </rPr>
      <t>e</t>
    </r>
    <r>
      <rPr>
        <sz val="10"/>
        <rFont val="Arial"/>
        <family val="2"/>
      </rPr>
      <t xml:space="preserve"> =</t>
    </r>
    <r>
      <rPr>
        <sz val="10"/>
        <rFont val="Arial"/>
        <family val="2"/>
      </rPr>
      <t/>
    </r>
  </si>
  <si>
    <r>
      <t>If P</t>
    </r>
    <r>
      <rPr>
        <vertAlign val="subscript"/>
        <sz val="10"/>
        <rFont val="Arial"/>
        <family val="2"/>
      </rPr>
      <t>e</t>
    </r>
    <r>
      <rPr>
        <sz val="10"/>
        <rFont val="Arial"/>
        <family val="2"/>
      </rPr>
      <t xml:space="preserve"> / P</t>
    </r>
    <r>
      <rPr>
        <vertAlign val="subscript"/>
        <sz val="10"/>
        <rFont val="Arial"/>
        <family val="2"/>
      </rPr>
      <t>o</t>
    </r>
    <r>
      <rPr>
        <sz val="10"/>
        <rFont val="Arial"/>
        <family val="2"/>
      </rPr>
      <t xml:space="preserve"> </t>
    </r>
    <r>
      <rPr>
        <b/>
        <sz val="10"/>
        <rFont val="Symbol"/>
        <family val="1"/>
        <charset val="2"/>
      </rPr>
      <t>³</t>
    </r>
    <r>
      <rPr>
        <sz val="10"/>
        <rFont val="Arial"/>
        <family val="2"/>
      </rPr>
      <t xml:space="preserve"> 0.44, then P</t>
    </r>
    <r>
      <rPr>
        <vertAlign val="subscript"/>
        <sz val="10"/>
        <rFont val="Arial"/>
        <family val="2"/>
      </rPr>
      <t>n</t>
    </r>
    <r>
      <rPr>
        <sz val="10"/>
        <rFont val="Arial"/>
        <family val="2"/>
      </rPr>
      <t xml:space="preserve"> = [0.658</t>
    </r>
    <r>
      <rPr>
        <vertAlign val="superscript"/>
        <sz val="10"/>
        <rFont val="Arial"/>
        <family val="2"/>
      </rPr>
      <t>(Po/Pe)</t>
    </r>
    <r>
      <rPr>
        <sz val="10"/>
        <rFont val="Arial"/>
        <family val="2"/>
      </rPr>
      <t>]P</t>
    </r>
    <r>
      <rPr>
        <vertAlign val="subscript"/>
        <sz val="10"/>
        <rFont val="Arial"/>
        <family val="2"/>
      </rPr>
      <t>o</t>
    </r>
    <r>
      <rPr>
        <sz val="10"/>
        <rFont val="Arial"/>
        <family val="2"/>
      </rPr>
      <t xml:space="preserve"> per AASHTO Equation 6.9.4.1.1-1</t>
    </r>
  </si>
  <si>
    <r>
      <t>If P</t>
    </r>
    <r>
      <rPr>
        <vertAlign val="subscript"/>
        <sz val="10"/>
        <rFont val="Arial"/>
        <family val="2"/>
      </rPr>
      <t>e</t>
    </r>
    <r>
      <rPr>
        <sz val="10"/>
        <rFont val="Arial"/>
        <family val="2"/>
      </rPr>
      <t xml:space="preserve"> / P</t>
    </r>
    <r>
      <rPr>
        <vertAlign val="subscript"/>
        <sz val="10"/>
        <rFont val="Arial"/>
        <family val="2"/>
      </rPr>
      <t>o</t>
    </r>
    <r>
      <rPr>
        <sz val="10"/>
        <rFont val="Arial"/>
        <family val="2"/>
      </rPr>
      <t xml:space="preserve"> &lt; 0.44, then P</t>
    </r>
    <r>
      <rPr>
        <vertAlign val="subscript"/>
        <sz val="10"/>
        <rFont val="Arial"/>
        <family val="2"/>
      </rPr>
      <t>n</t>
    </r>
    <r>
      <rPr>
        <sz val="10"/>
        <rFont val="Arial"/>
        <family val="2"/>
      </rPr>
      <t xml:space="preserve"> = 0.877P</t>
    </r>
    <r>
      <rPr>
        <vertAlign val="subscript"/>
        <sz val="10"/>
        <rFont val="Arial"/>
        <family val="2"/>
      </rPr>
      <t>e</t>
    </r>
    <r>
      <rPr>
        <sz val="10"/>
        <rFont val="Arial"/>
        <family val="2"/>
      </rPr>
      <t xml:space="preserve"> per AASHTO Equation 6.9.4.1.1-2</t>
    </r>
    <r>
      <rPr>
        <sz val="10"/>
        <rFont val="Arial"/>
        <family val="2"/>
      </rPr>
      <t/>
    </r>
  </si>
  <si>
    <r>
      <t>P</t>
    </r>
    <r>
      <rPr>
        <vertAlign val="subscript"/>
        <sz val="10"/>
        <rFont val="Arial"/>
        <family val="2"/>
      </rPr>
      <t>e</t>
    </r>
    <r>
      <rPr>
        <sz val="10"/>
        <rFont val="Arial"/>
        <family val="2"/>
      </rPr>
      <t xml:space="preserve"> / P</t>
    </r>
    <r>
      <rPr>
        <vertAlign val="subscript"/>
        <sz val="10"/>
        <rFont val="Arial"/>
        <family val="2"/>
      </rPr>
      <t>o</t>
    </r>
    <r>
      <rPr>
        <sz val="10"/>
        <rFont val="Arial"/>
        <family val="2"/>
      </rPr>
      <t xml:space="preserve"> =</t>
    </r>
  </si>
  <si>
    <t>H-Pile Flexural Resistance (upper portion of pile - under combined axial load and moment)</t>
  </si>
  <si>
    <r>
      <t>Total factored resistance per pile, Q</t>
    </r>
    <r>
      <rPr>
        <vertAlign val="subscript"/>
        <sz val="10"/>
        <rFont val="Arial"/>
        <family val="2"/>
      </rPr>
      <t>R</t>
    </r>
    <r>
      <rPr>
        <sz val="10"/>
        <rFont val="Arial"/>
        <family val="2"/>
      </rPr>
      <t xml:space="preserve"> = </t>
    </r>
    <r>
      <rPr>
        <sz val="10"/>
        <rFont val="Symbol"/>
        <family val="1"/>
        <charset val="2"/>
      </rPr>
      <t>f</t>
    </r>
    <r>
      <rPr>
        <vertAlign val="subscript"/>
        <sz val="10"/>
        <rFont val="Arial"/>
        <family val="2"/>
      </rPr>
      <t>qp</t>
    </r>
    <r>
      <rPr>
        <sz val="10"/>
        <rFont val="Arial"/>
        <family val="2"/>
      </rPr>
      <t>Q</t>
    </r>
    <r>
      <rPr>
        <vertAlign val="subscript"/>
        <sz val="10"/>
        <rFont val="Arial"/>
        <family val="2"/>
      </rPr>
      <t>p</t>
    </r>
    <r>
      <rPr>
        <sz val="10"/>
        <rFont val="Arial"/>
        <family val="2"/>
      </rPr>
      <t xml:space="preserve"> + </t>
    </r>
    <r>
      <rPr>
        <sz val="10"/>
        <rFont val="Symbol"/>
        <family val="1"/>
        <charset val="2"/>
      </rPr>
      <t>f</t>
    </r>
    <r>
      <rPr>
        <vertAlign val="subscript"/>
        <sz val="10"/>
        <rFont val="Arial"/>
        <family val="2"/>
      </rPr>
      <t>qs</t>
    </r>
    <r>
      <rPr>
        <sz val="10"/>
        <rFont val="Arial"/>
        <family val="2"/>
      </rPr>
      <t>Q</t>
    </r>
    <r>
      <rPr>
        <vertAlign val="subscript"/>
        <sz val="10"/>
        <rFont val="Arial"/>
        <family val="2"/>
      </rPr>
      <t>s</t>
    </r>
    <r>
      <rPr>
        <sz val="10"/>
        <rFont val="Arial"/>
        <family val="2"/>
      </rPr>
      <t xml:space="preserve"> =</t>
    </r>
  </si>
  <si>
    <t>ksi as calculated previously</t>
  </si>
  <si>
    <t>The flexural resistance of the concrete filled steel pipe pile is determined in accordance with AASHTO 6.12.2.3.2.</t>
  </si>
  <si>
    <t>The nominal flexural resistance was previously calculated and is shown below.</t>
  </si>
  <si>
    <r>
      <t>The thermal expansion of continuous bridges induces an axial force in the piles, P</t>
    </r>
    <r>
      <rPr>
        <vertAlign val="subscript"/>
        <sz val="10"/>
        <rFont val="Arial"/>
        <family val="2"/>
      </rPr>
      <t>T</t>
    </r>
    <r>
      <rPr>
        <sz val="10"/>
        <rFont val="Arial"/>
        <family val="2"/>
      </rPr>
      <t>, which is estimated using the simplified elastic procedure illustrated below (see figure on following page).  This procedure assumes that the full passive pressure of the soil is acting on the abutment.  Note that the additional pile axial force is zero in a simple span with passive pressure acting at the same height on both abutments.</t>
    </r>
  </si>
  <si>
    <r>
      <t xml:space="preserve">Using simple equilibrium by taking the moment about point A, the axial reaction per pile due to the force, F, and the displacement, </t>
    </r>
    <r>
      <rPr>
        <sz val="10"/>
        <rFont val="Symbol"/>
        <family val="1"/>
        <charset val="2"/>
      </rPr>
      <t>D</t>
    </r>
    <r>
      <rPr>
        <sz val="10"/>
        <rFont val="Arial"/>
        <family val="2"/>
      </rPr>
      <t>, can be calculated as:</t>
    </r>
  </si>
  <si>
    <t>*</t>
  </si>
  <si>
    <t>Knowing the maximum girder reaction, the pile spacing, the dimensions of the cap and diaphragm, and the material properties, the pile cap reinforcing can be calculated.  The loads used for design are the maximum simply supported beam moments reduced by 20% to account for the continuity over the piles.  Calculations for reinforcement are performed on the Cap Reinforcement tab.</t>
  </si>
  <si>
    <t>The moment induced in the piles by the thermal movement can be determined using the following equation.  The top of the pile is assumed to be fixed.</t>
  </si>
  <si>
    <t>Check the geotechnical resistance of the pile</t>
  </si>
  <si>
    <t>Since the web and flanges are nonslender, the slender element reduction factor, Q, equals 1.0.</t>
  </si>
  <si>
    <t>Since the web and flanges are slender, the slender element reduction factors are calculated below.</t>
  </si>
  <si>
    <t>Since the flanges are slender, the slender element reduction factor for the flange is calculated below.</t>
  </si>
  <si>
    <t>Since the web is slender, the slender element reduction factor for the web is calculated below.</t>
  </si>
  <si>
    <t>Flange (Unstiffened Slender Element)</t>
  </si>
  <si>
    <t>Web (Stiffened Slender Element)</t>
  </si>
  <si>
    <t>Pedestrian</t>
  </si>
  <si>
    <t>Title:</t>
  </si>
  <si>
    <t>Lateral pile deflection vs depth</t>
  </si>
  <si>
    <t>Pile moment vs depth</t>
  </si>
  <si>
    <t>Plastic moment (if required)</t>
  </si>
  <si>
    <r>
      <t>h</t>
    </r>
    <r>
      <rPr>
        <vertAlign val="subscript"/>
        <sz val="10"/>
        <rFont val="Arial"/>
        <family val="2"/>
      </rPr>
      <t xml:space="preserve"> i</t>
    </r>
    <r>
      <rPr>
        <sz val="10"/>
        <rFont val="Arial"/>
        <family val="2"/>
      </rPr>
      <t xml:space="preserve"> factor</t>
    </r>
  </si>
  <si>
    <r>
      <t>Maximum factored girder reaction, R</t>
    </r>
    <r>
      <rPr>
        <vertAlign val="subscript"/>
        <sz val="10"/>
        <rFont val="Arial"/>
        <family val="2"/>
      </rPr>
      <t>u</t>
    </r>
  </si>
  <si>
    <t>Approach slab dimensions</t>
  </si>
  <si>
    <t>The moment of inertia of the girders about the longitudinal axis of the bridge is calculated as illustrated in the figure below (five I-girders shown for illustrative purposes, the actual number of girders is used in the calculations).  This value is used later to determine girder reactions due to transverse and overturning loadings.</t>
  </si>
  <si>
    <r>
      <t xml:space="preserve">Given the geometry of the superstructure, the location of the proposed abutment, and the topography of the site, the geomety of the integral abutment can be calculated, and the wingwall lengths can be determined.  Many of the dimensions are set in the PennDOT standards </t>
    </r>
    <r>
      <rPr>
        <sz val="10"/>
        <rFont val="Arial"/>
        <family val="2"/>
      </rPr>
      <t>(see BD-667M Standard Drawing).</t>
    </r>
  </si>
  <si>
    <t>The abutment length is measured along the line of bearing.  Note that specifying detached wingwalls later in the spreadsheet results in a slightly longer abutment (see BD-667M for detached wingwall details).</t>
  </si>
  <si>
    <r>
      <t>Left end pile cap height, d</t>
    </r>
    <r>
      <rPr>
        <vertAlign val="subscript"/>
        <sz val="10"/>
        <rFont val="Arial"/>
        <family val="2"/>
      </rPr>
      <t>pc1</t>
    </r>
  </si>
  <si>
    <r>
      <t>Right end pile cap height, d</t>
    </r>
    <r>
      <rPr>
        <vertAlign val="subscript"/>
        <sz val="10"/>
        <rFont val="Arial"/>
        <family val="2"/>
      </rPr>
      <t>pc2</t>
    </r>
  </si>
  <si>
    <t>The end diaphragm height is equal to the deck and haunch thickness + girder depth + bearing pad depth.</t>
  </si>
  <si>
    <t>The average wingwall height at the abutment back face is conservatively assumed to be equal to the average height of the abutment.</t>
  </si>
  <si>
    <r>
      <t>h</t>
    </r>
    <r>
      <rPr>
        <vertAlign val="subscript"/>
        <sz val="10"/>
        <rFont val="Arial"/>
        <family val="2"/>
      </rPr>
      <t xml:space="preserve"> i,max</t>
    </r>
    <r>
      <rPr>
        <sz val="10"/>
        <rFont val="Arial"/>
        <family val="2"/>
      </rPr>
      <t xml:space="preserve"> = </t>
    </r>
    <r>
      <rPr>
        <sz val="12"/>
        <rFont val="Symbol"/>
        <family val="1"/>
        <charset val="2"/>
      </rPr>
      <t>h</t>
    </r>
    <r>
      <rPr>
        <vertAlign val="subscript"/>
        <sz val="10"/>
        <rFont val="Arial"/>
        <family val="2"/>
      </rPr>
      <t xml:space="preserve"> i</t>
    </r>
    <r>
      <rPr>
        <sz val="10"/>
        <rFont val="Arial"/>
        <family val="2"/>
      </rPr>
      <t xml:space="preserve"> </t>
    </r>
    <r>
      <rPr>
        <b/>
        <sz val="10"/>
        <rFont val="Symbol"/>
        <family val="1"/>
        <charset val="2"/>
      </rPr>
      <t>³</t>
    </r>
    <r>
      <rPr>
        <sz val="10"/>
        <rFont val="Arial"/>
        <family val="2"/>
      </rPr>
      <t xml:space="preserve"> 1.00</t>
    </r>
  </si>
  <si>
    <r>
      <t>h</t>
    </r>
    <r>
      <rPr>
        <vertAlign val="subscript"/>
        <sz val="10"/>
        <rFont val="Arial"/>
        <family val="2"/>
      </rPr>
      <t xml:space="preserve"> i,min</t>
    </r>
    <r>
      <rPr>
        <sz val="10"/>
        <rFont val="Arial"/>
        <family val="2"/>
      </rPr>
      <t xml:space="preserve"> = 1/</t>
    </r>
    <r>
      <rPr>
        <sz val="12"/>
        <rFont val="Symbol"/>
        <family val="1"/>
        <charset val="2"/>
      </rPr>
      <t>h</t>
    </r>
    <r>
      <rPr>
        <vertAlign val="subscript"/>
        <sz val="10"/>
        <rFont val="Arial"/>
        <family val="2"/>
      </rPr>
      <t xml:space="preserve"> i</t>
    </r>
    <r>
      <rPr>
        <sz val="10"/>
        <rFont val="Arial"/>
        <family val="2"/>
      </rPr>
      <t xml:space="preserve"> </t>
    </r>
    <r>
      <rPr>
        <b/>
        <sz val="10"/>
        <rFont val="Symbol"/>
        <family val="1"/>
        <charset val="2"/>
      </rPr>
      <t>£</t>
    </r>
    <r>
      <rPr>
        <sz val="10"/>
        <rFont val="Arial"/>
        <family val="2"/>
      </rPr>
      <t xml:space="preserve"> 1.00</t>
    </r>
  </si>
  <si>
    <t>b = width of plate as specified in AASHTO Table 6.9.4.2.1-1</t>
  </si>
  <si>
    <t>k = plate buckling coefficient as specified in AASHTO Table 6.9.4.2.1-1</t>
  </si>
  <si>
    <r>
      <t>Width of plate, b = half-flange width of rolled I-sections per AASHTO Table 6.9.4.2.1-1 = b</t>
    </r>
    <r>
      <rPr>
        <vertAlign val="subscript"/>
        <sz val="10"/>
        <rFont val="Arial"/>
        <family val="2"/>
      </rPr>
      <t>f</t>
    </r>
    <r>
      <rPr>
        <sz val="10"/>
        <rFont val="Arial"/>
        <family val="2"/>
      </rPr>
      <t xml:space="preserve"> / 2</t>
    </r>
  </si>
  <si>
    <t>Plate buckling coefficient, k = value specified for flanges in AASHTO Table 6.9.4.2.1-1</t>
  </si>
  <si>
    <t>Width of plate, b = clear distance between flanges minus fillet radii per AASHTO Table 6.9.4.2.1-1</t>
  </si>
  <si>
    <t>Plate buckling coefficient, k = value specified for webs in AASHTO Table 6.9.4.2.1-1</t>
  </si>
  <si>
    <r>
      <t xml:space="preserve">If </t>
    </r>
    <r>
      <rPr>
        <sz val="10"/>
        <rFont val="Symbol"/>
        <family val="1"/>
        <charset val="2"/>
      </rPr>
      <t>l</t>
    </r>
    <r>
      <rPr>
        <vertAlign val="subscript"/>
        <sz val="10"/>
        <rFont val="Arial"/>
        <family val="2"/>
      </rPr>
      <t>pf</t>
    </r>
    <r>
      <rPr>
        <sz val="10"/>
        <rFont val="Arial"/>
        <family val="2"/>
      </rPr>
      <t xml:space="preserve"> &lt; </t>
    </r>
    <r>
      <rPr>
        <sz val="10"/>
        <rFont val="Symbol"/>
        <family val="1"/>
        <charset val="2"/>
      </rPr>
      <t>l</t>
    </r>
    <r>
      <rPr>
        <vertAlign val="subscript"/>
        <sz val="10"/>
        <rFont val="Arial"/>
        <family val="2"/>
      </rPr>
      <t>f</t>
    </r>
    <r>
      <rPr>
        <sz val="10"/>
        <rFont val="Arial"/>
        <family val="2"/>
      </rPr>
      <t xml:space="preserve"> &lt; </t>
    </r>
    <r>
      <rPr>
        <sz val="10"/>
        <rFont val="Symbol"/>
        <family val="1"/>
        <charset val="2"/>
      </rPr>
      <t>l</t>
    </r>
    <r>
      <rPr>
        <vertAlign val="subscript"/>
        <sz val="10"/>
        <rFont val="Arial"/>
        <family val="2"/>
      </rPr>
      <t>rf</t>
    </r>
    <r>
      <rPr>
        <sz val="10"/>
        <rFont val="Arial"/>
        <family val="2"/>
      </rPr>
      <t>, then flange is noncompact, M</t>
    </r>
    <r>
      <rPr>
        <vertAlign val="subscript"/>
        <sz val="10"/>
        <rFont val="Arial"/>
        <family val="2"/>
      </rPr>
      <t>n</t>
    </r>
    <r>
      <rPr>
        <sz val="10"/>
        <rFont val="Arial"/>
        <family val="2"/>
      </rPr>
      <t xml:space="preserve"> = [1-(1-S</t>
    </r>
    <r>
      <rPr>
        <vertAlign val="subscript"/>
        <sz val="10"/>
        <rFont val="Arial"/>
        <family val="2"/>
      </rPr>
      <t>y</t>
    </r>
    <r>
      <rPr>
        <sz val="10"/>
        <rFont val="Arial"/>
        <family val="2"/>
      </rPr>
      <t>/Z</t>
    </r>
    <r>
      <rPr>
        <vertAlign val="subscript"/>
        <sz val="10"/>
        <rFont val="Arial"/>
        <family val="2"/>
      </rPr>
      <t>y</t>
    </r>
    <r>
      <rPr>
        <sz val="10"/>
        <rFont val="Arial"/>
        <family val="2"/>
      </rPr>
      <t>)(</t>
    </r>
    <r>
      <rPr>
        <sz val="10"/>
        <rFont val="Symbol"/>
        <family val="1"/>
        <charset val="2"/>
      </rPr>
      <t>l</t>
    </r>
    <r>
      <rPr>
        <vertAlign val="subscript"/>
        <sz val="10"/>
        <rFont val="Arial"/>
        <family val="2"/>
      </rPr>
      <t>f</t>
    </r>
    <r>
      <rPr>
        <sz val="10"/>
        <rFont val="Arial"/>
        <family val="2"/>
      </rPr>
      <t>-</t>
    </r>
    <r>
      <rPr>
        <sz val="10"/>
        <rFont val="Symbol"/>
        <family val="1"/>
        <charset val="2"/>
      </rPr>
      <t>l</t>
    </r>
    <r>
      <rPr>
        <vertAlign val="subscript"/>
        <sz val="10"/>
        <rFont val="Arial"/>
        <family val="2"/>
      </rPr>
      <t>pf</t>
    </r>
    <r>
      <rPr>
        <sz val="10"/>
        <rFont val="Arial"/>
        <family val="2"/>
      </rPr>
      <t>)/(0.45(E/F</t>
    </r>
    <r>
      <rPr>
        <vertAlign val="subscript"/>
        <sz val="10"/>
        <rFont val="Arial"/>
        <family val="2"/>
      </rPr>
      <t>y</t>
    </r>
    <r>
      <rPr>
        <sz val="10"/>
        <rFont val="Arial"/>
        <family val="2"/>
      </rPr>
      <t>)</t>
    </r>
    <r>
      <rPr>
        <vertAlign val="superscript"/>
        <sz val="10"/>
        <rFont val="Arial"/>
        <family val="2"/>
      </rPr>
      <t>0.5</t>
    </r>
    <r>
      <rPr>
        <sz val="10"/>
        <rFont val="Arial"/>
        <family val="2"/>
      </rPr>
      <t>)]F</t>
    </r>
    <r>
      <rPr>
        <vertAlign val="subscript"/>
        <sz val="10"/>
        <rFont val="Arial"/>
        <family val="2"/>
      </rPr>
      <t>yf</t>
    </r>
    <r>
      <rPr>
        <sz val="10"/>
        <rFont val="Arial"/>
        <family val="2"/>
      </rPr>
      <t>Z</t>
    </r>
    <r>
      <rPr>
        <vertAlign val="subscript"/>
        <sz val="10"/>
        <rFont val="Arial"/>
        <family val="2"/>
      </rPr>
      <t>y</t>
    </r>
    <r>
      <rPr>
        <sz val="10"/>
        <rFont val="Arial"/>
        <family val="2"/>
      </rPr>
      <t xml:space="preserve"> per AASHTO Eq. 6.12.2.2.1-2</t>
    </r>
    <r>
      <rPr>
        <sz val="10"/>
        <rFont val="Arial"/>
        <family val="2"/>
      </rPr>
      <t/>
    </r>
  </si>
  <si>
    <r>
      <t>If 2.0(E/F</t>
    </r>
    <r>
      <rPr>
        <vertAlign val="subscript"/>
        <sz val="10"/>
        <rFont val="Arial"/>
        <family val="2"/>
      </rPr>
      <t>y</t>
    </r>
    <r>
      <rPr>
        <sz val="10"/>
        <rFont val="Arial"/>
        <family val="2"/>
      </rPr>
      <t>)</t>
    </r>
    <r>
      <rPr>
        <vertAlign val="superscript"/>
        <sz val="10"/>
        <rFont val="Arial"/>
        <family val="2"/>
      </rPr>
      <t>0.5</t>
    </r>
    <r>
      <rPr>
        <sz val="10"/>
        <rFont val="Arial"/>
        <family val="2"/>
      </rPr>
      <t xml:space="preserve"> &lt; D/t </t>
    </r>
    <r>
      <rPr>
        <sz val="10"/>
        <rFont val="Arial"/>
        <family val="2"/>
      </rPr>
      <t>≤ 8.8(E/F</t>
    </r>
    <r>
      <rPr>
        <vertAlign val="subscript"/>
        <sz val="10"/>
        <rFont val="Arial"/>
        <family val="2"/>
      </rPr>
      <t>y</t>
    </r>
    <r>
      <rPr>
        <sz val="10"/>
        <rFont val="Arial"/>
        <family val="2"/>
      </rPr>
      <t>)</t>
    </r>
    <r>
      <rPr>
        <vertAlign val="superscript"/>
        <sz val="10"/>
        <rFont val="Arial"/>
        <family val="2"/>
      </rPr>
      <t>0.5</t>
    </r>
    <r>
      <rPr>
        <sz val="10"/>
        <rFont val="Arial"/>
        <family val="2"/>
      </rPr>
      <t>,</t>
    </r>
    <r>
      <rPr>
        <sz val="10"/>
        <rFont val="Arial"/>
        <family val="2"/>
      </rPr>
      <t xml:space="preserve"> then M</t>
    </r>
    <r>
      <rPr>
        <vertAlign val="subscript"/>
        <sz val="10"/>
        <rFont val="Arial"/>
        <family val="2"/>
      </rPr>
      <t>n</t>
    </r>
    <r>
      <rPr>
        <sz val="10"/>
        <rFont val="Arial"/>
        <family val="2"/>
      </rPr>
      <t xml:space="preserve"> = M</t>
    </r>
    <r>
      <rPr>
        <vertAlign val="subscript"/>
        <sz val="10"/>
        <rFont val="Arial"/>
        <family val="2"/>
      </rPr>
      <t>yc</t>
    </r>
    <r>
      <rPr>
        <sz val="10"/>
        <rFont val="Arial"/>
        <family val="2"/>
      </rPr>
      <t xml:space="preserve"> per AASHTO Equation 6.12.2.3.2-2</t>
    </r>
    <r>
      <rPr>
        <sz val="10"/>
        <rFont val="Arial"/>
        <family val="2"/>
      </rPr>
      <t/>
    </r>
  </si>
  <si>
    <r>
      <t>Plastic Moment, M</t>
    </r>
    <r>
      <rPr>
        <vertAlign val="subscript"/>
        <sz val="10"/>
        <rFont val="Arial"/>
        <family val="2"/>
      </rPr>
      <t>p</t>
    </r>
    <r>
      <rPr>
        <sz val="10"/>
        <rFont val="Arial"/>
        <family val="2"/>
      </rPr>
      <t xml:space="preserve"> = F</t>
    </r>
    <r>
      <rPr>
        <vertAlign val="subscript"/>
        <sz val="10"/>
        <rFont val="Arial"/>
        <family val="2"/>
      </rPr>
      <t>y</t>
    </r>
    <r>
      <rPr>
        <sz val="10"/>
        <rFont val="Arial"/>
        <family val="2"/>
      </rPr>
      <t>Z</t>
    </r>
    <r>
      <rPr>
        <vertAlign val="subscript"/>
        <sz val="10"/>
        <rFont val="Arial"/>
        <family val="2"/>
      </rPr>
      <t>y</t>
    </r>
    <r>
      <rPr>
        <sz val="10"/>
        <rFont val="Arial"/>
        <family val="2"/>
      </rPr>
      <t xml:space="preserve"> =</t>
    </r>
  </si>
  <si>
    <t>For pipe piles, if the diameter-to-thickness ratio of the pipe is not sufficient to consider the section compact, then the section is considered non-compact.</t>
  </si>
  <si>
    <r>
      <t>The design displacement is the total displacement due to the full range of thermal expansion</t>
    </r>
    <r>
      <rPr>
        <sz val="8"/>
        <rFont val="Arial"/>
        <family val="2"/>
      </rPr>
      <t xml:space="preserve"> </t>
    </r>
    <r>
      <rPr>
        <sz val="10"/>
        <rFont val="Arial"/>
        <family val="2"/>
      </rPr>
      <t>/</t>
    </r>
    <r>
      <rPr>
        <sz val="8"/>
        <rFont val="Arial"/>
        <family val="2"/>
      </rPr>
      <t xml:space="preserve"> </t>
    </r>
    <r>
      <rPr>
        <sz val="10"/>
        <rFont val="Arial"/>
        <family val="2"/>
      </rPr>
      <t>contraction at the abutment being designed.  Most of the data for thermal displacements was listed previously, and the percentage of the total displacement of the bridge is denoted by k.</t>
    </r>
  </si>
  <si>
    <r>
      <t xml:space="preserve">Allowable displacement, </t>
    </r>
    <r>
      <rPr>
        <sz val="10"/>
        <rFont val="Symbol"/>
        <family val="1"/>
        <charset val="2"/>
      </rPr>
      <t>D</t>
    </r>
    <r>
      <rPr>
        <vertAlign val="subscript"/>
        <sz val="10"/>
        <rFont val="Arial"/>
        <family val="2"/>
      </rPr>
      <t>i</t>
    </r>
    <r>
      <rPr>
        <sz val="10"/>
        <rFont val="Arial"/>
        <family val="2"/>
      </rPr>
      <t xml:space="preserve"> = 4*L</t>
    </r>
    <r>
      <rPr>
        <vertAlign val="subscript"/>
        <sz val="10"/>
        <rFont val="Arial"/>
        <family val="2"/>
      </rPr>
      <t>i</t>
    </r>
    <r>
      <rPr>
        <sz val="10"/>
        <rFont val="Arial"/>
        <family val="2"/>
      </rPr>
      <t>*[(</t>
    </r>
    <r>
      <rPr>
        <sz val="10"/>
        <rFont val="Symbol"/>
        <family val="1"/>
        <charset val="2"/>
      </rPr>
      <t>q</t>
    </r>
    <r>
      <rPr>
        <vertAlign val="subscript"/>
        <sz val="10"/>
        <rFont val="Arial"/>
        <family val="2"/>
      </rPr>
      <t>inel</t>
    </r>
    <r>
      <rPr>
        <sz val="10"/>
        <rFont val="Arial"/>
        <family val="2"/>
      </rPr>
      <t xml:space="preserve"> - </t>
    </r>
    <r>
      <rPr>
        <sz val="10"/>
        <rFont val="Symbol"/>
        <family val="1"/>
        <charset val="2"/>
      </rPr>
      <t>q</t>
    </r>
    <r>
      <rPr>
        <vertAlign val="subscript"/>
        <sz val="10"/>
        <rFont val="Arial"/>
        <family val="2"/>
      </rPr>
      <t>w</t>
    </r>
    <r>
      <rPr>
        <sz val="10"/>
        <rFont val="Arial"/>
        <family val="2"/>
      </rPr>
      <t xml:space="preserve">)/2 + </t>
    </r>
    <r>
      <rPr>
        <sz val="10"/>
        <rFont val="Symbol"/>
        <family val="1"/>
        <charset val="2"/>
      </rPr>
      <t>q</t>
    </r>
    <r>
      <rPr>
        <vertAlign val="subscript"/>
        <sz val="10"/>
        <rFont val="Arial"/>
        <family val="2"/>
      </rPr>
      <t>p</t>
    </r>
    <r>
      <rPr>
        <sz val="10"/>
        <rFont val="Arial"/>
        <family val="2"/>
      </rPr>
      <t>] =</t>
    </r>
  </si>
  <si>
    <t>The pile resistance factors in DM-4 are to be applied assuming only axial forces are present at the tip of the pile, where any driving damage is likely to occur.  At the top of the pile, where axial forces and bending are present, the piles are generally undamaged.  For these reasons, a smaller resistance factor is used when the axial force only is considered.  The combined flexure and axial force resistance factors are higher.  The calculated nominal axial resistances are also different, as the pile is assumed fully supported at the tip, but an unbraced length is assumed between the top two points of inflection.</t>
  </si>
  <si>
    <t>For the check of axial capacity, the entire axial load is considered for end bearing piles.  For friction piles, the load at the pile tip is assumed to be the total pile load minus the friction capacity of the top 50% of the pile.</t>
  </si>
  <si>
    <r>
      <t>Axial load at tip of pile, P</t>
    </r>
    <r>
      <rPr>
        <vertAlign val="subscript"/>
        <sz val="10"/>
        <rFont val="Arial"/>
        <family val="2"/>
      </rPr>
      <t>u</t>
    </r>
    <r>
      <rPr>
        <sz val="10"/>
        <rFont val="Arial"/>
        <family val="2"/>
      </rPr>
      <t xml:space="preserve"> =</t>
    </r>
  </si>
  <si>
    <t>Girder and Pile Reactions</t>
  </si>
  <si>
    <r>
      <t>Depth to uppermost point of inflection, L</t>
    </r>
    <r>
      <rPr>
        <vertAlign val="subscript"/>
        <sz val="10"/>
        <rFont val="Arial"/>
        <family val="2"/>
      </rPr>
      <t>i1</t>
    </r>
  </si>
  <si>
    <r>
      <t>Depth to second uppermost point of inflection, L</t>
    </r>
    <r>
      <rPr>
        <vertAlign val="subscript"/>
        <sz val="10"/>
        <rFont val="Arial"/>
        <family val="2"/>
      </rPr>
      <t>i2</t>
    </r>
  </si>
  <si>
    <r>
      <t>Depth to first point of inflection, L</t>
    </r>
    <r>
      <rPr>
        <vertAlign val="subscript"/>
        <sz val="10"/>
        <rFont val="Arial"/>
        <family val="2"/>
      </rPr>
      <t>i1</t>
    </r>
    <r>
      <rPr>
        <sz val="10"/>
        <rFont val="Arial"/>
        <family val="2"/>
      </rPr>
      <t xml:space="preserve"> =</t>
    </r>
  </si>
  <si>
    <r>
      <t>Depth to second point of inflection, L</t>
    </r>
    <r>
      <rPr>
        <vertAlign val="subscript"/>
        <sz val="10"/>
        <rFont val="Arial"/>
        <family val="2"/>
      </rPr>
      <t>i2</t>
    </r>
    <r>
      <rPr>
        <sz val="10"/>
        <rFont val="Arial"/>
        <family val="2"/>
      </rPr>
      <t xml:space="preserve"> =</t>
    </r>
  </si>
  <si>
    <t>Girder reactions due to wind and centrifugal forces:</t>
  </si>
  <si>
    <t>width of piles =</t>
  </si>
  <si>
    <r>
      <t>Effective shaft length, L</t>
    </r>
    <r>
      <rPr>
        <vertAlign val="subscript"/>
        <sz val="10"/>
        <rFont val="Arial"/>
        <family val="2"/>
      </rPr>
      <t>e</t>
    </r>
    <r>
      <rPr>
        <sz val="10"/>
        <rFont val="Arial"/>
        <family val="2"/>
      </rPr>
      <t xml:space="preserve"> = L</t>
    </r>
    <r>
      <rPr>
        <vertAlign val="subscript"/>
        <sz val="10"/>
        <rFont val="Arial"/>
        <family val="2"/>
      </rPr>
      <t>tot</t>
    </r>
    <r>
      <rPr>
        <sz val="10"/>
        <rFont val="Arial"/>
        <family val="2"/>
      </rPr>
      <t xml:space="preserve"> - L</t>
    </r>
    <r>
      <rPr>
        <vertAlign val="subscript"/>
        <sz val="10"/>
        <rFont val="Arial"/>
        <family val="2"/>
      </rPr>
      <t>n</t>
    </r>
    <r>
      <rPr>
        <sz val="10"/>
        <rFont val="Arial"/>
        <family val="2"/>
      </rPr>
      <t xml:space="preserve"> =</t>
    </r>
  </si>
  <si>
    <r>
      <t xml:space="preserve">Plastic rotation, </t>
    </r>
    <r>
      <rPr>
        <sz val="10"/>
        <rFont val="Symbol"/>
        <family val="1"/>
        <charset val="2"/>
      </rPr>
      <t>q</t>
    </r>
    <r>
      <rPr>
        <vertAlign val="subscript"/>
        <sz val="10"/>
        <rFont val="Arial"/>
        <family val="2"/>
      </rPr>
      <t>p</t>
    </r>
    <r>
      <rPr>
        <sz val="10"/>
        <rFont val="Arial"/>
        <family val="2"/>
      </rPr>
      <t xml:space="preserve"> = F</t>
    </r>
    <r>
      <rPr>
        <vertAlign val="subscript"/>
        <sz val="10"/>
        <rFont val="Arial"/>
        <family val="2"/>
      </rPr>
      <t>y</t>
    </r>
    <r>
      <rPr>
        <sz val="10"/>
        <rFont val="Arial"/>
        <family val="2"/>
      </rPr>
      <t>ZL</t>
    </r>
    <r>
      <rPr>
        <vertAlign val="subscript"/>
        <sz val="10"/>
        <rFont val="Arial"/>
        <family val="2"/>
      </rPr>
      <t>i</t>
    </r>
    <r>
      <rPr>
        <sz val="10"/>
        <rFont val="Arial"/>
        <family val="2"/>
      </rPr>
      <t>/3EI =</t>
    </r>
  </si>
  <si>
    <r>
      <t xml:space="preserve">Total design rotation, </t>
    </r>
    <r>
      <rPr>
        <sz val="10"/>
        <rFont val="Symbol"/>
        <family val="1"/>
        <charset val="2"/>
      </rPr>
      <t>q</t>
    </r>
    <r>
      <rPr>
        <vertAlign val="subscript"/>
        <sz val="10"/>
        <rFont val="Arial"/>
        <family val="2"/>
      </rPr>
      <t>w</t>
    </r>
    <r>
      <rPr>
        <sz val="10"/>
        <rFont val="Arial"/>
        <family val="2"/>
      </rPr>
      <t xml:space="preserve"> = </t>
    </r>
    <r>
      <rPr>
        <sz val="10"/>
        <rFont val="Symbol"/>
        <family val="1"/>
        <charset val="2"/>
      </rPr>
      <t>q</t>
    </r>
    <r>
      <rPr>
        <vertAlign val="subscript"/>
        <sz val="10"/>
        <rFont val="Arial"/>
        <family val="2"/>
      </rPr>
      <t>min</t>
    </r>
    <r>
      <rPr>
        <sz val="10"/>
        <rFont val="Arial"/>
        <family val="2"/>
      </rPr>
      <t xml:space="preserve"> + </t>
    </r>
    <r>
      <rPr>
        <sz val="10"/>
        <rFont val="Symbol"/>
        <family val="1"/>
        <charset val="2"/>
      </rPr>
      <t>q</t>
    </r>
    <r>
      <rPr>
        <vertAlign val="subscript"/>
        <sz val="10"/>
        <rFont val="Arial"/>
        <family val="2"/>
      </rPr>
      <t>max</t>
    </r>
    <r>
      <rPr>
        <sz val="10"/>
        <rFont val="Arial"/>
        <family val="2"/>
      </rPr>
      <t xml:space="preserve"> =</t>
    </r>
  </si>
  <si>
    <r>
      <t>A</t>
    </r>
    <r>
      <rPr>
        <vertAlign val="subscript"/>
        <sz val="10"/>
        <rFont val="Arial"/>
        <family val="2"/>
      </rPr>
      <t>c</t>
    </r>
    <r>
      <rPr>
        <sz val="10"/>
        <rFont val="Arial"/>
        <family val="2"/>
      </rPr>
      <t xml:space="preserve"> =</t>
    </r>
  </si>
  <si>
    <r>
      <t>A</t>
    </r>
    <r>
      <rPr>
        <vertAlign val="subscript"/>
        <sz val="10"/>
        <rFont val="Arial"/>
        <family val="2"/>
      </rPr>
      <t>transf</t>
    </r>
    <r>
      <rPr>
        <sz val="10"/>
        <rFont val="Arial"/>
        <family val="2"/>
      </rPr>
      <t xml:space="preserve"> =</t>
    </r>
  </si>
  <si>
    <r>
      <t>Nominal flexural resistance, M</t>
    </r>
    <r>
      <rPr>
        <vertAlign val="subscript"/>
        <sz val="10"/>
        <rFont val="Arial"/>
        <family val="2"/>
      </rPr>
      <t>n</t>
    </r>
    <r>
      <rPr>
        <sz val="10"/>
        <rFont val="Arial"/>
        <family val="2"/>
      </rPr>
      <t xml:space="preserve"> =</t>
    </r>
  </si>
  <si>
    <r>
      <t>C</t>
    </r>
    <r>
      <rPr>
        <vertAlign val="subscript"/>
        <sz val="10"/>
        <rFont val="Arial"/>
        <family val="2"/>
      </rPr>
      <t>i</t>
    </r>
    <r>
      <rPr>
        <sz val="10"/>
        <rFont val="Arial"/>
        <family val="2"/>
      </rPr>
      <t xml:space="preserve"> =</t>
    </r>
  </si>
  <si>
    <t>Bearing pad thickness</t>
  </si>
  <si>
    <t>Maximum factored rotations are calculated here.  The DM-4 allows the P-82 permit load to be placed in only one lane, with PHL-93 load in the remaining lanes.  If the P-82 rotation controls the girder design the abutment design rotations are adjusted accordingly to account for P-82 on one lane and PHL-93 on all other lanes.  The maximum load factor is used for both the maximum (positive) and minimum (negative) values.</t>
  </si>
  <si>
    <t>Force</t>
  </si>
  <si>
    <t>Equilibrium</t>
  </si>
  <si>
    <t>Check</t>
  </si>
  <si>
    <t>(k)</t>
  </si>
  <si>
    <t>(k-in)</t>
  </si>
  <si>
    <t xml:space="preserve">                                         </t>
  </si>
  <si>
    <t>The slender element reduction factor, if applicable, is calculated in accordance with AASHTO 6.9.4.2.2.</t>
  </si>
  <si>
    <t>Since the web and flanges are slender, the slender element reduction factor, Q, equals the product of Qs and Qa.</t>
  </si>
  <si>
    <t>Q =</t>
  </si>
  <si>
    <t>Pile Resistance Factors</t>
  </si>
  <si>
    <t>Since the flanges are slender, the slender element reduction factor, Q, is equal to Qs.</t>
  </si>
  <si>
    <t>Since the web is slender, the slender element reduction factor, Q, is equal to Qa.</t>
  </si>
  <si>
    <r>
      <t>Equivalent Nominal Yield Resistance, P</t>
    </r>
    <r>
      <rPr>
        <vertAlign val="subscript"/>
        <sz val="10"/>
        <rFont val="Arial"/>
        <family val="2"/>
      </rPr>
      <t>o</t>
    </r>
    <r>
      <rPr>
        <sz val="10"/>
        <rFont val="Arial"/>
        <family val="2"/>
      </rPr>
      <t xml:space="preserve"> = QF</t>
    </r>
    <r>
      <rPr>
        <vertAlign val="subscript"/>
        <sz val="10"/>
        <rFont val="Arial"/>
        <family val="2"/>
      </rPr>
      <t>y</t>
    </r>
    <r>
      <rPr>
        <sz val="10"/>
        <rFont val="Arial"/>
        <family val="2"/>
      </rPr>
      <t>A</t>
    </r>
    <r>
      <rPr>
        <vertAlign val="subscript"/>
        <sz val="10"/>
        <rFont val="Arial"/>
        <family val="2"/>
      </rPr>
      <t>g</t>
    </r>
    <r>
      <rPr>
        <sz val="10"/>
        <rFont val="Arial"/>
        <family val="2"/>
      </rPr>
      <t xml:space="preserve"> per AASHTO 6.9.4.1.1</t>
    </r>
  </si>
  <si>
    <r>
      <t>P</t>
    </r>
    <r>
      <rPr>
        <vertAlign val="subscript"/>
        <sz val="10"/>
        <rFont val="Arial"/>
        <family val="2"/>
      </rPr>
      <t>o</t>
    </r>
    <r>
      <rPr>
        <sz val="10"/>
        <rFont val="Arial"/>
        <family val="2"/>
      </rPr>
      <t xml:space="preserve"> =</t>
    </r>
    <r>
      <rPr>
        <sz val="10"/>
        <rFont val="Arial"/>
        <family val="2"/>
      </rPr>
      <t/>
    </r>
  </si>
  <si>
    <t>kips</t>
  </si>
  <si>
    <r>
      <t>P</t>
    </r>
    <r>
      <rPr>
        <vertAlign val="subscript"/>
        <sz val="10"/>
        <rFont val="Arial"/>
        <family val="2"/>
      </rPr>
      <t>n</t>
    </r>
    <r>
      <rPr>
        <sz val="10"/>
        <rFont val="Arial"/>
        <family val="2"/>
      </rPr>
      <t xml:space="preserve"> =</t>
    </r>
  </si>
  <si>
    <t>Nominal Compressive Resistance</t>
  </si>
  <si>
    <r>
      <t>P</t>
    </r>
    <r>
      <rPr>
        <vertAlign val="subscript"/>
        <sz val="10"/>
        <rFont val="Arial"/>
        <family val="2"/>
      </rPr>
      <t>u</t>
    </r>
    <r>
      <rPr>
        <sz val="10"/>
        <rFont val="Arial"/>
        <family val="2"/>
      </rPr>
      <t xml:space="preserve"> =</t>
    </r>
  </si>
  <si>
    <t>Factored Compressive Resistance</t>
  </si>
  <si>
    <r>
      <t>The axial load at tip of pile, P</t>
    </r>
    <r>
      <rPr>
        <vertAlign val="subscript"/>
        <sz val="10"/>
        <rFont val="Arial"/>
        <family val="2"/>
      </rPr>
      <t>u</t>
    </r>
    <r>
      <rPr>
        <sz val="10"/>
        <rFont val="Arial"/>
        <family val="2"/>
      </rPr>
      <t xml:space="preserve"> =</t>
    </r>
  </si>
  <si>
    <r>
      <t>P</t>
    </r>
    <r>
      <rPr>
        <vertAlign val="subscript"/>
        <sz val="10"/>
        <rFont val="Arial"/>
        <family val="2"/>
      </rPr>
      <t>r</t>
    </r>
    <r>
      <rPr>
        <sz val="10"/>
        <rFont val="Arial"/>
        <family val="2"/>
      </rPr>
      <t xml:space="preserve"> =</t>
    </r>
  </si>
  <si>
    <t>Since the top of the pile will often have to undergo inelastic rotations, a check per DM-4 Ap.G.1.4.2.5 is performed based on a method contained in Greimann et. al. (1987) for determining whether the pile has enough ductility to undergo the required calculated deflections.</t>
  </si>
  <si>
    <t>radians =</t>
  </si>
  <si>
    <t>H-Pile Compressive Resistance (lower portion of pile - axial loads only)</t>
  </si>
  <si>
    <t>The unbraced length is defined as the distance between the top two points of inflection (zero moment) on the pile moment diagram.  As a structural member, the pile length between the top two inflection points is assumed to be a pinned-pinned member.  The effective length factor, K, of a pinned-pinned member = 1.0.</t>
  </si>
  <si>
    <r>
      <t>y</t>
    </r>
    <r>
      <rPr>
        <vertAlign val="subscript"/>
        <sz val="10"/>
        <rFont val="Arial"/>
        <family val="2"/>
      </rPr>
      <t>3</t>
    </r>
  </si>
  <si>
    <r>
      <t>Plastic moment, M</t>
    </r>
    <r>
      <rPr>
        <vertAlign val="subscript"/>
        <sz val="10"/>
        <rFont val="Arial"/>
        <family val="2"/>
      </rPr>
      <t>p</t>
    </r>
    <r>
      <rPr>
        <sz val="10"/>
        <rFont val="Arial"/>
        <family val="2"/>
      </rPr>
      <t xml:space="preserve"> =</t>
    </r>
  </si>
  <si>
    <t>Thermal Expansion</t>
  </si>
  <si>
    <t>%</t>
  </si>
  <si>
    <r>
      <t>in</t>
    </r>
    <r>
      <rPr>
        <vertAlign val="superscript"/>
        <sz val="10"/>
        <rFont val="Arial"/>
        <family val="2"/>
      </rPr>
      <t>2</t>
    </r>
  </si>
  <si>
    <t>HP360x132</t>
  </si>
  <si>
    <r>
      <t>in</t>
    </r>
    <r>
      <rPr>
        <vertAlign val="superscript"/>
        <sz val="10"/>
        <rFont val="Arial"/>
        <family val="2"/>
      </rPr>
      <t>4</t>
    </r>
  </si>
  <si>
    <r>
      <t>Elastic section modulus, S</t>
    </r>
    <r>
      <rPr>
        <vertAlign val="subscript"/>
        <sz val="10"/>
        <rFont val="Arial"/>
        <family val="2"/>
      </rPr>
      <t>y-y</t>
    </r>
  </si>
  <si>
    <r>
      <t>Radius of gyration, r</t>
    </r>
    <r>
      <rPr>
        <vertAlign val="subscript"/>
        <sz val="10"/>
        <rFont val="Arial"/>
        <family val="2"/>
      </rPr>
      <t>y-y</t>
    </r>
  </si>
  <si>
    <r>
      <t>in</t>
    </r>
    <r>
      <rPr>
        <vertAlign val="superscript"/>
        <sz val="10"/>
        <rFont val="Arial"/>
        <family val="2"/>
      </rPr>
      <t>3</t>
    </r>
  </si>
  <si>
    <t>in</t>
  </si>
  <si>
    <t>Pile designation</t>
  </si>
  <si>
    <r>
      <t>Plastic section modulus, Z</t>
    </r>
    <r>
      <rPr>
        <vertAlign val="subscript"/>
        <sz val="10"/>
        <rFont val="Arial"/>
        <family val="2"/>
      </rPr>
      <t>y-y</t>
    </r>
  </si>
  <si>
    <t>HP14x89</t>
  </si>
  <si>
    <t>Assume depth to pile fixity of</t>
  </si>
  <si>
    <t>k/pile</t>
  </si>
  <si>
    <t>Strength III</t>
  </si>
  <si>
    <t>WS</t>
  </si>
  <si>
    <t>WL</t>
  </si>
  <si>
    <t>Uplift</t>
  </si>
  <si>
    <t>Extreme Factored Dead + Live Loads per pile</t>
  </si>
  <si>
    <t>Controlling Loads</t>
  </si>
  <si>
    <r>
      <t xml:space="preserve">Coefficient of thermal expansion, </t>
    </r>
    <r>
      <rPr>
        <sz val="10"/>
        <rFont val="Symbol"/>
        <family val="1"/>
        <charset val="2"/>
      </rPr>
      <t>a</t>
    </r>
  </si>
  <si>
    <t>k/girder</t>
  </si>
  <si>
    <t>Deck + haunch thickness</t>
  </si>
  <si>
    <t>Pile Spacing</t>
  </si>
  <si>
    <t>Input</t>
  </si>
  <si>
    <t>Computed Moments</t>
  </si>
  <si>
    <t>Computed Areas of Reinf.</t>
  </si>
  <si>
    <t>Result</t>
  </si>
  <si>
    <t>EXTREME II</t>
  </si>
  <si>
    <t>Extreme II</t>
  </si>
  <si>
    <r>
      <t>Depth of maximum scour, D</t>
    </r>
    <r>
      <rPr>
        <vertAlign val="subscript"/>
        <sz val="10"/>
        <rFont val="Arial"/>
        <family val="2"/>
      </rPr>
      <t>sc</t>
    </r>
  </si>
  <si>
    <r>
      <t>Depth to fixity, L</t>
    </r>
    <r>
      <rPr>
        <vertAlign val="subscript"/>
        <sz val="10"/>
        <rFont val="Arial"/>
        <family val="2"/>
      </rPr>
      <t>sc</t>
    </r>
    <r>
      <rPr>
        <sz val="10"/>
        <rFont val="Arial"/>
        <family val="2"/>
      </rPr>
      <t xml:space="preserve"> =</t>
    </r>
  </si>
  <si>
    <t>For pipe piles, the compressive strength of the concrete, the yield stress of the steel, and the diameter and thickness of the pipe are required input.  The user may then input the additional section properties manually, or press the button to the right, and the transformed properties, assuming only 40% of the concrete is effective (see DM-4 Ap.G.1.4.2.3), will be automatically calculated.  The plastic section modulus is calculated ignoring the concrete contribution.</t>
  </si>
  <si>
    <r>
      <t>Per DM-4 Ap.G.1.2.7.2</t>
    </r>
    <r>
      <rPr>
        <sz val="10"/>
        <rFont val="Arial"/>
        <family val="2"/>
      </rPr>
      <t>, t</t>
    </r>
    <r>
      <rPr>
        <sz val="10"/>
        <rFont val="Arial"/>
        <family val="2"/>
      </rPr>
      <t>he total pedestrian load reaction at the abutment is calculated assuming the approach slab and the first span are simply supported.  The first span portion is calculated here, the approach slab portion is added in with the approach slab loads.  The pedestrian load per unit area is as specified in DM-4 3.6.1.6 and the total width of sidewalk input earlier is used.  This reaction is then distributed equally to all girders and piles.</t>
    </r>
  </si>
  <si>
    <t>Factored Dead + Live Reaction for Interior Girder:</t>
  </si>
  <si>
    <r>
      <t xml:space="preserve">Axial compression, </t>
    </r>
    <r>
      <rPr>
        <sz val="10"/>
        <rFont val="Symbol"/>
        <family val="1"/>
        <charset val="2"/>
      </rPr>
      <t>f</t>
    </r>
    <r>
      <rPr>
        <vertAlign val="subscript"/>
        <sz val="10"/>
        <rFont val="Arial"/>
        <family val="2"/>
      </rPr>
      <t>c</t>
    </r>
    <r>
      <rPr>
        <sz val="10"/>
        <rFont val="Arial"/>
        <family val="2"/>
      </rPr>
      <t xml:space="preserve"> plus</t>
    </r>
  </si>
  <si>
    <r>
      <t xml:space="preserve">Given a group of n girders, the second moment of inertia is calculated by summing the squares of the distances of the girders from the center of gravity of the girder group, or I = </t>
    </r>
    <r>
      <rPr>
        <sz val="10"/>
        <rFont val="Symbol"/>
        <family val="1"/>
        <charset val="2"/>
      </rPr>
      <t>S</t>
    </r>
    <r>
      <rPr>
        <sz val="10"/>
        <rFont val="Arial"/>
        <family val="2"/>
      </rPr>
      <t>d</t>
    </r>
    <r>
      <rPr>
        <vertAlign val="subscript"/>
        <sz val="10"/>
        <rFont val="Arial"/>
        <family val="2"/>
      </rPr>
      <t>i</t>
    </r>
    <r>
      <rPr>
        <vertAlign val="superscript"/>
        <sz val="10"/>
        <rFont val="Arial"/>
        <family val="2"/>
      </rPr>
      <t>2</t>
    </r>
    <r>
      <rPr>
        <sz val="10"/>
        <rFont val="Arial"/>
        <family val="2"/>
      </rPr>
      <t>.  For a single line of n equally spaced girders, the equation I = n (n</t>
    </r>
    <r>
      <rPr>
        <vertAlign val="superscript"/>
        <sz val="10"/>
        <rFont val="Arial"/>
        <family val="2"/>
      </rPr>
      <t>2</t>
    </r>
    <r>
      <rPr>
        <sz val="10"/>
        <rFont val="Arial"/>
        <family val="2"/>
      </rPr>
      <t xml:space="preserve"> - 1) L</t>
    </r>
    <r>
      <rPr>
        <vertAlign val="superscript"/>
        <sz val="10"/>
        <rFont val="Arial"/>
        <family val="2"/>
      </rPr>
      <t>2</t>
    </r>
    <r>
      <rPr>
        <sz val="10"/>
        <rFont val="Arial"/>
        <family val="2"/>
      </rPr>
      <t xml:space="preserve"> / 12 gives the same result, where n is the number of girders, and L is the girder spacing.</t>
    </r>
  </si>
  <si>
    <t>Extreme forces due to wind on the structure</t>
  </si>
  <si>
    <t>Extreme forces due to uplift</t>
  </si>
  <si>
    <t>Extreme forces due to wind on live load</t>
  </si>
  <si>
    <t>The resistance factors for tip resistance and shaft resistance are assumed to be unaffected by scour and are the same as in the main tab.</t>
  </si>
  <si>
    <t>Tip and shaft resistance factors</t>
  </si>
  <si>
    <t>The unit shaft resistance of the remaining soil is required for friction piles.  For layered soils, a weighted average unit shaft resistance should be used.</t>
  </si>
  <si>
    <t>Shaft and tip resistance factors</t>
  </si>
  <si>
    <r>
      <t xml:space="preserve">Tip (bearing) resistance factor, </t>
    </r>
    <r>
      <rPr>
        <sz val="10"/>
        <rFont val="Symbol"/>
        <family val="1"/>
        <charset val="2"/>
      </rPr>
      <t>f</t>
    </r>
    <r>
      <rPr>
        <vertAlign val="subscript"/>
        <sz val="10"/>
        <rFont val="Arial"/>
        <family val="2"/>
      </rPr>
      <t>qp</t>
    </r>
  </si>
  <si>
    <t>Tip resistance</t>
  </si>
  <si>
    <r>
      <t xml:space="preserve">Shaft (skin friction) resistance factor, </t>
    </r>
    <r>
      <rPr>
        <sz val="10"/>
        <rFont val="Symbol"/>
        <family val="1"/>
        <charset val="2"/>
      </rPr>
      <t>f</t>
    </r>
    <r>
      <rPr>
        <vertAlign val="subscript"/>
        <sz val="10"/>
        <rFont val="Arial"/>
        <family val="2"/>
      </rPr>
      <t>qs</t>
    </r>
  </si>
  <si>
    <t>The tip resistance is assumed to be unaffected by scour and is imported from the main tab.</t>
  </si>
  <si>
    <r>
      <t>Nominal tip (bearing) resistance, Q</t>
    </r>
    <r>
      <rPr>
        <vertAlign val="subscript"/>
        <sz val="10"/>
        <rFont val="Arial"/>
        <family val="2"/>
      </rPr>
      <t>p</t>
    </r>
    <r>
      <rPr>
        <sz val="10"/>
        <rFont val="Arial"/>
        <family val="2"/>
      </rPr>
      <t xml:space="preserve"> =</t>
    </r>
  </si>
  <si>
    <r>
      <t>Total post-scour factored resistance per pile, Q</t>
    </r>
    <r>
      <rPr>
        <vertAlign val="subscript"/>
        <sz val="10"/>
        <rFont val="Arial"/>
        <family val="2"/>
      </rPr>
      <t>R</t>
    </r>
    <r>
      <rPr>
        <sz val="10"/>
        <rFont val="Arial"/>
        <family val="2"/>
      </rPr>
      <t xml:space="preserve"> = </t>
    </r>
    <r>
      <rPr>
        <sz val="10"/>
        <rFont val="Symbol"/>
        <family val="1"/>
        <charset val="2"/>
      </rPr>
      <t>f</t>
    </r>
    <r>
      <rPr>
        <vertAlign val="subscript"/>
        <sz val="10"/>
        <rFont val="Arial"/>
        <family val="2"/>
      </rPr>
      <t>qp</t>
    </r>
    <r>
      <rPr>
        <sz val="10"/>
        <rFont val="Arial"/>
        <family val="2"/>
      </rPr>
      <t>Q</t>
    </r>
    <r>
      <rPr>
        <vertAlign val="subscript"/>
        <sz val="10"/>
        <rFont val="Arial"/>
        <family val="2"/>
      </rPr>
      <t>p</t>
    </r>
    <r>
      <rPr>
        <sz val="10"/>
        <rFont val="Arial"/>
        <family val="2"/>
      </rPr>
      <t xml:space="preserve"> + </t>
    </r>
    <r>
      <rPr>
        <sz val="10"/>
        <rFont val="Symbol"/>
        <family val="1"/>
        <charset val="2"/>
      </rPr>
      <t>f</t>
    </r>
    <r>
      <rPr>
        <vertAlign val="subscript"/>
        <sz val="10"/>
        <rFont val="Arial"/>
        <family val="2"/>
      </rPr>
      <t>qs</t>
    </r>
    <r>
      <rPr>
        <sz val="10"/>
        <rFont val="Arial"/>
        <family val="2"/>
      </rPr>
      <t>Q</t>
    </r>
    <r>
      <rPr>
        <vertAlign val="subscript"/>
        <sz val="10"/>
        <rFont val="Arial"/>
        <family val="2"/>
      </rPr>
      <t>s</t>
    </r>
  </si>
  <si>
    <t>Girder spacing normal to longitudinal axis</t>
  </si>
  <si>
    <t>AISC-LRFD, 94</t>
  </si>
  <si>
    <t>Check axial capacity</t>
  </si>
  <si>
    <t>Check moment-axial interaction</t>
  </si>
  <si>
    <t xml:space="preserve">The moment of the centrifugal force is equal to the centrifugal force times the moment arm which is also equal to the distance from the top of the pile cap to the top of the deck plus 6 ft. </t>
  </si>
  <si>
    <r>
      <t xml:space="preserve"> = n    A</t>
    </r>
    <r>
      <rPr>
        <vertAlign val="subscript"/>
        <sz val="10"/>
        <rFont val="Arial"/>
        <family val="2"/>
      </rPr>
      <t>st</t>
    </r>
    <r>
      <rPr>
        <sz val="10"/>
        <rFont val="Arial"/>
        <family val="2"/>
      </rPr>
      <t xml:space="preserve"> =</t>
    </r>
  </si>
  <si>
    <t>(in)</t>
  </si>
  <si>
    <r>
      <t>(in</t>
    </r>
    <r>
      <rPr>
        <vertAlign val="superscript"/>
        <sz val="10"/>
        <rFont val="Arial"/>
        <family val="2"/>
      </rPr>
      <t>2</t>
    </r>
    <r>
      <rPr>
        <sz val="10"/>
        <rFont val="Arial"/>
        <family val="2"/>
      </rPr>
      <t>)</t>
    </r>
  </si>
  <si>
    <t>For H-piles, the yield stress of the steel and the designation of the pile are required input.  A list of available H-pile sections is provided.  The user may then input the additional section properties manually, or press the button to the right, and the properties will be automatically retrieved.</t>
  </si>
  <si>
    <t>Concrete Filling</t>
  </si>
  <si>
    <t>HP section properties taken from the AISC Steel Construction Manual, 14th Edition.</t>
  </si>
  <si>
    <t>----------------------------------------------------------------------------------------------------------------------------------------------------------------------</t>
  </si>
  <si>
    <t>Average pile cap height</t>
  </si>
  <si>
    <t>The total average abutment height is equal to the end diaphragm height plus the average pile cap height.</t>
  </si>
  <si>
    <t>The top of deck to the top of the pile cap is equal to the end diaphragm height.</t>
  </si>
  <si>
    <t>Pile section depth, d (H-piles only)</t>
  </si>
  <si>
    <t>Analysis control line - includes pile boundary conditions</t>
  </si>
  <si>
    <t>Run control line</t>
  </si>
  <si>
    <t>Pile properties line</t>
  </si>
  <si>
    <t>Soil profile lines - need as many lines as layers of soil</t>
  </si>
  <si>
    <t>Unit weight lines - currently loose sand above the water table</t>
  </si>
  <si>
    <t>Strength parameter lines - currently loose sand</t>
  </si>
  <si>
    <t>- Soil depth must at least reach bottom of pile</t>
  </si>
  <si>
    <t>Number of loading conditions line - can be up to 20</t>
  </si>
  <si>
    <t>COM624P Input Tab Description</t>
  </si>
  <si>
    <t>The overturning moment resisted by the piles is calculated similarly to the overturning moments resisted by the girders, except the moment arm extends to the point of assumed pile fixity (see figure below - note that five I-girders and six H-piles are used for illustration purposes only).  Wind uplift forces result in the same overturning moments on the piles as calculated earlier for the girders.  The moment of inertia of the pile group is calculated similarly to the girders above and is used to determine the axial forces in the piles due to overturning moments.</t>
  </si>
  <si>
    <t>Pile spacing normal to the longitudinal axis =</t>
  </si>
  <si>
    <t>in =</t>
  </si>
  <si>
    <t>The compressive resistance of the steel H-piles is determined in accordance with AASHTO 6.9.4.1.</t>
  </si>
  <si>
    <t>H-Pile Compressive Resistance (upper portion of pile - under combined axial load and moment)</t>
  </si>
  <si>
    <t>Elastic Flexural Buckling Resistance</t>
  </si>
  <si>
    <t>Per DM-4 Ap.G.1.4.4, the height at the end is assumed to be either equal to the height at the abutment for rectangular (R) or detached (D) wingwalls, or 2 ft for tapered (T) wingwalls</t>
  </si>
  <si>
    <t>ft, see limits per DM-4 Ap.G.1.2.8</t>
  </si>
  <si>
    <t>in, see DM-4 Ap.G.1.7</t>
  </si>
  <si>
    <t>c</t>
  </si>
  <si>
    <t>f</t>
  </si>
  <si>
    <r>
      <t xml:space="preserve">Use </t>
    </r>
    <r>
      <rPr>
        <u/>
        <sz val="10"/>
        <rFont val="Symbol"/>
        <family val="1"/>
        <charset val="2"/>
      </rPr>
      <t>f</t>
    </r>
  </si>
  <si>
    <t>Eq. 5.5.4.2.1-2</t>
  </si>
  <si>
    <t>dt</t>
  </si>
  <si>
    <t>The pile properties entered in the main tab are reproduced here.</t>
  </si>
  <si>
    <t>Centrifugal force</t>
  </si>
  <si>
    <t>Girder and pile reactions are calculated assuming overturning moments are resisted by vertical forces only.</t>
  </si>
  <si>
    <r>
      <t>g</t>
    </r>
    <r>
      <rPr>
        <vertAlign val="subscript"/>
        <sz val="10"/>
        <rFont val="Arial"/>
        <family val="2"/>
      </rPr>
      <t>CE</t>
    </r>
  </si>
  <si>
    <t>Flange Plate Buckling</t>
  </si>
  <si>
    <t>where:</t>
  </si>
  <si>
    <t>t = plate thickness</t>
  </si>
  <si>
    <t>b =</t>
  </si>
  <si>
    <t>t =</t>
  </si>
  <si>
    <t>Web Plate Buckling</t>
  </si>
  <si>
    <r>
      <t>Plate thickness, t = flange thickness = t</t>
    </r>
    <r>
      <rPr>
        <vertAlign val="subscript"/>
        <sz val="10"/>
        <rFont val="Arial"/>
        <family val="2"/>
      </rPr>
      <t>f</t>
    </r>
  </si>
  <si>
    <t>Slender Member Element Check</t>
  </si>
  <si>
    <r>
      <t>Depth to fixity, L</t>
    </r>
    <r>
      <rPr>
        <vertAlign val="subscript"/>
        <sz val="10"/>
        <rFont val="Arial"/>
        <family val="2"/>
      </rPr>
      <t>sc</t>
    </r>
    <r>
      <rPr>
        <sz val="10"/>
        <rFont val="Arial"/>
        <family val="2"/>
      </rPr>
      <t>, depth at which pile deflection equals zero at Service I Limit State</t>
    </r>
  </si>
  <si>
    <r>
      <t>Depth to fixity, L</t>
    </r>
    <r>
      <rPr>
        <vertAlign val="subscript"/>
        <sz val="10"/>
        <rFont val="Arial"/>
        <family val="2"/>
      </rPr>
      <t>sc</t>
    </r>
    <r>
      <rPr>
        <sz val="10"/>
        <rFont val="Arial"/>
        <family val="2"/>
      </rPr>
      <t>, depth at which pile deflection equals zero at Strength Limit State</t>
    </r>
  </si>
  <si>
    <r>
      <t>Maximum bending moment, M</t>
    </r>
    <r>
      <rPr>
        <vertAlign val="subscript"/>
        <sz val="10"/>
        <rFont val="Arial"/>
        <family val="2"/>
      </rPr>
      <t>su</t>
    </r>
    <r>
      <rPr>
        <sz val="10"/>
        <rFont val="Arial"/>
        <family val="2"/>
      </rPr>
      <t>, at the pile-abutment interface at Service I Limit State</t>
    </r>
  </si>
  <si>
    <t>number of girders =</t>
  </si>
  <si>
    <t>depth of girders =</t>
  </si>
  <si>
    <t>girder spacing =</t>
  </si>
  <si>
    <t>Girder data</t>
  </si>
  <si>
    <t>origin =</t>
  </si>
  <si>
    <t>AC4.6.2.5</t>
  </si>
  <si>
    <r>
      <t>l</t>
    </r>
    <r>
      <rPr>
        <sz val="10"/>
        <rFont val="Arial"/>
        <family val="2"/>
      </rPr>
      <t xml:space="preserve"> =</t>
    </r>
  </si>
  <si>
    <r>
      <t>l</t>
    </r>
    <r>
      <rPr>
        <vertAlign val="subscript"/>
        <sz val="10"/>
        <rFont val="Arial"/>
        <family val="2"/>
      </rPr>
      <t>p</t>
    </r>
    <r>
      <rPr>
        <sz val="10"/>
        <rFont val="Arial"/>
        <family val="2"/>
      </rPr>
      <t xml:space="preserve"> =</t>
    </r>
  </si>
  <si>
    <r>
      <t>l</t>
    </r>
    <r>
      <rPr>
        <vertAlign val="subscript"/>
        <sz val="10"/>
        <rFont val="Arial"/>
        <family val="2"/>
      </rPr>
      <t>r</t>
    </r>
    <r>
      <rPr>
        <sz val="10"/>
        <rFont val="Arial"/>
        <family val="2"/>
      </rPr>
      <t xml:space="preserve"> =</t>
    </r>
  </si>
  <si>
    <r>
      <t>* (E / F</t>
    </r>
    <r>
      <rPr>
        <vertAlign val="subscript"/>
        <sz val="10"/>
        <rFont val="Arial"/>
        <family val="2"/>
      </rPr>
      <t>y</t>
    </r>
    <r>
      <rPr>
        <sz val="10"/>
        <rFont val="Arial"/>
        <family val="2"/>
      </rPr>
      <t>)</t>
    </r>
    <r>
      <rPr>
        <vertAlign val="superscript"/>
        <sz val="10"/>
        <rFont val="Arial"/>
        <family val="2"/>
      </rPr>
      <t>1/2</t>
    </r>
    <r>
      <rPr>
        <sz val="10"/>
        <rFont val="Arial"/>
        <family val="2"/>
      </rPr>
      <t xml:space="preserve"> =</t>
    </r>
  </si>
  <si>
    <r>
      <t>Use M</t>
    </r>
    <r>
      <rPr>
        <vertAlign val="subscript"/>
        <sz val="10"/>
        <rFont val="Arial"/>
        <family val="2"/>
      </rPr>
      <t>n</t>
    </r>
    <r>
      <rPr>
        <sz val="10"/>
        <rFont val="Arial"/>
        <family val="2"/>
      </rPr>
      <t xml:space="preserve"> =</t>
    </r>
  </si>
  <si>
    <t>A6.12.2.3.2</t>
  </si>
  <si>
    <t>a</t>
  </si>
  <si>
    <t>β1</t>
  </si>
  <si>
    <r>
      <t>f</t>
    </r>
    <r>
      <rPr>
        <u/>
        <sz val="10"/>
        <rFont val="Arial"/>
        <family val="2"/>
      </rPr>
      <t>Mn</t>
    </r>
  </si>
  <si>
    <t>Contr. Moment</t>
  </si>
  <si>
    <t>Status</t>
  </si>
  <si>
    <t>max =</t>
  </si>
  <si>
    <t>min =</t>
  </si>
  <si>
    <r>
      <t>L</t>
    </r>
    <r>
      <rPr>
        <vertAlign val="subscript"/>
        <sz val="10"/>
        <rFont val="Arial"/>
        <family val="2"/>
      </rPr>
      <t>se</t>
    </r>
    <r>
      <rPr>
        <sz val="10"/>
        <rFont val="Arial"/>
        <family val="2"/>
      </rPr>
      <t xml:space="preserve"> =</t>
    </r>
  </si>
  <si>
    <r>
      <t xml:space="preserve">This tab is used for the analysis of a pile under maximum scour conditions only.  It must be run in conjunction with the main integral abutment design tab where the geometry and loads are input.  The maximum scour condition is considered to be an Extreme Event.  The analysis of the pile is performed using the loads for the Extreme Event II limit state (see tab for load factors).  The </t>
    </r>
    <r>
      <rPr>
        <sz val="12"/>
        <rFont val="Symbol"/>
        <family val="1"/>
        <charset val="2"/>
      </rPr>
      <t>h</t>
    </r>
    <r>
      <rPr>
        <sz val="10"/>
        <rFont val="Arial"/>
        <family val="2"/>
      </rPr>
      <t xml:space="preserve"> (eta) factor for operational importance is the only eta factor incorporated into these loads.  The factored loads and rotations for this limit state are calculated below.</t>
    </r>
  </si>
  <si>
    <t>The design rotation is the total factored rotation at the support due to live load and composite dead loads which is equal to the sum of the absolute values of the maximum and minimum factored rotations.</t>
  </si>
  <si>
    <r>
      <t>Use C</t>
    </r>
    <r>
      <rPr>
        <vertAlign val="subscript"/>
        <sz val="10"/>
        <rFont val="Arial"/>
        <family val="2"/>
      </rPr>
      <t>i</t>
    </r>
    <r>
      <rPr>
        <sz val="10"/>
        <rFont val="Arial"/>
        <family val="2"/>
      </rPr>
      <t xml:space="preserve"> =</t>
    </r>
  </si>
  <si>
    <t>The extreme interior and exterior vertical girder reactions are listed below.  When combined with the extreme wind and centrifugal reactions for an exterior girder, the result is a conservative maximum girder reaction for pile cap design.</t>
  </si>
  <si>
    <t>Additional height due to cross slope etc.</t>
  </si>
  <si>
    <t>The total longitudinal force on the abutment can be found by multiplying by the projected length of the abutment on a line perpendicular to the longitudinal axis of the bridge, which is equal to the out-to-out width of the bridge.</t>
  </si>
  <si>
    <t>Extreme girder reactions due to wind on the structure</t>
  </si>
  <si>
    <r>
      <t>If D/t &lt; 2.0(E/F</t>
    </r>
    <r>
      <rPr>
        <vertAlign val="subscript"/>
        <sz val="10"/>
        <rFont val="Arial"/>
        <family val="2"/>
      </rPr>
      <t>y</t>
    </r>
    <r>
      <rPr>
        <sz val="10"/>
        <rFont val="Arial"/>
        <family val="2"/>
      </rPr>
      <t>)</t>
    </r>
    <r>
      <rPr>
        <vertAlign val="superscript"/>
        <sz val="10"/>
        <rFont val="Arial"/>
        <family val="2"/>
      </rPr>
      <t>0.5</t>
    </r>
    <r>
      <rPr>
        <sz val="10"/>
        <rFont val="Arial"/>
        <family val="2"/>
      </rPr>
      <t>, then M</t>
    </r>
    <r>
      <rPr>
        <vertAlign val="subscript"/>
        <sz val="10"/>
        <rFont val="Arial"/>
        <family val="2"/>
      </rPr>
      <t>n</t>
    </r>
    <r>
      <rPr>
        <sz val="10"/>
        <rFont val="Arial"/>
        <family val="2"/>
      </rPr>
      <t xml:space="preserve"> = M</t>
    </r>
    <r>
      <rPr>
        <vertAlign val="subscript"/>
        <sz val="10"/>
        <rFont val="Arial"/>
        <family val="2"/>
      </rPr>
      <t>ps</t>
    </r>
    <r>
      <rPr>
        <sz val="10"/>
        <rFont val="Arial"/>
        <family val="2"/>
      </rPr>
      <t xml:space="preserve"> per AASHTO Equation 6.12.2.3.2-1</t>
    </r>
  </si>
  <si>
    <t>The flexural resistance of the concrete filled steel pipe pile is determined in accordance with AASHTO 6.12.2.3.2. The flexural resistance is dependent on the diameter-to-thickness ratio as shown below.  For pipe piles, if the diameter-to-thickness ratio of the pipe is not sufficient to consider the section compact, then the section is considered non-compact.</t>
  </si>
  <si>
    <r>
      <t>M</t>
    </r>
    <r>
      <rPr>
        <vertAlign val="subscript"/>
        <sz val="10"/>
        <rFont val="Arial"/>
        <family val="2"/>
      </rPr>
      <t>p</t>
    </r>
    <r>
      <rPr>
        <sz val="10"/>
        <rFont val="Arial"/>
        <family val="2"/>
      </rPr>
      <t xml:space="preserve"> =</t>
    </r>
  </si>
  <si>
    <t>Compactness Check</t>
  </si>
  <si>
    <t>The coefficient of passive earth pressure has been found to vary from about 3.0 for loose sand to about 6 for dense sand per DM-4 Ap.G Figure C1.2.7.4-1. PennDOT requires that the region immediately adjacent to the abutment be only nominally compacted, so 3.0 is an acceptable value.</t>
  </si>
  <si>
    <r>
      <t>The Plastic moment, M</t>
    </r>
    <r>
      <rPr>
        <vertAlign val="subscript"/>
        <sz val="10"/>
        <rFont val="Arial"/>
        <family val="2"/>
      </rPr>
      <t>p</t>
    </r>
    <r>
      <rPr>
        <sz val="10"/>
        <rFont val="Arial"/>
        <family val="2"/>
      </rPr>
      <t xml:space="preserve"> = F</t>
    </r>
    <r>
      <rPr>
        <vertAlign val="subscript"/>
        <sz val="10"/>
        <rFont val="Arial"/>
        <family val="2"/>
      </rPr>
      <t>y</t>
    </r>
    <r>
      <rPr>
        <sz val="10"/>
        <rFont val="Arial"/>
        <family val="2"/>
      </rPr>
      <t>Z</t>
    </r>
    <r>
      <rPr>
        <vertAlign val="subscript"/>
        <sz val="10"/>
        <rFont val="Arial"/>
        <family val="2"/>
      </rPr>
      <t>y-y</t>
    </r>
    <r>
      <rPr>
        <sz val="10"/>
        <rFont val="Arial"/>
        <family val="2"/>
      </rPr>
      <t xml:space="preserve"> =</t>
    </r>
  </si>
  <si>
    <r>
      <t>The coefficient of passive earth pressure, k</t>
    </r>
    <r>
      <rPr>
        <vertAlign val="subscript"/>
        <sz val="10"/>
        <rFont val="Arial"/>
        <family val="2"/>
      </rPr>
      <t>p</t>
    </r>
    <r>
      <rPr>
        <sz val="10"/>
        <rFont val="Arial"/>
        <family val="2"/>
      </rPr>
      <t xml:space="preserve"> =</t>
    </r>
  </si>
  <si>
    <r>
      <t xml:space="preserve">The soil unit weight, </t>
    </r>
    <r>
      <rPr>
        <sz val="10"/>
        <rFont val="Symbol"/>
        <family val="1"/>
        <charset val="2"/>
      </rPr>
      <t>g</t>
    </r>
    <r>
      <rPr>
        <sz val="10"/>
        <rFont val="Arial"/>
        <family val="2"/>
      </rPr>
      <t xml:space="preserve"> = </t>
    </r>
  </si>
  <si>
    <r>
      <t>The assumed depth to pile fixity, L</t>
    </r>
    <r>
      <rPr>
        <vertAlign val="subscript"/>
        <sz val="10"/>
        <rFont val="Arial"/>
        <family val="2"/>
      </rPr>
      <t>p</t>
    </r>
    <r>
      <rPr>
        <sz val="10"/>
        <rFont val="Arial"/>
        <family val="2"/>
      </rPr>
      <t xml:space="preserve"> =</t>
    </r>
  </si>
  <si>
    <r>
      <t>, Use M</t>
    </r>
    <r>
      <rPr>
        <vertAlign val="subscript"/>
        <sz val="10"/>
        <rFont val="Arial"/>
        <family val="2"/>
      </rPr>
      <t>T</t>
    </r>
    <r>
      <rPr>
        <sz val="10"/>
        <rFont val="Arial"/>
        <family val="2"/>
      </rPr>
      <t xml:space="preserve"> =</t>
    </r>
  </si>
  <si>
    <r>
      <t>2FH/(3N)+H</t>
    </r>
    <r>
      <rPr>
        <u/>
        <vertAlign val="subscript"/>
        <sz val="10"/>
        <rFont val="Arial"/>
        <family val="2"/>
      </rPr>
      <t>T</t>
    </r>
    <r>
      <rPr>
        <u/>
        <sz val="10"/>
        <rFont val="Arial"/>
        <family val="2"/>
      </rPr>
      <t>H+M</t>
    </r>
    <r>
      <rPr>
        <u/>
        <vertAlign val="subscript"/>
        <sz val="10"/>
        <rFont val="Arial"/>
        <family val="2"/>
      </rPr>
      <t>T</t>
    </r>
  </si>
  <si>
    <t>type of girder =</t>
  </si>
  <si>
    <t>The depth above which friction is ineffective is input here.  For a laterally deflected pile, this depth is defined per DM-4 Ap.G.1.4.2.2 as the point where the deflection is 2% of the pile diameter.  For the present pile (see section properties above), this deflection value is (0.02)(</t>
  </si>
  <si>
    <r>
      <t>Results from LPile</t>
    </r>
    <r>
      <rPr>
        <sz val="10"/>
        <rFont val="Arial"/>
        <family val="2"/>
      </rPr>
      <t xml:space="preserve">  (See figures below for illustrations of the data required from the program).</t>
    </r>
  </si>
  <si>
    <t>Concrete Filled Steel Pipe Pile Compressive Resistance (upper portion of pile - under combined axial load and moment)</t>
  </si>
  <si>
    <t>Concrete Filled Steel Pipe Pile Compressive Resistance (lower portion of pile - axial loads only)</t>
  </si>
  <si>
    <t>The compressive resistance of the pipe pile section is calculated in accordance with AASHTO 6.9.5.</t>
  </si>
  <si>
    <t xml:space="preserve">The nominal compressive resistance of the pipe pile section is calculated in accordance with AASHTO 6.9.5.1. </t>
  </si>
  <si>
    <r>
      <t>Cross-sectional area of the concrete, A</t>
    </r>
    <r>
      <rPr>
        <vertAlign val="subscript"/>
        <sz val="10"/>
        <rFont val="Arial"/>
        <family val="2"/>
      </rPr>
      <t>c</t>
    </r>
    <r>
      <rPr>
        <sz val="10"/>
        <rFont val="Arial"/>
        <family val="2"/>
      </rPr>
      <t xml:space="preserve"> = </t>
    </r>
    <r>
      <rPr>
        <sz val="10"/>
        <rFont val="Mathcad UniMath"/>
        <family val="3"/>
      </rPr>
      <t>π</t>
    </r>
    <r>
      <rPr>
        <sz val="10"/>
        <rFont val="Arial"/>
        <family val="2"/>
      </rPr>
      <t>(D</t>
    </r>
    <r>
      <rPr>
        <vertAlign val="subscript"/>
        <sz val="10"/>
        <rFont val="Arial"/>
        <family val="2"/>
      </rPr>
      <t xml:space="preserve">o </t>
    </r>
    <r>
      <rPr>
        <sz val="10"/>
        <rFont val="Arial"/>
        <family val="2"/>
      </rPr>
      <t>- 2t</t>
    </r>
    <r>
      <rPr>
        <vertAlign val="subscript"/>
        <sz val="10"/>
        <rFont val="Arial"/>
        <family val="2"/>
      </rPr>
      <t>p</t>
    </r>
    <r>
      <rPr>
        <sz val="10"/>
        <rFont val="Arial"/>
        <family val="2"/>
      </rPr>
      <t>)</t>
    </r>
    <r>
      <rPr>
        <vertAlign val="superscript"/>
        <sz val="10"/>
        <rFont val="Arial"/>
        <family val="2"/>
      </rPr>
      <t>2</t>
    </r>
    <r>
      <rPr>
        <sz val="10"/>
        <rFont val="Arial"/>
        <family val="2"/>
      </rPr>
      <t>/4</t>
    </r>
  </si>
  <si>
    <r>
      <t>Cross-sectional area of the steel section, A</t>
    </r>
    <r>
      <rPr>
        <vertAlign val="subscript"/>
        <sz val="10"/>
        <rFont val="Arial"/>
        <family val="2"/>
      </rPr>
      <t>s</t>
    </r>
    <r>
      <rPr>
        <sz val="10"/>
        <rFont val="Arial"/>
        <family val="2"/>
      </rPr>
      <t xml:space="preserve"> = </t>
    </r>
    <r>
      <rPr>
        <sz val="10"/>
        <rFont val="Mathcad UniMath"/>
        <family val="3"/>
      </rPr>
      <t>π</t>
    </r>
    <r>
      <rPr>
        <sz val="10"/>
        <rFont val="Arial"/>
        <family val="2"/>
      </rPr>
      <t>D</t>
    </r>
    <r>
      <rPr>
        <vertAlign val="subscript"/>
        <sz val="10"/>
        <rFont val="Arial"/>
        <family val="2"/>
      </rPr>
      <t>o</t>
    </r>
    <r>
      <rPr>
        <vertAlign val="superscript"/>
        <sz val="10"/>
        <rFont val="Arial"/>
        <family val="2"/>
      </rPr>
      <t>2</t>
    </r>
    <r>
      <rPr>
        <sz val="10"/>
        <rFont val="Arial"/>
        <family val="2"/>
      </rPr>
      <t>/4 - A</t>
    </r>
    <r>
      <rPr>
        <vertAlign val="subscript"/>
        <sz val="10"/>
        <rFont val="Arial"/>
        <family val="2"/>
      </rPr>
      <t>c</t>
    </r>
  </si>
  <si>
    <r>
      <t>F</t>
    </r>
    <r>
      <rPr>
        <vertAlign val="subscript"/>
        <sz val="10"/>
        <rFont val="Arial"/>
        <family val="2"/>
      </rPr>
      <t>e</t>
    </r>
    <r>
      <rPr>
        <sz val="10"/>
        <rFont val="Arial"/>
        <family val="2"/>
      </rPr>
      <t xml:space="preserve"> =</t>
    </r>
  </si>
  <si>
    <r>
      <t>E</t>
    </r>
    <r>
      <rPr>
        <vertAlign val="subscript"/>
        <sz val="10"/>
        <rFont val="Arial"/>
        <family val="2"/>
      </rPr>
      <t xml:space="preserve">e </t>
    </r>
    <r>
      <rPr>
        <sz val="10"/>
        <rFont val="Arial"/>
        <family val="2"/>
      </rPr>
      <t>=</t>
    </r>
  </si>
  <si>
    <r>
      <t>Equivalent yield strength, F</t>
    </r>
    <r>
      <rPr>
        <vertAlign val="subscript"/>
        <sz val="10"/>
        <rFont val="Arial"/>
        <family val="2"/>
      </rPr>
      <t>e</t>
    </r>
    <r>
      <rPr>
        <sz val="10"/>
        <rFont val="Arial"/>
        <family val="2"/>
      </rPr>
      <t xml:space="preserve"> = F</t>
    </r>
    <r>
      <rPr>
        <vertAlign val="subscript"/>
        <sz val="10"/>
        <rFont val="Arial"/>
        <family val="2"/>
      </rPr>
      <t>y</t>
    </r>
    <r>
      <rPr>
        <sz val="10"/>
        <rFont val="Arial"/>
        <family val="2"/>
      </rPr>
      <t xml:space="preserve"> + 0.85f'</t>
    </r>
    <r>
      <rPr>
        <vertAlign val="subscript"/>
        <sz val="10"/>
        <rFont val="Arial"/>
        <family val="2"/>
      </rPr>
      <t>c</t>
    </r>
    <r>
      <rPr>
        <sz val="10"/>
        <rFont val="Arial"/>
        <family val="2"/>
      </rPr>
      <t>(A</t>
    </r>
    <r>
      <rPr>
        <vertAlign val="subscript"/>
        <sz val="10"/>
        <rFont val="Arial"/>
        <family val="2"/>
      </rPr>
      <t>c</t>
    </r>
    <r>
      <rPr>
        <sz val="10"/>
        <rFont val="Arial"/>
        <family val="2"/>
      </rPr>
      <t>/A</t>
    </r>
    <r>
      <rPr>
        <vertAlign val="subscript"/>
        <sz val="10"/>
        <rFont val="Arial"/>
        <family val="2"/>
      </rPr>
      <t>s</t>
    </r>
    <r>
      <rPr>
        <sz val="10"/>
        <rFont val="Arial"/>
        <family val="2"/>
      </rPr>
      <t>) per AASHTO Equation 6.9.5.1-4</t>
    </r>
  </si>
  <si>
    <r>
      <t>Equivalent modulus of elasticity, E</t>
    </r>
    <r>
      <rPr>
        <vertAlign val="subscript"/>
        <sz val="10"/>
        <rFont val="Arial"/>
        <family val="2"/>
      </rPr>
      <t xml:space="preserve">e </t>
    </r>
    <r>
      <rPr>
        <sz val="10"/>
        <rFont val="Arial"/>
        <family val="2"/>
      </rPr>
      <t>= E[1+(0.4/n)(Ac/As)] per AASHTO Equation 6.9.5.1-5</t>
    </r>
  </si>
  <si>
    <r>
      <t>l</t>
    </r>
    <r>
      <rPr>
        <sz val="10"/>
        <rFont val="Arial"/>
        <family val="2"/>
      </rPr>
      <t xml:space="preserve"> = (Kl/r</t>
    </r>
    <r>
      <rPr>
        <vertAlign val="subscript"/>
        <sz val="10"/>
        <rFont val="Arial"/>
        <family val="2"/>
      </rPr>
      <t>s</t>
    </r>
    <r>
      <rPr>
        <sz val="10"/>
        <rFont val="Symbol"/>
        <family val="1"/>
        <charset val="2"/>
      </rPr>
      <t>p</t>
    </r>
    <r>
      <rPr>
        <sz val="10"/>
        <rFont val="Arial"/>
        <family val="2"/>
      </rPr>
      <t>)</t>
    </r>
    <r>
      <rPr>
        <vertAlign val="superscript"/>
        <sz val="10"/>
        <rFont val="Arial"/>
        <family val="2"/>
      </rPr>
      <t>2</t>
    </r>
    <r>
      <rPr>
        <sz val="10"/>
        <rFont val="Arial"/>
        <family val="2"/>
      </rPr>
      <t xml:space="preserve"> (F</t>
    </r>
    <r>
      <rPr>
        <vertAlign val="subscript"/>
        <sz val="10"/>
        <rFont val="Arial"/>
        <family val="2"/>
      </rPr>
      <t>e</t>
    </r>
    <r>
      <rPr>
        <sz val="10"/>
        <rFont val="Arial"/>
        <family val="2"/>
      </rPr>
      <t>/E</t>
    </r>
    <r>
      <rPr>
        <vertAlign val="subscript"/>
        <sz val="10"/>
        <rFont val="Arial"/>
        <family val="2"/>
      </rPr>
      <t>e</t>
    </r>
    <r>
      <rPr>
        <sz val="10"/>
        <rFont val="Arial"/>
        <family val="2"/>
      </rPr>
      <t>) =</t>
    </r>
  </si>
  <si>
    <r>
      <t xml:space="preserve">If </t>
    </r>
    <r>
      <rPr>
        <sz val="10"/>
        <rFont val="Symbol"/>
        <family val="1"/>
        <charset val="2"/>
      </rPr>
      <t>l</t>
    </r>
    <r>
      <rPr>
        <sz val="10"/>
        <rFont val="Arial"/>
        <family val="2"/>
      </rPr>
      <t xml:space="preserve"> </t>
    </r>
    <r>
      <rPr>
        <sz val="10"/>
        <rFont val="Symbol"/>
        <family val="1"/>
        <charset val="2"/>
      </rPr>
      <t>£</t>
    </r>
    <r>
      <rPr>
        <sz val="10"/>
        <rFont val="Arial"/>
        <family val="2"/>
      </rPr>
      <t xml:space="preserve"> 2.25, then P</t>
    </r>
    <r>
      <rPr>
        <vertAlign val="subscript"/>
        <sz val="10"/>
        <rFont val="Arial"/>
        <family val="2"/>
      </rPr>
      <t>n</t>
    </r>
    <r>
      <rPr>
        <sz val="10"/>
        <rFont val="Arial"/>
        <family val="2"/>
      </rPr>
      <t xml:space="preserve"> = 0.66</t>
    </r>
    <r>
      <rPr>
        <vertAlign val="superscript"/>
        <sz val="10"/>
        <rFont val="Symbol"/>
        <family val="1"/>
        <charset val="2"/>
      </rPr>
      <t>l</t>
    </r>
    <r>
      <rPr>
        <sz val="10"/>
        <rFont val="Arial"/>
        <family val="2"/>
      </rPr>
      <t>F</t>
    </r>
    <r>
      <rPr>
        <vertAlign val="subscript"/>
        <sz val="10"/>
        <rFont val="Arial"/>
        <family val="2"/>
      </rPr>
      <t>e</t>
    </r>
    <r>
      <rPr>
        <sz val="10"/>
        <rFont val="Arial"/>
        <family val="2"/>
      </rPr>
      <t>A</t>
    </r>
    <r>
      <rPr>
        <vertAlign val="subscript"/>
        <sz val="10"/>
        <rFont val="Arial"/>
        <family val="2"/>
      </rPr>
      <t>s</t>
    </r>
    <r>
      <rPr>
        <sz val="10"/>
        <rFont val="Arial"/>
        <family val="2"/>
      </rPr>
      <t xml:space="preserve"> per AASHTO Equation 6.9.5.1-1</t>
    </r>
  </si>
  <si>
    <r>
      <t xml:space="preserve">If </t>
    </r>
    <r>
      <rPr>
        <sz val="10"/>
        <rFont val="Symbol"/>
        <family val="1"/>
        <charset val="2"/>
      </rPr>
      <t>l</t>
    </r>
    <r>
      <rPr>
        <sz val="10"/>
        <rFont val="Arial"/>
        <family val="2"/>
      </rPr>
      <t xml:space="preserve"> &gt; 2.25, then P</t>
    </r>
    <r>
      <rPr>
        <vertAlign val="subscript"/>
        <sz val="10"/>
        <rFont val="Arial"/>
        <family val="2"/>
      </rPr>
      <t>n</t>
    </r>
    <r>
      <rPr>
        <sz val="10"/>
        <rFont val="Arial"/>
        <family val="2"/>
      </rPr>
      <t xml:space="preserve"> = 0.88F</t>
    </r>
    <r>
      <rPr>
        <vertAlign val="subscript"/>
        <sz val="10"/>
        <rFont val="Arial"/>
        <family val="2"/>
      </rPr>
      <t>e</t>
    </r>
    <r>
      <rPr>
        <sz val="10"/>
        <rFont val="Arial"/>
        <family val="2"/>
      </rPr>
      <t>A</t>
    </r>
    <r>
      <rPr>
        <vertAlign val="subscript"/>
        <sz val="10"/>
        <rFont val="Arial"/>
        <family val="2"/>
      </rPr>
      <t>s</t>
    </r>
    <r>
      <rPr>
        <sz val="10"/>
        <rFont val="Arial"/>
        <family val="2"/>
      </rPr>
      <t>/</t>
    </r>
    <r>
      <rPr>
        <sz val="10"/>
        <rFont val="Symbol"/>
        <family val="1"/>
        <charset val="2"/>
      </rPr>
      <t xml:space="preserve">l </t>
    </r>
    <r>
      <rPr>
        <sz val="10"/>
        <rFont val="Arial"/>
        <family val="2"/>
      </rPr>
      <t>per AASHTO Equation 6.9.5.1-2</t>
    </r>
  </si>
  <si>
    <r>
      <t>Nominal compressive resistance, P</t>
    </r>
    <r>
      <rPr>
        <vertAlign val="subscript"/>
        <sz val="10"/>
        <rFont val="Arial"/>
        <family val="2"/>
      </rPr>
      <t>n</t>
    </r>
    <r>
      <rPr>
        <sz val="10"/>
        <rFont val="Arial"/>
        <family val="2"/>
      </rPr>
      <t xml:space="preserve"> =</t>
    </r>
  </si>
  <si>
    <r>
      <t>Factored compressive resistance, P</t>
    </r>
    <r>
      <rPr>
        <vertAlign val="subscript"/>
        <sz val="10"/>
        <rFont val="Arial"/>
        <family val="2"/>
      </rPr>
      <t>r</t>
    </r>
    <r>
      <rPr>
        <sz val="10"/>
        <rFont val="Arial"/>
        <family val="2"/>
      </rPr>
      <t xml:space="preserve"> = </t>
    </r>
    <r>
      <rPr>
        <sz val="10"/>
        <rFont val="Symbol"/>
        <family val="1"/>
        <charset val="2"/>
      </rPr>
      <t>f</t>
    </r>
    <r>
      <rPr>
        <sz val="10"/>
        <rFont val="Arial"/>
        <family val="2"/>
      </rPr>
      <t>P</t>
    </r>
    <r>
      <rPr>
        <vertAlign val="subscript"/>
        <sz val="10"/>
        <rFont val="Arial"/>
        <family val="2"/>
      </rPr>
      <t>n</t>
    </r>
    <r>
      <rPr>
        <sz val="10"/>
        <rFont val="Arial"/>
        <family val="2"/>
      </rPr>
      <t xml:space="preserve"> per AASHTO 6.9.2.1 =</t>
    </r>
  </si>
  <si>
    <r>
      <t>Factored flexural resistance, M</t>
    </r>
    <r>
      <rPr>
        <vertAlign val="subscript"/>
        <sz val="10"/>
        <rFont val="Arial"/>
        <family val="2"/>
      </rPr>
      <t>r</t>
    </r>
    <r>
      <rPr>
        <sz val="10"/>
        <rFont val="Arial"/>
        <family val="2"/>
      </rPr>
      <t xml:space="preserve"> = </t>
    </r>
    <r>
      <rPr>
        <sz val="10"/>
        <rFont val="Symbol"/>
        <family val="1"/>
        <charset val="2"/>
      </rPr>
      <t>f</t>
    </r>
    <r>
      <rPr>
        <sz val="10"/>
        <rFont val="Arial"/>
        <family val="2"/>
      </rPr>
      <t>M</t>
    </r>
    <r>
      <rPr>
        <vertAlign val="subscript"/>
        <sz val="10"/>
        <rFont val="Arial"/>
        <family val="2"/>
      </rPr>
      <t>n</t>
    </r>
    <r>
      <rPr>
        <sz val="10"/>
        <rFont val="Arial"/>
        <family val="2"/>
      </rPr>
      <t xml:space="preserve"> per AASHTO 6.12.1.2.1 =</t>
    </r>
  </si>
  <si>
    <t>Concrete Filled Steel Pipe Pile Flexural Resistance (upper portion of pile - under combined axial load and moment)</t>
  </si>
  <si>
    <t>D/t =</t>
  </si>
  <si>
    <t>Diameter-to-thickness criteria for pipe to reach plastic moment</t>
  </si>
  <si>
    <t>Diameter-to-thickness criteria for pipe to reach yield stress</t>
  </si>
  <si>
    <t xml:space="preserve">Diameter-to-thickness ratio, D/t </t>
  </si>
  <si>
    <t>Per DM-4 Ap.G.1.2.1, steel bridge lengths in excess of 390 ft and concrete bridge lengths in excess of 590 ft require the written approval of the Chief Bridge Engineer for use with integral abutments.  In addition, bridges in excess of these limits require consideration of secondary forces such as those caused by creep, shrinkage, thermal gradient, or differential settlements.  The spreadsheet does not take into account abutment loads caused by creep, shrinkage, thermal gradient, and differential settlement. Per DM-4 Ap.G.1.2.7.5, the methods of applying secondary forces also require the approval of the Chief Bridge Engineer.</t>
  </si>
  <si>
    <r>
      <t>The pile length for buckling is taken as the length from the bottom of the abutment to the point of assumed fixity.  The end conditions of this length of pile are assumed to be fixed-fixed resulting in an effective length factor, K, of 0.65.  In addition, this check only need be performed if L</t>
    </r>
    <r>
      <rPr>
        <vertAlign val="subscript"/>
        <sz val="10"/>
        <rFont val="Arial"/>
        <family val="2"/>
      </rPr>
      <t>sc</t>
    </r>
    <r>
      <rPr>
        <sz val="10"/>
        <rFont val="Arial"/>
        <family val="2"/>
      </rPr>
      <t xml:space="preserve"> is larger than 1.54*L</t>
    </r>
    <r>
      <rPr>
        <vertAlign val="subscript"/>
        <sz val="10"/>
        <rFont val="Arial"/>
        <family val="2"/>
      </rPr>
      <t>b</t>
    </r>
    <r>
      <rPr>
        <sz val="10"/>
        <rFont val="Arial"/>
        <family val="2"/>
      </rPr>
      <t xml:space="preserve"> from the Main tab.</t>
    </r>
  </si>
  <si>
    <r>
      <t>Yield Moment, M</t>
    </r>
    <r>
      <rPr>
        <vertAlign val="subscript"/>
        <sz val="10"/>
        <rFont val="Arial"/>
        <family val="2"/>
      </rPr>
      <t>y</t>
    </r>
    <r>
      <rPr>
        <sz val="10"/>
        <rFont val="Arial"/>
        <family val="2"/>
      </rPr>
      <t xml:space="preserve"> = F</t>
    </r>
    <r>
      <rPr>
        <vertAlign val="subscript"/>
        <sz val="10"/>
        <rFont val="Arial"/>
        <family val="2"/>
      </rPr>
      <t>y</t>
    </r>
    <r>
      <rPr>
        <sz val="10"/>
        <rFont val="Arial"/>
        <family val="2"/>
      </rPr>
      <t xml:space="preserve"> S</t>
    </r>
    <r>
      <rPr>
        <vertAlign val="subscript"/>
        <sz val="10"/>
        <rFont val="Arial"/>
        <family val="2"/>
      </rPr>
      <t>y</t>
    </r>
    <r>
      <rPr>
        <sz val="10"/>
        <rFont val="Arial"/>
        <family val="2"/>
      </rPr>
      <t xml:space="preserve"> =</t>
    </r>
  </si>
  <si>
    <r>
      <t>Concrete compressive strength, f</t>
    </r>
    <r>
      <rPr>
        <vertAlign val="superscript"/>
        <sz val="10"/>
        <rFont val="Arial"/>
        <family val="2"/>
      </rPr>
      <t xml:space="preserve"> </t>
    </r>
    <r>
      <rPr>
        <sz val="10"/>
        <rFont val="Arial"/>
        <family val="2"/>
      </rPr>
      <t>'</t>
    </r>
    <r>
      <rPr>
        <vertAlign val="subscript"/>
        <sz val="10"/>
        <rFont val="Arial"/>
        <family val="2"/>
      </rPr>
      <t>c</t>
    </r>
  </si>
  <si>
    <r>
      <t>Reinforcing steel yield strength, F</t>
    </r>
    <r>
      <rPr>
        <vertAlign val="subscript"/>
        <sz val="10"/>
        <rFont val="Arial"/>
        <family val="2"/>
      </rPr>
      <t>y</t>
    </r>
  </si>
  <si>
    <t>The plastic rotation is the rotation required to form a plastic hinge in the pile.</t>
  </si>
  <si>
    <t>The depth to fixity is defined as the shallowest depth at which the pile deflection is equal to zero.</t>
  </si>
  <si>
    <r>
      <t>Depth to fixity, L</t>
    </r>
    <r>
      <rPr>
        <vertAlign val="subscript"/>
        <sz val="10"/>
        <rFont val="Arial"/>
        <family val="2"/>
      </rPr>
      <t>p</t>
    </r>
    <r>
      <rPr>
        <sz val="10"/>
        <rFont val="Arial"/>
        <family val="2"/>
      </rPr>
      <t xml:space="preserve"> =</t>
    </r>
  </si>
  <si>
    <t>By:</t>
  </si>
  <si>
    <t>Checked:</t>
  </si>
  <si>
    <t>Date:</t>
  </si>
  <si>
    <t xml:space="preserve">                </t>
  </si>
  <si>
    <r>
      <t>Maximum bending moment in pile, M</t>
    </r>
    <r>
      <rPr>
        <vertAlign val="subscript"/>
        <sz val="10"/>
        <rFont val="Arial"/>
        <family val="2"/>
      </rPr>
      <t>u</t>
    </r>
    <r>
      <rPr>
        <sz val="10"/>
        <rFont val="Arial"/>
        <family val="2"/>
      </rPr>
      <t xml:space="preserve"> =</t>
    </r>
  </si>
  <si>
    <r>
      <t>Depth to 2% deflection, L</t>
    </r>
    <r>
      <rPr>
        <vertAlign val="subscript"/>
        <sz val="10"/>
        <rFont val="Arial"/>
        <family val="2"/>
      </rPr>
      <t>n</t>
    </r>
    <r>
      <rPr>
        <sz val="10"/>
        <rFont val="Arial"/>
        <family val="2"/>
      </rPr>
      <t xml:space="preserve"> =</t>
    </r>
  </si>
  <si>
    <r>
      <t>Total pile length, L</t>
    </r>
    <r>
      <rPr>
        <vertAlign val="subscript"/>
        <sz val="10"/>
        <rFont val="Arial"/>
        <family val="2"/>
      </rPr>
      <t>tot</t>
    </r>
    <r>
      <rPr>
        <sz val="10"/>
        <rFont val="Arial"/>
        <family val="2"/>
      </rPr>
      <t xml:space="preserve"> = </t>
    </r>
  </si>
  <si>
    <t>Pile data</t>
  </si>
  <si>
    <t>number of piles =</t>
  </si>
  <si>
    <t>pile spacing =</t>
  </si>
  <si>
    <r>
      <t>Factored axial resistance, P</t>
    </r>
    <r>
      <rPr>
        <vertAlign val="subscript"/>
        <sz val="10"/>
        <rFont val="Arial"/>
        <family val="2"/>
      </rPr>
      <t>r</t>
    </r>
    <r>
      <rPr>
        <sz val="10"/>
        <rFont val="Arial"/>
        <family val="2"/>
      </rPr>
      <t xml:space="preserve"> = </t>
    </r>
    <r>
      <rPr>
        <sz val="10"/>
        <rFont val="Symbol"/>
        <family val="1"/>
        <charset val="2"/>
      </rPr>
      <t>f</t>
    </r>
    <r>
      <rPr>
        <sz val="10"/>
        <rFont val="Arial"/>
        <family val="2"/>
      </rPr>
      <t xml:space="preserve"> P</t>
    </r>
    <r>
      <rPr>
        <vertAlign val="subscript"/>
        <sz val="10"/>
        <rFont val="Arial"/>
        <family val="2"/>
      </rPr>
      <t>n</t>
    </r>
    <r>
      <rPr>
        <sz val="10"/>
        <rFont val="Arial"/>
        <family val="2"/>
      </rPr>
      <t xml:space="preserve"> =</t>
    </r>
  </si>
  <si>
    <r>
      <t>Pile factored flexural resistance, M</t>
    </r>
    <r>
      <rPr>
        <vertAlign val="subscript"/>
        <sz val="10"/>
        <rFont val="Arial"/>
        <family val="2"/>
      </rPr>
      <t>r</t>
    </r>
    <r>
      <rPr>
        <sz val="10"/>
        <rFont val="Arial"/>
        <family val="2"/>
      </rPr>
      <t xml:space="preserve"> = </t>
    </r>
    <r>
      <rPr>
        <sz val="10"/>
        <rFont val="Symbol"/>
        <family val="1"/>
        <charset val="2"/>
      </rPr>
      <t xml:space="preserve">f </t>
    </r>
    <r>
      <rPr>
        <sz val="10"/>
        <rFont val="Arial"/>
        <family val="2"/>
      </rPr>
      <t>M</t>
    </r>
    <r>
      <rPr>
        <vertAlign val="subscript"/>
        <sz val="10"/>
        <rFont val="Arial"/>
        <family val="2"/>
      </rPr>
      <t>n</t>
    </r>
    <r>
      <rPr>
        <sz val="10"/>
        <rFont val="Arial"/>
        <family val="2"/>
      </rPr>
      <t xml:space="preserve"> =</t>
    </r>
  </si>
  <si>
    <t>Pile Ductility Requirement</t>
  </si>
  <si>
    <r>
      <t>D</t>
    </r>
    <r>
      <rPr>
        <sz val="10"/>
        <rFont val="Arial"/>
        <family val="2"/>
      </rPr>
      <t xml:space="preserve"> = design displacement</t>
    </r>
  </si>
  <si>
    <t>Factored rotations</t>
  </si>
  <si>
    <r>
      <t>Nominal pile tip resistance, Q</t>
    </r>
    <r>
      <rPr>
        <vertAlign val="subscript"/>
        <sz val="10"/>
        <rFont val="Arial"/>
        <family val="2"/>
      </rPr>
      <t>p</t>
    </r>
    <r>
      <rPr>
        <sz val="10"/>
        <rFont val="Arial"/>
        <family val="2"/>
      </rPr>
      <t xml:space="preserve"> = q</t>
    </r>
    <r>
      <rPr>
        <vertAlign val="subscript"/>
        <sz val="10"/>
        <rFont val="Arial"/>
        <family val="2"/>
      </rPr>
      <t>p</t>
    </r>
    <r>
      <rPr>
        <sz val="10"/>
        <rFont val="Arial"/>
        <family val="2"/>
      </rPr>
      <t>A</t>
    </r>
    <r>
      <rPr>
        <vertAlign val="subscript"/>
        <sz val="10"/>
        <rFont val="Arial"/>
        <family val="2"/>
      </rPr>
      <t>Tip</t>
    </r>
    <r>
      <rPr>
        <sz val="10"/>
        <rFont val="Arial"/>
        <family val="2"/>
      </rPr>
      <t xml:space="preserve"> =</t>
    </r>
  </si>
  <si>
    <r>
      <t>o</t>
    </r>
    <r>
      <rPr>
        <sz val="10"/>
        <rFont val="Arial"/>
        <family val="2"/>
      </rPr>
      <t>F</t>
    </r>
  </si>
  <si>
    <r>
      <t>k/ft</t>
    </r>
    <r>
      <rPr>
        <vertAlign val="superscript"/>
        <sz val="10"/>
        <rFont val="Arial"/>
        <family val="2"/>
      </rPr>
      <t>3</t>
    </r>
  </si>
  <si>
    <t xml:space="preserve">k/ft </t>
  </si>
  <si>
    <r>
      <t>2FH/(3LN)+H</t>
    </r>
    <r>
      <rPr>
        <vertAlign val="subscript"/>
        <sz val="10"/>
        <rFont val="Arial"/>
        <family val="2"/>
      </rPr>
      <t>T</t>
    </r>
    <r>
      <rPr>
        <sz val="10"/>
        <rFont val="Arial"/>
        <family val="2"/>
      </rPr>
      <t>H/L+M</t>
    </r>
    <r>
      <rPr>
        <vertAlign val="subscript"/>
        <sz val="10"/>
        <rFont val="Arial"/>
        <family val="2"/>
      </rPr>
      <t>T</t>
    </r>
    <r>
      <rPr>
        <sz val="10"/>
        <rFont val="Arial"/>
        <family val="2"/>
      </rPr>
      <t xml:space="preserve">/L = </t>
    </r>
  </si>
  <si>
    <t>Girder Points</t>
  </si>
  <si>
    <t>Abutment Corners</t>
  </si>
  <si>
    <t>Rebar</t>
  </si>
  <si>
    <t>Girder Spacing Dimension Lines</t>
  </si>
  <si>
    <t>Rebar Dimension Lines</t>
  </si>
  <si>
    <t>Pile Spacing Dimension Lines</t>
  </si>
  <si>
    <t>?</t>
  </si>
  <si>
    <t>Barrier Points</t>
  </si>
  <si>
    <t>Pile Points</t>
  </si>
  <si>
    <t>Note that not all loads and load cases are used in the spreadsheet, they are supplied for information only.</t>
  </si>
  <si>
    <t>The previous three values are used to calculate an average pile cap height and assume a constantly sloping top of cap with a crown at the center, as illustrated in the figure below.  Only the minimum value is used to design the pile cap, the average value is used for selfweight calculations.  Note that if the cap does not have either a constant cross-slope or crown at the midwidth, the average pile cap height will not be precisely correct.  If a more exact selfweight is required, the maximum height at midwidth can be adjusted until the desired average pile cap height is attained.</t>
  </si>
  <si>
    <r>
      <t>For stiffened slender elements (webs), Q</t>
    </r>
    <r>
      <rPr>
        <vertAlign val="subscript"/>
        <sz val="10"/>
        <rFont val="Arial"/>
        <family val="2"/>
      </rPr>
      <t>a</t>
    </r>
    <r>
      <rPr>
        <sz val="10"/>
        <rFont val="Arial"/>
        <family val="2"/>
      </rPr>
      <t xml:space="preserve"> is calculated in accordance with AASHTO Equation 6.9.4.2.2-9.</t>
    </r>
  </si>
  <si>
    <r>
      <t>A</t>
    </r>
    <r>
      <rPr>
        <sz val="10"/>
        <rFont val="Arial"/>
        <family val="2"/>
      </rPr>
      <t xml:space="preserve"> =</t>
    </r>
  </si>
  <si>
    <r>
      <t>in</t>
    </r>
    <r>
      <rPr>
        <vertAlign val="superscript"/>
        <sz val="10"/>
        <rFont val="Arial"/>
        <family val="2"/>
      </rPr>
      <t>2</t>
    </r>
    <r>
      <rPr>
        <sz val="10"/>
        <rFont val="Arial"/>
        <family val="2"/>
      </rPr>
      <t xml:space="preserve"> = Pile Area, Ap</t>
    </r>
  </si>
  <si>
    <r>
      <t>Effective areas of the slender stiffened element, A</t>
    </r>
    <r>
      <rPr>
        <vertAlign val="subscript"/>
        <sz val="10"/>
        <rFont val="Arial"/>
        <family val="2"/>
      </rPr>
      <t>eff</t>
    </r>
    <r>
      <rPr>
        <sz val="10"/>
        <rFont val="Arial"/>
        <family val="2"/>
      </rPr>
      <t xml:space="preserve"> = (b - b</t>
    </r>
    <r>
      <rPr>
        <vertAlign val="subscript"/>
        <sz val="10"/>
        <rFont val="Arial"/>
        <family val="2"/>
      </rPr>
      <t>e</t>
    </r>
    <r>
      <rPr>
        <sz val="10"/>
        <rFont val="Arial"/>
        <family val="2"/>
      </rPr>
      <t>)t</t>
    </r>
  </si>
  <si>
    <r>
      <t>A</t>
    </r>
    <r>
      <rPr>
        <vertAlign val="subscript"/>
        <sz val="10"/>
        <rFont val="Arial"/>
        <family val="2"/>
      </rPr>
      <t>eff</t>
    </r>
    <r>
      <rPr>
        <sz val="10"/>
        <rFont val="Arial"/>
        <family val="2"/>
      </rPr>
      <t xml:space="preserve"> =</t>
    </r>
  </si>
  <si>
    <r>
      <t>in</t>
    </r>
    <r>
      <rPr>
        <vertAlign val="superscript"/>
        <sz val="10"/>
        <rFont val="Arial"/>
        <family val="2"/>
      </rPr>
      <t>2</t>
    </r>
  </si>
  <si>
    <r>
      <t>Effective Width, b</t>
    </r>
    <r>
      <rPr>
        <vertAlign val="subscript"/>
        <sz val="10"/>
        <rFont val="Arial"/>
        <family val="2"/>
      </rPr>
      <t>e</t>
    </r>
    <r>
      <rPr>
        <sz val="10"/>
        <rFont val="Arial"/>
        <family val="2"/>
      </rPr>
      <t xml:space="preserve"> = 1.92t(E/ƒ)</t>
    </r>
    <r>
      <rPr>
        <vertAlign val="superscript"/>
        <sz val="10"/>
        <rFont val="Arial"/>
        <family val="2"/>
      </rPr>
      <t>0.5</t>
    </r>
    <r>
      <rPr>
        <sz val="10"/>
        <rFont val="Arial"/>
        <family val="2"/>
      </rPr>
      <t>[1-0.34(E/ƒ)</t>
    </r>
    <r>
      <rPr>
        <vertAlign val="superscript"/>
        <sz val="10"/>
        <rFont val="Arial"/>
        <family val="2"/>
      </rPr>
      <t>0.5</t>
    </r>
    <r>
      <rPr>
        <sz val="10"/>
        <rFont val="Arial"/>
        <family val="2"/>
      </rPr>
      <t>/(b/t)] ≤ b per AASHTO Eq. 6.9.4.2.2-11</t>
    </r>
  </si>
  <si>
    <t>Girder material (S - Steel, C - Concrete)</t>
  </si>
  <si>
    <t>Number of girders in the cross-section</t>
  </si>
  <si>
    <t>Service I Limit State Girder Rotations</t>
  </si>
  <si>
    <r>
      <t>Skew (45</t>
    </r>
    <r>
      <rPr>
        <vertAlign val="superscript"/>
        <sz val="10"/>
        <rFont val="Arial"/>
        <family val="2"/>
      </rPr>
      <t>o</t>
    </r>
    <r>
      <rPr>
        <sz val="10"/>
        <rFont val="Arial"/>
        <family val="2"/>
      </rPr>
      <t xml:space="preserve"> to 90</t>
    </r>
    <r>
      <rPr>
        <vertAlign val="superscript"/>
        <sz val="10"/>
        <rFont val="Arial"/>
        <family val="2"/>
      </rPr>
      <t>o</t>
    </r>
    <r>
      <rPr>
        <sz val="10"/>
        <rFont val="Arial"/>
        <family val="2"/>
      </rPr>
      <t>)</t>
    </r>
  </si>
  <si>
    <t>Sum of clear sidewalk widths</t>
  </si>
  <si>
    <t>Number of girders</t>
  </si>
  <si>
    <t>Girder spacing normal to longitudinal axis of bridge</t>
  </si>
  <si>
    <t>Average deck + haunch thickness</t>
  </si>
  <si>
    <t>Integral Abutment Data</t>
  </si>
  <si>
    <t>Left end</t>
  </si>
  <si>
    <t>Centerline</t>
  </si>
  <si>
    <t>Right end</t>
  </si>
  <si>
    <t>Load Data</t>
  </si>
  <si>
    <t>Interior girder</t>
  </si>
  <si>
    <t>Exterior girder</t>
  </si>
  <si>
    <t>Composite dead load, DC2</t>
  </si>
  <si>
    <t>Non-composite dead load, DC1</t>
  </si>
  <si>
    <t>Interior girder = Exterior girder</t>
  </si>
  <si>
    <t>Composite dead load, DW</t>
  </si>
  <si>
    <t>PHL-93 - max</t>
  </si>
  <si>
    <t>P-82 - max</t>
  </si>
  <si>
    <t>Pile Data</t>
  </si>
  <si>
    <t>Type of pile (H - steel H-pile, P - concrete-filled pipe pile)</t>
  </si>
  <si>
    <r>
      <t>Concrete compressive strength, f'</t>
    </r>
    <r>
      <rPr>
        <vertAlign val="subscript"/>
        <sz val="10"/>
        <rFont val="Arial"/>
        <family val="2"/>
      </rPr>
      <t>c</t>
    </r>
  </si>
  <si>
    <r>
      <t>Concrete compressive strength, f'</t>
    </r>
    <r>
      <rPr>
        <vertAlign val="subscript"/>
        <sz val="10"/>
        <rFont val="Arial"/>
        <family val="2"/>
      </rPr>
      <t>c</t>
    </r>
    <r>
      <rPr>
        <sz val="10"/>
        <rFont val="Arial"/>
        <family val="2"/>
      </rPr>
      <t xml:space="preserve"> (pipe piles only)</t>
    </r>
  </si>
  <si>
    <t>Spacing of piles along abutment</t>
  </si>
  <si>
    <t>Assumed depth to pile fixity</t>
  </si>
  <si>
    <t>Additional Load Data</t>
  </si>
  <si>
    <t>Percentage of total bridge expansion occuring at abutment being analyzed</t>
  </si>
  <si>
    <t>o</t>
  </si>
  <si>
    <r>
      <t>Depth to fixity, L</t>
    </r>
    <r>
      <rPr>
        <vertAlign val="subscript"/>
        <sz val="10"/>
        <rFont val="Arial"/>
        <family val="2"/>
      </rPr>
      <t>p</t>
    </r>
    <r>
      <rPr>
        <sz val="10"/>
        <rFont val="Arial"/>
        <family val="2"/>
      </rPr>
      <t>, depth at which pile deflection equals zero</t>
    </r>
  </si>
  <si>
    <r>
      <t>Maximum bending moment, M</t>
    </r>
    <r>
      <rPr>
        <vertAlign val="subscript"/>
        <sz val="10"/>
        <rFont val="Arial"/>
        <family val="2"/>
      </rPr>
      <t>u</t>
    </r>
    <r>
      <rPr>
        <sz val="10"/>
        <rFont val="Arial"/>
        <family val="2"/>
      </rPr>
      <t>, below the uppermost point of inflection</t>
    </r>
  </si>
  <si>
    <r>
      <t>Depth at which deflection equals 2% of pile width (or diameter), L</t>
    </r>
    <r>
      <rPr>
        <vertAlign val="subscript"/>
        <sz val="10"/>
        <rFont val="Arial"/>
        <family val="2"/>
      </rPr>
      <t>n</t>
    </r>
  </si>
  <si>
    <t>Geotechnical Capacity of the Pile</t>
  </si>
  <si>
    <t>Structural Capacity of the Pile</t>
  </si>
  <si>
    <t>Girder width</t>
  </si>
  <si>
    <t>Warnings and Errors</t>
  </si>
  <si>
    <t>Pile Cap Beam Reinforcing Data</t>
  </si>
  <si>
    <r>
      <t>A</t>
    </r>
    <r>
      <rPr>
        <vertAlign val="subscript"/>
        <sz val="10"/>
        <rFont val="Arial"/>
        <family val="2"/>
      </rPr>
      <t>1</t>
    </r>
  </si>
  <si>
    <r>
      <t>y</t>
    </r>
    <r>
      <rPr>
        <vertAlign val="subscript"/>
        <sz val="10"/>
        <rFont val="Arial"/>
        <family val="2"/>
      </rPr>
      <t>1</t>
    </r>
  </si>
  <si>
    <r>
      <t>A</t>
    </r>
    <r>
      <rPr>
        <vertAlign val="subscript"/>
        <sz val="10"/>
        <rFont val="Arial"/>
        <family val="2"/>
      </rPr>
      <t>2</t>
    </r>
  </si>
  <si>
    <r>
      <t>y</t>
    </r>
    <r>
      <rPr>
        <vertAlign val="subscript"/>
        <sz val="10"/>
        <rFont val="Arial"/>
        <family val="2"/>
      </rPr>
      <t>2</t>
    </r>
  </si>
  <si>
    <r>
      <t>A</t>
    </r>
    <r>
      <rPr>
        <vertAlign val="subscript"/>
        <sz val="10"/>
        <rFont val="Arial"/>
        <family val="2"/>
      </rPr>
      <t>3</t>
    </r>
  </si>
  <si>
    <t>Service I Limit State Girder Reactions</t>
  </si>
  <si>
    <r>
      <t>Difference between the height of the cap at the ends, |d</t>
    </r>
    <r>
      <rPr>
        <vertAlign val="subscript"/>
        <sz val="10"/>
        <rFont val="Arial"/>
        <family val="2"/>
      </rPr>
      <t>pc1</t>
    </r>
    <r>
      <rPr>
        <sz val="10"/>
        <rFont val="Arial"/>
        <family val="2"/>
      </rPr>
      <t xml:space="preserve"> - d</t>
    </r>
    <r>
      <rPr>
        <vertAlign val="subscript"/>
        <sz val="10"/>
        <rFont val="Arial"/>
        <family val="2"/>
      </rPr>
      <t>pc2</t>
    </r>
    <r>
      <rPr>
        <sz val="10"/>
        <rFont val="Arial"/>
        <family val="2"/>
      </rPr>
      <t>| =</t>
    </r>
  </si>
  <si>
    <t>The wingwall dimensions are required for dead load calculations.</t>
  </si>
  <si>
    <t>girder material =</t>
  </si>
  <si>
    <r>
      <t>if P</t>
    </r>
    <r>
      <rPr>
        <vertAlign val="subscript"/>
        <sz val="10"/>
        <rFont val="Arial"/>
        <family val="2"/>
      </rPr>
      <t>u</t>
    </r>
    <r>
      <rPr>
        <sz val="10"/>
        <rFont val="Arial"/>
        <family val="2"/>
      </rPr>
      <t xml:space="preserve"> / P</t>
    </r>
    <r>
      <rPr>
        <vertAlign val="subscript"/>
        <sz val="10"/>
        <rFont val="Arial"/>
        <family val="2"/>
      </rPr>
      <t>r</t>
    </r>
    <r>
      <rPr>
        <sz val="10"/>
        <rFont val="Arial"/>
        <family val="2"/>
      </rPr>
      <t xml:space="preserve"> &lt; 0.2 then P</t>
    </r>
    <r>
      <rPr>
        <vertAlign val="subscript"/>
        <sz val="10"/>
        <rFont val="Arial"/>
        <family val="2"/>
      </rPr>
      <t>u</t>
    </r>
    <r>
      <rPr>
        <sz val="10"/>
        <rFont val="Arial"/>
        <family val="2"/>
      </rPr>
      <t xml:space="preserve"> / 2.0P</t>
    </r>
    <r>
      <rPr>
        <vertAlign val="subscript"/>
        <sz val="10"/>
        <rFont val="Arial"/>
        <family val="2"/>
      </rPr>
      <t>r</t>
    </r>
    <r>
      <rPr>
        <sz val="10"/>
        <rFont val="Arial"/>
        <family val="2"/>
      </rPr>
      <t xml:space="preserve"> + M</t>
    </r>
    <r>
      <rPr>
        <vertAlign val="subscript"/>
        <sz val="10"/>
        <rFont val="Arial"/>
        <family val="2"/>
      </rPr>
      <t>u</t>
    </r>
    <r>
      <rPr>
        <sz val="10"/>
        <rFont val="Arial"/>
        <family val="2"/>
      </rPr>
      <t xml:space="preserve"> / M</t>
    </r>
    <r>
      <rPr>
        <vertAlign val="subscript"/>
        <sz val="10"/>
        <rFont val="Arial"/>
        <family val="2"/>
      </rPr>
      <t>r</t>
    </r>
    <r>
      <rPr>
        <sz val="10"/>
        <rFont val="Arial"/>
        <family val="2"/>
      </rPr>
      <t xml:space="preserve"> </t>
    </r>
    <r>
      <rPr>
        <b/>
        <sz val="10"/>
        <rFont val="Symbol"/>
        <family val="1"/>
        <charset val="2"/>
      </rPr>
      <t>£</t>
    </r>
    <r>
      <rPr>
        <sz val="10"/>
        <rFont val="Arial"/>
        <family val="2"/>
      </rPr>
      <t xml:space="preserve"> 1.0</t>
    </r>
  </si>
  <si>
    <r>
      <t>Factored axial resistance, P</t>
    </r>
    <r>
      <rPr>
        <vertAlign val="subscript"/>
        <sz val="10"/>
        <rFont val="Arial"/>
        <family val="2"/>
      </rPr>
      <t>r</t>
    </r>
    <r>
      <rPr>
        <sz val="10"/>
        <rFont val="Arial"/>
        <family val="2"/>
      </rPr>
      <t xml:space="preserve"> = </t>
    </r>
    <r>
      <rPr>
        <sz val="10"/>
        <rFont val="Symbol"/>
        <family val="1"/>
        <charset val="2"/>
      </rPr>
      <t>f</t>
    </r>
    <r>
      <rPr>
        <sz val="10"/>
        <rFont val="Arial"/>
        <family val="2"/>
      </rPr>
      <t xml:space="preserve"> P</t>
    </r>
    <r>
      <rPr>
        <vertAlign val="subscript"/>
        <sz val="10"/>
        <rFont val="Arial"/>
        <family val="2"/>
      </rPr>
      <t>n</t>
    </r>
  </si>
  <si>
    <r>
      <t>Check to make sure the moment, M</t>
    </r>
    <r>
      <rPr>
        <vertAlign val="subscript"/>
        <sz val="10"/>
        <rFont val="Arial"/>
        <family val="2"/>
      </rPr>
      <t>T</t>
    </r>
    <r>
      <rPr>
        <sz val="10"/>
        <rFont val="Arial"/>
        <family val="2"/>
      </rPr>
      <t>, does not exceed the plastic moment, M</t>
    </r>
    <r>
      <rPr>
        <vertAlign val="subscript"/>
        <sz val="10"/>
        <rFont val="Arial"/>
        <family val="2"/>
      </rPr>
      <t>p</t>
    </r>
    <r>
      <rPr>
        <sz val="10"/>
        <rFont val="Arial"/>
        <family val="2"/>
      </rPr>
      <t>.  Even though the maximum flexural resistance of the pile may be lower, the plastic moment is conservatively used here as an upper bound.</t>
    </r>
  </si>
  <si>
    <r>
      <t>The horizontal force, H</t>
    </r>
    <r>
      <rPr>
        <vertAlign val="subscript"/>
        <sz val="10"/>
        <rFont val="Arial"/>
        <family val="2"/>
      </rPr>
      <t>T</t>
    </r>
    <r>
      <rPr>
        <sz val="10"/>
        <rFont val="Arial"/>
        <family val="2"/>
      </rPr>
      <t xml:space="preserve"> = 2M</t>
    </r>
    <r>
      <rPr>
        <vertAlign val="subscript"/>
        <sz val="10"/>
        <rFont val="Arial"/>
        <family val="2"/>
      </rPr>
      <t>T</t>
    </r>
    <r>
      <rPr>
        <sz val="10"/>
        <rFont val="Arial"/>
        <family val="2"/>
      </rPr>
      <t>/L</t>
    </r>
    <r>
      <rPr>
        <vertAlign val="subscript"/>
        <sz val="10"/>
        <rFont val="Arial"/>
        <family val="2"/>
      </rPr>
      <t>p</t>
    </r>
    <r>
      <rPr>
        <sz val="10"/>
        <rFont val="Arial"/>
        <family val="2"/>
      </rPr>
      <t xml:space="preserve"> =</t>
    </r>
  </si>
  <si>
    <t>Type of wingwall (R - Rectangular, T - Tapered, D - Detached)</t>
  </si>
  <si>
    <t>Minimum edge distance to centerline of piles</t>
  </si>
  <si>
    <t>Sum of clear widths of sidewalks on bridge</t>
  </si>
  <si>
    <t>Pile Description</t>
  </si>
  <si>
    <t>Loads and Deformations</t>
  </si>
  <si>
    <t>BRIDGE DATA</t>
  </si>
  <si>
    <t>- denotes input cells</t>
  </si>
  <si>
    <t>The girder material is required to determine the coefficient of thermal expansion of the bridge and the uniform temperature change.</t>
  </si>
  <si>
    <t>Total bridge length - centerline end bearing to centerline end bearing</t>
  </si>
  <si>
    <t>INTEGRAL ABUTMENT DATA</t>
  </si>
  <si>
    <t>SPREADSHEET PROGRAM DESCRIPTION</t>
  </si>
  <si>
    <t>XX</t>
  </si>
  <si>
    <t>Additional soil profile lines here</t>
  </si>
  <si>
    <t>Additional soil unit weight lines here</t>
  </si>
  <si>
    <t>Additional soil strength parameter lines here</t>
  </si>
  <si>
    <t>Concrete Filled Steel Pipe Pile Combined Axial Compression and Flexure (upper portion of pile)</t>
  </si>
  <si>
    <t>Choose the load factors to be used for the DW loads.  For new construction or analysis of existing construction, where no future wearing surface is present, the DW load factors are taken as 1.50 max and 0.00 min.  For bridges where a future wearing surface is present, the DW load factors are taken as 1.50 max and 0.65 min.  Typically, the future wearing surface will not be currently present - N.</t>
  </si>
  <si>
    <t>p1</t>
  </si>
  <si>
    <t>p2</t>
  </si>
  <si>
    <t>p3</t>
  </si>
  <si>
    <t>Notes:</t>
  </si>
  <si>
    <t>1. As1 based on Mu, As2 on 1.2Mcr, As3 on 1.33Mu, and As4 on pmin</t>
  </si>
  <si>
    <t>2. The number in parantheses beside the result indicates which Area is being used</t>
  </si>
  <si>
    <r>
      <t xml:space="preserve">Flexure, </t>
    </r>
    <r>
      <rPr>
        <sz val="10"/>
        <rFont val="Symbol"/>
        <family val="1"/>
        <charset val="2"/>
      </rPr>
      <t>f</t>
    </r>
    <r>
      <rPr>
        <vertAlign val="subscript"/>
        <sz val="10"/>
        <rFont val="Arial"/>
        <family val="2"/>
      </rPr>
      <t>f</t>
    </r>
  </si>
  <si>
    <r>
      <t xml:space="preserve">Axial compression only, </t>
    </r>
    <r>
      <rPr>
        <sz val="10"/>
        <rFont val="Symbol"/>
        <family val="1"/>
        <charset val="2"/>
      </rPr>
      <t>f</t>
    </r>
    <r>
      <rPr>
        <vertAlign val="subscript"/>
        <sz val="10"/>
        <rFont val="Arial"/>
        <family val="2"/>
      </rPr>
      <t>c</t>
    </r>
  </si>
  <si>
    <t>Extreme Factored Dead + Live Loads per girder</t>
  </si>
  <si>
    <r>
      <t xml:space="preserve">Calculate the maximum factored load on the most heavily loaded pile (see Load Factors tab for load factors for each load combination).  Since the factored dead and live loads from the interior and exterior girders have already been calculated, the sum of the girder loads is calculated assuming two exterior girders and the remaining ones interior.  These loads, as well as any additional vertical loads, are distributed equally to all piles.  The factored extreme overturning loads, which occur on the exterior piles are added.  The </t>
    </r>
    <r>
      <rPr>
        <sz val="12"/>
        <rFont val="Symbol"/>
        <family val="1"/>
        <charset val="2"/>
      </rPr>
      <t>h</t>
    </r>
    <r>
      <rPr>
        <vertAlign val="subscript"/>
        <sz val="10"/>
        <rFont val="Arial"/>
        <family val="2"/>
      </rPr>
      <t>i</t>
    </r>
    <r>
      <rPr>
        <sz val="10"/>
        <rFont val="Arial"/>
        <family val="2"/>
      </rPr>
      <t xml:space="preserve"> modifier is also included.</t>
    </r>
  </si>
  <si>
    <t>Chosen pile spacing along abutment</t>
  </si>
  <si>
    <r>
      <t>Flange thickness, t</t>
    </r>
    <r>
      <rPr>
        <vertAlign val="subscript"/>
        <sz val="10"/>
        <rFont val="Arial"/>
        <family val="2"/>
      </rPr>
      <t>f</t>
    </r>
    <r>
      <rPr>
        <sz val="10"/>
        <rFont val="Arial"/>
        <family val="2"/>
      </rPr>
      <t xml:space="preserve"> (H-piles), or steel pipe wall thickness, t</t>
    </r>
    <r>
      <rPr>
        <vertAlign val="subscript"/>
        <sz val="10"/>
        <rFont val="Arial"/>
        <family val="2"/>
      </rPr>
      <t>p</t>
    </r>
    <r>
      <rPr>
        <sz val="10"/>
        <rFont val="Arial"/>
        <family val="2"/>
      </rPr>
      <t xml:space="preserve"> (pipe piles)</t>
    </r>
  </si>
  <si>
    <r>
      <t>Weak axis moment of inertia (H-piles), transformed moment of inertia (pipe piles), I</t>
    </r>
    <r>
      <rPr>
        <vertAlign val="subscript"/>
        <sz val="10"/>
        <rFont val="Arial"/>
        <family val="2"/>
      </rPr>
      <t>y-y</t>
    </r>
  </si>
  <si>
    <r>
      <t>Elastic section modulus (H-piles), transformed section modulus (pipe piles), S</t>
    </r>
    <r>
      <rPr>
        <vertAlign val="subscript"/>
        <sz val="10"/>
        <rFont val="Arial"/>
        <family val="2"/>
      </rPr>
      <t>y-y</t>
    </r>
  </si>
  <si>
    <t>Optional Scour Check</t>
  </si>
  <si>
    <r>
      <t>Maximum bending moment in pile, M</t>
    </r>
    <r>
      <rPr>
        <vertAlign val="subscript"/>
        <sz val="10"/>
        <rFont val="Arial"/>
        <family val="2"/>
      </rPr>
      <t>su</t>
    </r>
    <r>
      <rPr>
        <sz val="10"/>
        <rFont val="Arial"/>
        <family val="2"/>
      </rPr>
      <t xml:space="preserve"> =</t>
    </r>
  </si>
  <si>
    <t>Post-Scour Lateral Pile Analysis Results</t>
  </si>
  <si>
    <t>Lateral Pile Analysis Results</t>
  </si>
  <si>
    <t>Unfactored Live Load rotations per girder (including distribution factor):</t>
  </si>
  <si>
    <t>Average Live Load rotations per girder:</t>
  </si>
  <si>
    <t>Using the coefficient of passive earth pressure, the soil density, and the depth of the abutment, the force per unit length on the abutment can be calculated.</t>
  </si>
  <si>
    <r>
      <t>Force from soil on abutment, F=1/2 k</t>
    </r>
    <r>
      <rPr>
        <vertAlign val="subscript"/>
        <sz val="10"/>
        <rFont val="Arial"/>
        <family val="2"/>
      </rPr>
      <t>p</t>
    </r>
    <r>
      <rPr>
        <sz val="10"/>
        <rFont val="Symbol"/>
        <family val="1"/>
        <charset val="2"/>
      </rPr>
      <t>g</t>
    </r>
    <r>
      <rPr>
        <sz val="10"/>
        <rFont val="Arial"/>
        <family val="2"/>
      </rPr>
      <t>H</t>
    </r>
    <r>
      <rPr>
        <vertAlign val="superscript"/>
        <sz val="10"/>
        <rFont val="Arial"/>
        <family val="2"/>
      </rPr>
      <t>2</t>
    </r>
    <r>
      <rPr>
        <sz val="10"/>
        <rFont val="Arial"/>
        <family val="2"/>
      </rPr>
      <t xml:space="preserve"> =</t>
    </r>
  </si>
  <si>
    <t>Factored Dead + Live Reaction for Exterior Girder:</t>
  </si>
  <si>
    <t>Total rotation of composite dead load rotations</t>
  </si>
  <si>
    <t>The appropriate wind pressure on the structure is input here and discussed in DM-4 Ap.G1.2.7.3 and AASHTO 3.8.</t>
  </si>
  <si>
    <t>Transverse pressure =</t>
  </si>
  <si>
    <t>Wind on live load is taken as 0.100 klf acting at 6 ft above the deck per AASHTO 3.8.1.3.</t>
  </si>
  <si>
    <t>Uplift wind pressure is defined as a constant 0.020 ksf per AASHTO 3.8.2.  The force from this pressure is assumed to act as a line load at a distance of 1/4 of the out-to-out width of the bridge from the edge of the bridge.</t>
  </si>
  <si>
    <t>Integral abutments are permitted for curved bridges as long as the girders are straight and parallel within each span, and approval is obtained from the Chief Bridge Engineer as discussed in DM-4 Ap.G.1.2.3.  Despite the limited curvature this allows, centrifugal forces can be generated.  The centrifugal force and any other lateral forces other than wind forces contributing to overturning moments can be input here.  This force will be assumed to act perpendicular to the longitudinal axis of the bridge at a distance 6 ft above the roadway surface.  Refer to AASHTO 3.6.3 for discussion on calculating centrifugal force.</t>
  </si>
  <si>
    <t>The approach slab live load is calculated assuming the slab is simply supported at the ends, the lane load only is present in all lanes, and the total reaction is distributed equally to all piles.  The truck load is not included here because it was already included in the bridge loads.  As previously, the multiple presence factor is not used.  Dead loads from the approach slab are also distributed equally to all piles.</t>
  </si>
  <si>
    <r>
      <t xml:space="preserve">Total </t>
    </r>
    <r>
      <rPr>
        <sz val="12"/>
        <rFont val="Symbol"/>
        <family val="1"/>
        <charset val="2"/>
      </rPr>
      <t>±</t>
    </r>
    <r>
      <rPr>
        <sz val="10"/>
        <rFont val="Arial"/>
        <family val="2"/>
      </rPr>
      <t xml:space="preserve">change in length of the bridge, </t>
    </r>
    <r>
      <rPr>
        <sz val="10"/>
        <rFont val="Symbol"/>
        <family val="1"/>
        <charset val="2"/>
      </rPr>
      <t>f</t>
    </r>
    <r>
      <rPr>
        <vertAlign val="subscript"/>
        <sz val="10"/>
        <rFont val="Arial"/>
        <family val="2"/>
      </rPr>
      <t>T</t>
    </r>
    <r>
      <rPr>
        <sz val="10"/>
        <rFont val="Symbol"/>
        <family val="1"/>
        <charset val="2"/>
      </rPr>
      <t>aD</t>
    </r>
    <r>
      <rPr>
        <vertAlign val="subscript"/>
        <sz val="10"/>
        <rFont val="Arial"/>
        <family val="2"/>
      </rPr>
      <t>T</t>
    </r>
    <r>
      <rPr>
        <sz val="10"/>
        <rFont val="Arial"/>
        <family val="2"/>
      </rPr>
      <t>L =</t>
    </r>
  </si>
  <si>
    <t>P-82</t>
  </si>
  <si>
    <t>max</t>
  </si>
  <si>
    <t>min</t>
  </si>
  <si>
    <t>Strength I</t>
  </si>
  <si>
    <t>Strength II</t>
  </si>
  <si>
    <t>Additional Loads</t>
  </si>
  <si>
    <t>k/ft</t>
  </si>
  <si>
    <t>Wind Loads</t>
  </si>
  <si>
    <t>Wind on structure</t>
  </si>
  <si>
    <t>Wind on live load</t>
  </si>
  <si>
    <t>ksi</t>
  </si>
  <si>
    <t>k-ft</t>
  </si>
  <si>
    <t>Girder depth</t>
  </si>
  <si>
    <t>Skew</t>
  </si>
  <si>
    <t>degrees</t>
  </si>
  <si>
    <t>radians</t>
  </si>
  <si>
    <t>Number of piles</t>
  </si>
  <si>
    <t>Abutment width</t>
  </si>
  <si>
    <t>Strength IP</t>
  </si>
  <si>
    <t>Strength V</t>
  </si>
  <si>
    <t>pressure =</t>
  </si>
  <si>
    <t>in-lbs</t>
  </si>
  <si>
    <r>
      <t xml:space="preserve">Limiting slenderness ratio for a compact flange, </t>
    </r>
    <r>
      <rPr>
        <sz val="10"/>
        <rFont val="Symbol"/>
        <family val="1"/>
        <charset val="2"/>
      </rPr>
      <t>l</t>
    </r>
    <r>
      <rPr>
        <vertAlign val="subscript"/>
        <sz val="10"/>
        <rFont val="Arial"/>
        <family val="2"/>
      </rPr>
      <t>pf</t>
    </r>
    <r>
      <rPr>
        <sz val="10"/>
        <rFont val="Arial"/>
        <family val="2"/>
      </rPr>
      <t xml:space="preserve"> = 0.38</t>
    </r>
    <r>
      <rPr>
        <sz val="10"/>
        <rFont val="Arial"/>
        <family val="2"/>
      </rPr>
      <t>(E/Fy</t>
    </r>
    <r>
      <rPr>
        <sz val="10"/>
        <rFont val="Arial"/>
        <family val="2"/>
      </rPr>
      <t>)</t>
    </r>
    <r>
      <rPr>
        <vertAlign val="superscript"/>
        <sz val="10"/>
        <rFont val="Arial"/>
        <family val="2"/>
      </rPr>
      <t>0.5</t>
    </r>
    <r>
      <rPr>
        <sz val="10"/>
        <rFont val="Arial"/>
        <family val="2"/>
      </rPr>
      <t xml:space="preserve"> per AASHTO Eq. 6.12.2.2.1-4.</t>
    </r>
  </si>
  <si>
    <r>
      <t>2.0(E/F</t>
    </r>
    <r>
      <rPr>
        <vertAlign val="subscript"/>
        <sz val="10"/>
        <rFont val="Arial"/>
        <family val="2"/>
      </rPr>
      <t>y</t>
    </r>
    <r>
      <rPr>
        <sz val="10"/>
        <rFont val="Arial"/>
        <family val="2"/>
      </rPr>
      <t>)</t>
    </r>
    <r>
      <rPr>
        <vertAlign val="superscript"/>
        <sz val="10"/>
        <rFont val="Arial"/>
        <family val="2"/>
      </rPr>
      <t>0.5</t>
    </r>
    <r>
      <rPr>
        <sz val="10"/>
        <rFont val="Arial"/>
        <family val="2"/>
      </rPr>
      <t xml:space="preserve"> =</t>
    </r>
  </si>
  <si>
    <r>
      <t>8.8(E/F</t>
    </r>
    <r>
      <rPr>
        <vertAlign val="subscript"/>
        <sz val="10"/>
        <rFont val="Arial"/>
        <family val="2"/>
      </rPr>
      <t>y</t>
    </r>
    <r>
      <rPr>
        <sz val="10"/>
        <rFont val="Arial"/>
        <family val="2"/>
      </rPr>
      <t>)</t>
    </r>
    <r>
      <rPr>
        <vertAlign val="superscript"/>
        <sz val="10"/>
        <rFont val="Arial"/>
        <family val="2"/>
      </rPr>
      <t>0.5</t>
    </r>
    <r>
      <rPr>
        <sz val="10"/>
        <rFont val="Arial"/>
        <family val="2"/>
      </rPr>
      <t xml:space="preserve"> =</t>
    </r>
  </si>
  <si>
    <t>This tab is intended as a worksheet summary page to help in the gathering of information required to run the integral abutment worksheet main tab.  The input values are listed in the order in which they are required in the main tab, along with the allowable range and a brief description of the value, if necessary.  A more thorough explanation of the value can often be found in the main tab.  This sheet can be printed and the values filled in by hand.  Additionally, for more advanced users, this tab can be used to input the values to the main tab.  Pressing the upper button to the right will clear the values from this tab.  Pressing the lower button to the right will insert the values into the corresponding cells in the main tab.  Note that if the cell is blank on this tab, inserting the values will clear the corresponding cell in the main tab.</t>
  </si>
  <si>
    <r>
      <t>Reinforcing steel yield strength, f</t>
    </r>
    <r>
      <rPr>
        <vertAlign val="subscript"/>
        <sz val="10"/>
        <rFont val="Arial"/>
        <family val="2"/>
      </rPr>
      <t>y</t>
    </r>
  </si>
  <si>
    <t>Composite dead load induced rotations (i.e. future wearing surface and DC2)</t>
  </si>
  <si>
    <t>Unfactored live load reactions, (with distribution factor &amp; impact)</t>
  </si>
  <si>
    <t>Unfactored live load rotations, (with distribution factor &amp; impact)</t>
  </si>
  <si>
    <r>
      <t xml:space="preserve">Axial compression resistance factor for steel portion of concrete filled steel pipe piles, </t>
    </r>
    <r>
      <rPr>
        <sz val="10"/>
        <rFont val="Symbol"/>
        <family val="1"/>
        <charset val="2"/>
      </rPr>
      <t>f</t>
    </r>
    <r>
      <rPr>
        <vertAlign val="subscript"/>
        <sz val="10"/>
        <rFont val="Arial"/>
        <family val="2"/>
      </rPr>
      <t>s</t>
    </r>
  </si>
  <si>
    <r>
      <t xml:space="preserve">Axial compression resistance factor for combined pile forces (less potential for damage), </t>
    </r>
    <r>
      <rPr>
        <sz val="10"/>
        <rFont val="Symbol"/>
        <family val="1"/>
        <charset val="2"/>
      </rPr>
      <t>f</t>
    </r>
    <r>
      <rPr>
        <vertAlign val="subscript"/>
        <sz val="10"/>
        <rFont val="Arial"/>
        <family val="2"/>
      </rPr>
      <t>c</t>
    </r>
  </si>
  <si>
    <r>
      <t xml:space="preserve">Flexural resistance factor for combined pile forces (less potential for damage), </t>
    </r>
    <r>
      <rPr>
        <sz val="10"/>
        <rFont val="Symbol"/>
        <family val="1"/>
        <charset val="2"/>
      </rPr>
      <t>f</t>
    </r>
    <r>
      <rPr>
        <vertAlign val="subscript"/>
        <sz val="10"/>
        <rFont val="Arial"/>
        <family val="2"/>
      </rPr>
      <t>f</t>
    </r>
  </si>
  <si>
    <t>in (Design Flood)</t>
  </si>
  <si>
    <t>k-ft (Design Flood)</t>
  </si>
  <si>
    <t>in (Superflood)</t>
  </si>
  <si>
    <t>k-ft (Superflood)</t>
  </si>
  <si>
    <t>Post-Scour Analysis</t>
  </si>
  <si>
    <r>
      <t xml:space="preserve">Per AASHTO and DM-4 2.6.4.4.2, scour at bridge foundations is investigated for two conditions: design flood for scour and check flood for scour. Per DM-4 3.7.5, the scour design flood shall be considered at the strength and service limit states and the check flood for scour (superflood) shall be considered at the Service I limit state. Since the strength limit state pile loads were previously calculated, the service I limit state pile loads are calculated below. Only PHL-93 live loads are considered for the service I limit state. The </t>
    </r>
    <r>
      <rPr>
        <sz val="10"/>
        <rFont val="Symbol"/>
        <family val="1"/>
        <charset val="2"/>
      </rPr>
      <t>h</t>
    </r>
    <r>
      <rPr>
        <sz val="10"/>
        <rFont val="Arial"/>
        <family val="2"/>
      </rPr>
      <t xml:space="preserve"> (eta) factor is included here in the calculations.</t>
    </r>
  </si>
  <si>
    <t>Lateral Pile Analysis for Post-Scour Conditions</t>
  </si>
  <si>
    <t>Design Flood</t>
  </si>
  <si>
    <t>Superflood</t>
  </si>
  <si>
    <t>Lateral Pile Analysis Results for Post-Scour Conditions</t>
  </si>
  <si>
    <r>
      <t>Maximum bending moment, M</t>
    </r>
    <r>
      <rPr>
        <vertAlign val="subscript"/>
        <sz val="10"/>
        <rFont val="Arial"/>
        <family val="2"/>
      </rPr>
      <t>su</t>
    </r>
    <r>
      <rPr>
        <sz val="10"/>
        <rFont val="Arial"/>
        <family val="2"/>
      </rPr>
      <t>, at the pile-abutment interface at Strength Limit State</t>
    </r>
  </si>
  <si>
    <r>
      <t>Depth where Service I deflection equals 2% of pile width (or diameter), L</t>
    </r>
    <r>
      <rPr>
        <vertAlign val="subscript"/>
        <sz val="10"/>
        <rFont val="Arial"/>
        <family val="2"/>
      </rPr>
      <t>sn</t>
    </r>
    <r>
      <rPr>
        <sz val="10"/>
        <rFont val="Arial"/>
        <family val="2"/>
      </rPr>
      <t xml:space="preserve"> (friction piles only)</t>
    </r>
  </si>
  <si>
    <t>Enter results from the LPile analysis for the Strength and Service I limit state loadings (See the figures below for illustrations of the data required from the program).</t>
  </si>
  <si>
    <r>
      <t>Depth to fixity at the Service I Limit State for the Design Flood, L</t>
    </r>
    <r>
      <rPr>
        <vertAlign val="subscript"/>
        <sz val="10"/>
        <rFont val="Arial"/>
        <family val="2"/>
      </rPr>
      <t>sc</t>
    </r>
    <r>
      <rPr>
        <sz val="10"/>
        <rFont val="Arial"/>
        <family val="2"/>
      </rPr>
      <t xml:space="preserve"> =</t>
    </r>
  </si>
  <si>
    <r>
      <t>Depth to fixity at the Strength Limit State for the Design Flood, L</t>
    </r>
    <r>
      <rPr>
        <vertAlign val="subscript"/>
        <sz val="10"/>
        <rFont val="Arial"/>
        <family val="2"/>
      </rPr>
      <t>sc</t>
    </r>
    <r>
      <rPr>
        <sz val="10"/>
        <rFont val="Arial"/>
        <family val="2"/>
      </rPr>
      <t xml:space="preserve"> =</t>
    </r>
  </si>
  <si>
    <r>
      <t>Depth to fixity at the Service I Limit State for the Superflood, L</t>
    </r>
    <r>
      <rPr>
        <vertAlign val="subscript"/>
        <sz val="10"/>
        <rFont val="Arial"/>
        <family val="2"/>
      </rPr>
      <t>sc</t>
    </r>
    <r>
      <rPr>
        <sz val="10"/>
        <rFont val="Arial"/>
        <family val="2"/>
      </rPr>
      <t xml:space="preserve"> =</t>
    </r>
  </si>
  <si>
    <t>The pile length for buckling is taken as the length from the bottom of the abutment to the point of assumed fixity.  The end conditions of this length of pile are assumed to be fixed-fixed resulting in an effective length factor, K, of 0.65.</t>
  </si>
  <si>
    <t xml:space="preserve">DM-4 Appendix G Table 1.2.7.6-1 - Load Combinations for Integral Abutments </t>
  </si>
  <si>
    <t>For Information Only</t>
  </si>
  <si>
    <t>Full Pile Section and Dimensions with Fy = 36 ksi</t>
  </si>
  <si>
    <t>Pile Section and Dimensions with 1/16" Section Loss, Fy = 36 ksi</t>
  </si>
  <si>
    <t>Full Pile Section and Dimensions with Fy = 50 ksi</t>
  </si>
  <si>
    <t>Pile Section and Dimensions with 1/16" Section Loss, Fy = 50 ksi</t>
  </si>
  <si>
    <t xml:space="preserve">The pile length for buckling is taken as the length from the bottom of the abutment to the point of assumed fixity.  The end conditions of this length of pile are assumed to be fixed-fixed resulting in an effective length factor, K, of 0.65. </t>
  </si>
  <si>
    <t>Flange</t>
  </si>
  <si>
    <t>Qs</t>
  </si>
  <si>
    <t>Post-Scour Pile Analysis Results</t>
  </si>
  <si>
    <t>Post-Scour Pile Capacity Analysis for the Superflood at the Service I Limit State</t>
  </si>
  <si>
    <t>Post-Scour Geotechnical Pile Capacity Analysis for the Design Flood at the Strength Limit State</t>
  </si>
  <si>
    <t>Post-Scour Pile Capacity Analysis for the Design Flood at the Strength Limit State</t>
  </si>
  <si>
    <t>Post-Scour Pile Capacity Analysis for the Design Flood at the Service I Limit State</t>
  </si>
  <si>
    <t>Negative Plastic moment (if req'd)</t>
  </si>
  <si>
    <t>Live load reaction distribution factor</t>
  </si>
  <si>
    <t>Live load rotation distribution factor</t>
  </si>
  <si>
    <t xml:space="preserve"> girder design program.  Both the interior and exterior noncomposite girder design dead loads are required input, although if only the controlling value is known, it can be conservatively used for both.  The remaining composite dead loads should be the same whether they come from an interior or exterior girder design.  The maximum and minimum unfactored live loads, with impact and distribution factors included, are also required input.  The reaction and rotation distribution factors are required as well, so that they can be divided out to get the reaction and rotation per traffic lane, respectively.  These values are available directly from the PennDOT beam design programs.  Either the exterior or interior girder design can be used for the live load values, as long as all the values (reactions, rotations, and distribution factors) come from the same girder design.  Additional loads are calculated later.</t>
  </si>
  <si>
    <t>Dead Load Reactions - Unfactored:</t>
  </si>
  <si>
    <t>Live Load Reactions - Unfactored - distribution factor removed - reaction due to live load on one traffic lane:</t>
  </si>
  <si>
    <t>Severe</t>
  </si>
  <si>
    <t>Driving</t>
  </si>
  <si>
    <t>Good</t>
  </si>
  <si>
    <t>Soluble</t>
  </si>
  <si>
    <t>Rock</t>
  </si>
  <si>
    <t>Old Criteria</t>
  </si>
  <si>
    <t>Current Criteria</t>
  </si>
  <si>
    <t>Fy</t>
  </si>
  <si>
    <t>0.25AsFy</t>
  </si>
  <si>
    <t>0.35AsFy</t>
  </si>
  <si>
    <t>0.45AsFy</t>
  </si>
  <si>
    <t>0.379*0.66AsFy</t>
  </si>
  <si>
    <t>0.5*0.66AsFy</t>
  </si>
  <si>
    <t>0.6*0.66AsFy</t>
  </si>
  <si>
    <t>The rotations above are the single girder unfactored rotations.  To get the average girder rotations required for the design of integral abutments, the maximum number of traffic lanes on the bridge are loaded and the loads are assumed equally distributed to all girders.  To accomplish this using the above results from the girder design program, the rotation distribution factor is divided out to get the rotation of the full traffic lane applied to one girder.  Then, the result is multiplied by the number of lanes and divided by the number of girders in the bridge.</t>
  </si>
  <si>
    <t xml:space="preserve">Knowing the soil properties at the abutment (taken from the geotechnical report), and the properties of the piles, and using the calculated design values for maximum factored axial load, live load rotation, and thermal expansion, the computer program LPile can be used to determine the depth to pile fixity, the depth to the first inflection point of the pile, the unbraced length of the pile, the depth at which the lateral pile deflection is equal to 2% of the pile diameter (needed for friction piles only), and the maximum moment in the pile below the first point of inflection.  If a pre-augered hole, 10 ft minimum depth, filled with loose sand, is present at the top of the piles, the LPile analysis should use the properties of the weaker of either the loose sand or the actual soil for the depth of the pre-augered hole.  Pre-augered holes are not required for bridge lengths less than or equal to 100 ft per DM-4 Appendix G 1.4.2.1. </t>
  </si>
  <si>
    <t>The procedure for running LPile is as follows:
Run LPile using the top of pile boundary condition which permits a specified lateral deflection along with an applied pile head slope. Apply the maximum pile vertical axial load to the pile simultaneously with the abutment maximum thermal movement. The axial load and deflection should be input as positive. Apply the beam end rotation (positive value) due to live loads and composite dead loads to the head of the pile and run the analysis. If the absolute value of the calculated pile head moment (negative moment) is less than the plastic moment, the analysis is complete. When this condition is not met, change the pile head loading from slope to moment and apply the negative plastic moment (in lieu of the beam end rotation) to the pile head and rerun to complete the analysis.</t>
  </si>
  <si>
    <t>Design rotation (beam end)</t>
  </si>
  <si>
    <r>
      <t xml:space="preserve">Axial compression resistance factor for pile tip (potentially damaged), </t>
    </r>
    <r>
      <rPr>
        <sz val="10"/>
        <rFont val="Symbol"/>
        <family val="1"/>
        <charset val="2"/>
      </rPr>
      <t>f</t>
    </r>
    <r>
      <rPr>
        <vertAlign val="subscript"/>
        <sz val="10"/>
        <rFont val="Arial"/>
        <family val="2"/>
      </rPr>
      <t>c</t>
    </r>
  </si>
  <si>
    <r>
      <t xml:space="preserve">Axial compression only, </t>
    </r>
    <r>
      <rPr>
        <sz val="10"/>
        <rFont val="Symbol"/>
        <family val="1"/>
        <charset val="2"/>
      </rPr>
      <t>f</t>
    </r>
    <r>
      <rPr>
        <vertAlign val="subscript"/>
        <sz val="10"/>
        <rFont val="Arial"/>
        <family val="2"/>
      </rPr>
      <t>s</t>
    </r>
  </si>
  <si>
    <t>per AASHTO 6.5.4.2</t>
  </si>
  <si>
    <t>The compressive resistance of the concrete filled pipe pile section is calculated in accordance with DM-4 5.13.4.7.1P.</t>
  </si>
  <si>
    <r>
      <t>Factored axial compressive resistance, P</t>
    </r>
    <r>
      <rPr>
        <vertAlign val="subscript"/>
        <sz val="10"/>
        <rFont val="Arial"/>
        <family val="2"/>
      </rPr>
      <t>r</t>
    </r>
    <r>
      <rPr>
        <sz val="10"/>
        <rFont val="Arial"/>
        <family val="2"/>
      </rPr>
      <t xml:space="preserve"> = </t>
    </r>
    <r>
      <rPr>
        <sz val="10"/>
        <rFont val="Symbol"/>
        <family val="1"/>
        <charset val="2"/>
      </rPr>
      <t>f</t>
    </r>
    <r>
      <rPr>
        <vertAlign val="subscript"/>
        <sz val="10"/>
        <rFont val="Arial"/>
        <family val="2"/>
      </rPr>
      <t>s</t>
    </r>
    <r>
      <rPr>
        <sz val="10"/>
        <rFont val="Arial"/>
        <family val="2"/>
      </rPr>
      <t>A</t>
    </r>
    <r>
      <rPr>
        <vertAlign val="subscript"/>
        <sz val="10"/>
        <rFont val="Arial"/>
        <family val="2"/>
      </rPr>
      <t>st</t>
    </r>
    <r>
      <rPr>
        <sz val="10"/>
        <rFont val="Arial"/>
        <family val="2"/>
      </rPr>
      <t>F</t>
    </r>
    <r>
      <rPr>
        <vertAlign val="subscript"/>
        <sz val="10"/>
        <rFont val="Arial"/>
        <family val="2"/>
      </rPr>
      <t>y</t>
    </r>
    <r>
      <rPr>
        <sz val="10"/>
        <rFont val="Arial"/>
        <family val="2"/>
      </rPr>
      <t xml:space="preserve"> + </t>
    </r>
    <r>
      <rPr>
        <sz val="10"/>
        <rFont val="Symbol"/>
        <family val="1"/>
        <charset val="2"/>
      </rPr>
      <t>f</t>
    </r>
    <r>
      <rPr>
        <vertAlign val="subscript"/>
        <sz val="10"/>
        <rFont val="Arial"/>
        <family val="2"/>
      </rPr>
      <t>c</t>
    </r>
    <r>
      <rPr>
        <sz val="10"/>
        <rFont val="Arial"/>
        <family val="2"/>
      </rPr>
      <t>0.85f'</t>
    </r>
    <r>
      <rPr>
        <vertAlign val="subscript"/>
        <sz val="10"/>
        <rFont val="Arial"/>
        <family val="2"/>
      </rPr>
      <t>c</t>
    </r>
    <r>
      <rPr>
        <sz val="10"/>
        <rFont val="Arial"/>
        <family val="2"/>
      </rPr>
      <t>A</t>
    </r>
    <r>
      <rPr>
        <vertAlign val="subscript"/>
        <sz val="10"/>
        <rFont val="Arial"/>
        <family val="2"/>
      </rPr>
      <t>gc</t>
    </r>
  </si>
  <si>
    <t>Approach slab length</t>
  </si>
  <si>
    <r>
      <t>A</t>
    </r>
    <r>
      <rPr>
        <vertAlign val="subscript"/>
        <sz val="10"/>
        <rFont val="Arial"/>
        <family val="2"/>
      </rPr>
      <t>st</t>
    </r>
    <r>
      <rPr>
        <sz val="10"/>
        <rFont val="Arial"/>
        <family val="2"/>
      </rPr>
      <t xml:space="preserve"> =</t>
    </r>
    <r>
      <rPr>
        <sz val="11"/>
        <color theme="1"/>
        <rFont val="Calibri"/>
        <family val="2"/>
        <scheme val="minor"/>
      </rPr>
      <t/>
    </r>
  </si>
  <si>
    <r>
      <t>A</t>
    </r>
    <r>
      <rPr>
        <vertAlign val="subscript"/>
        <sz val="10"/>
        <rFont val="Arial"/>
        <family val="2"/>
      </rPr>
      <t>gc</t>
    </r>
    <r>
      <rPr>
        <sz val="10"/>
        <rFont val="Arial"/>
        <family val="2"/>
      </rPr>
      <t xml:space="preserve"> =</t>
    </r>
    <r>
      <rPr>
        <sz val="11"/>
        <color theme="1"/>
        <rFont val="Calibri"/>
        <family val="2"/>
        <scheme val="minor"/>
      </rPr>
      <t/>
    </r>
  </si>
  <si>
    <r>
      <t>Gross cross-sectional area of concrete, A</t>
    </r>
    <r>
      <rPr>
        <vertAlign val="subscript"/>
        <sz val="10"/>
        <rFont val="Arial"/>
        <family val="2"/>
      </rPr>
      <t>gc</t>
    </r>
    <r>
      <rPr>
        <sz val="10"/>
        <rFont val="Arial"/>
        <family val="2"/>
      </rPr>
      <t xml:space="preserve"> = </t>
    </r>
    <r>
      <rPr>
        <sz val="10"/>
        <rFont val="Mathcad UniMath"/>
        <family val="3"/>
      </rPr>
      <t>π</t>
    </r>
    <r>
      <rPr>
        <sz val="10"/>
        <rFont val="Arial"/>
        <family val="2"/>
      </rPr>
      <t>(D</t>
    </r>
    <r>
      <rPr>
        <vertAlign val="subscript"/>
        <sz val="10"/>
        <rFont val="Arial"/>
        <family val="2"/>
      </rPr>
      <t xml:space="preserve">o </t>
    </r>
    <r>
      <rPr>
        <sz val="10"/>
        <rFont val="Arial"/>
        <family val="2"/>
      </rPr>
      <t>- 2t</t>
    </r>
    <r>
      <rPr>
        <vertAlign val="subscript"/>
        <sz val="10"/>
        <rFont val="Arial"/>
        <family val="2"/>
      </rPr>
      <t>p</t>
    </r>
    <r>
      <rPr>
        <sz val="10"/>
        <rFont val="Arial"/>
        <family val="2"/>
      </rPr>
      <t>)</t>
    </r>
    <r>
      <rPr>
        <vertAlign val="superscript"/>
        <sz val="10"/>
        <rFont val="Arial"/>
        <family val="2"/>
      </rPr>
      <t>2</t>
    </r>
    <r>
      <rPr>
        <sz val="10"/>
        <rFont val="Arial"/>
        <family val="2"/>
      </rPr>
      <t>/4</t>
    </r>
  </si>
  <si>
    <r>
      <t>Area of steel, A</t>
    </r>
    <r>
      <rPr>
        <vertAlign val="subscript"/>
        <sz val="10"/>
        <rFont val="Arial"/>
        <family val="2"/>
      </rPr>
      <t>st</t>
    </r>
    <r>
      <rPr>
        <sz val="10"/>
        <rFont val="Arial"/>
        <family val="2"/>
      </rPr>
      <t xml:space="preserve"> = </t>
    </r>
    <r>
      <rPr>
        <sz val="10"/>
        <rFont val="Mathcad UniMath"/>
        <family val="3"/>
      </rPr>
      <t>π</t>
    </r>
    <r>
      <rPr>
        <sz val="10"/>
        <rFont val="Arial"/>
        <family val="2"/>
      </rPr>
      <t>[D</t>
    </r>
    <r>
      <rPr>
        <vertAlign val="subscript"/>
        <sz val="10"/>
        <rFont val="Arial"/>
        <family val="2"/>
      </rPr>
      <t>o</t>
    </r>
    <r>
      <rPr>
        <vertAlign val="superscript"/>
        <sz val="10"/>
        <rFont val="Arial"/>
        <family val="2"/>
      </rPr>
      <t>2</t>
    </r>
    <r>
      <rPr>
        <sz val="10"/>
        <rFont val="Arial"/>
        <family val="2"/>
      </rPr>
      <t xml:space="preserve"> - (D</t>
    </r>
    <r>
      <rPr>
        <vertAlign val="subscript"/>
        <sz val="10"/>
        <rFont val="Arial"/>
        <family val="2"/>
      </rPr>
      <t>o</t>
    </r>
    <r>
      <rPr>
        <sz val="10"/>
        <rFont val="Arial"/>
        <family val="2"/>
      </rPr>
      <t xml:space="preserve"> - 2t</t>
    </r>
    <r>
      <rPr>
        <vertAlign val="subscript"/>
        <sz val="10"/>
        <rFont val="Arial"/>
        <family val="2"/>
      </rPr>
      <t>p</t>
    </r>
    <r>
      <rPr>
        <sz val="10"/>
        <rFont val="Arial"/>
        <family val="2"/>
      </rPr>
      <t>)</t>
    </r>
    <r>
      <rPr>
        <vertAlign val="superscript"/>
        <sz val="10"/>
        <rFont val="Arial"/>
        <family val="2"/>
      </rPr>
      <t>2</t>
    </r>
    <r>
      <rPr>
        <sz val="10"/>
        <rFont val="Arial"/>
        <family val="2"/>
      </rPr>
      <t>]/4</t>
    </r>
  </si>
  <si>
    <t>The compressive resistance of the pipe pile section is calculated in accordance with AASHTO 6.9.5 and DM-4 5.13.4.7.1P.</t>
  </si>
  <si>
    <r>
      <t>Factored compressive resistance, P</t>
    </r>
    <r>
      <rPr>
        <vertAlign val="subscript"/>
        <sz val="10"/>
        <rFont val="Arial"/>
        <family val="2"/>
      </rPr>
      <t>r</t>
    </r>
    <r>
      <rPr>
        <sz val="10"/>
        <rFont val="Arial"/>
        <family val="2"/>
      </rPr>
      <t xml:space="preserve"> = </t>
    </r>
    <r>
      <rPr>
        <sz val="10"/>
        <rFont val="Symbol"/>
        <family val="1"/>
        <charset val="2"/>
      </rPr>
      <t>f</t>
    </r>
    <r>
      <rPr>
        <sz val="10"/>
        <rFont val="Arial"/>
        <family val="2"/>
      </rPr>
      <t>P</t>
    </r>
    <r>
      <rPr>
        <vertAlign val="subscript"/>
        <sz val="10"/>
        <rFont val="Arial"/>
        <family val="2"/>
      </rPr>
      <t>n</t>
    </r>
    <r>
      <rPr>
        <sz val="10"/>
        <rFont val="Arial"/>
        <family val="2"/>
      </rPr>
      <t xml:space="preserve"> </t>
    </r>
  </si>
  <si>
    <r>
      <rPr>
        <sz val="10"/>
        <rFont val="Arial"/>
        <family val="2"/>
      </rPr>
      <t>(F</t>
    </r>
    <r>
      <rPr>
        <vertAlign val="subscript"/>
        <sz val="10"/>
        <rFont val="Arial"/>
        <family val="2"/>
      </rPr>
      <t xml:space="preserve">y </t>
    </r>
    <r>
      <rPr>
        <sz val="10"/>
        <rFont val="Arial"/>
        <family val="2"/>
      </rPr>
      <t>/</t>
    </r>
    <r>
      <rPr>
        <vertAlign val="subscript"/>
        <sz val="10"/>
        <rFont val="Arial"/>
        <family val="2"/>
      </rPr>
      <t xml:space="preserve"> </t>
    </r>
    <r>
      <rPr>
        <sz val="10"/>
        <rFont val="Arial"/>
        <family val="2"/>
      </rPr>
      <t>E)</t>
    </r>
    <r>
      <rPr>
        <vertAlign val="superscript"/>
        <sz val="10"/>
        <rFont val="Arial"/>
        <family val="2"/>
      </rPr>
      <t>1/2</t>
    </r>
  </si>
  <si>
    <r>
      <t>Strength Limit State</t>
    </r>
    <r>
      <rPr>
        <sz val="10"/>
        <rFont val="Arial"/>
        <family val="2"/>
      </rPr>
      <t xml:space="preserve"> </t>
    </r>
  </si>
  <si>
    <t>.  The length of pile above this point is considered ineffective in the design of friction piles.  If the pile is driven through an embankment fill which is to be neglected in calculating pile friction resistance, input the depth of fill.  This value is not required for point bearing or end bearing piles.</t>
  </si>
  <si>
    <t xml:space="preserve">The compressive resistance of the steel H-piles is determined in accordance with AASHTO 6.9.4.1. Prior to calculating the nominal compressive resistance of the pile section, the width-to-thickness ratios of the flanges and web are checked to determine if the plates are slender per AASHTO 6.9.4.2.1. </t>
  </si>
  <si>
    <t>For the axial load only check, the compressive resistance for braced piles is calculated in accordance with DM-4 6.15.3 with the slender element reduction factor, Q, taken as 1.0.</t>
  </si>
  <si>
    <r>
      <t>Nominal Compressive Resistance, P</t>
    </r>
    <r>
      <rPr>
        <vertAlign val="subscript"/>
        <sz val="10"/>
        <rFont val="Arial"/>
        <family val="2"/>
      </rPr>
      <t>n</t>
    </r>
    <r>
      <rPr>
        <sz val="10"/>
        <rFont val="Arial"/>
        <family val="2"/>
      </rPr>
      <t xml:space="preserve"> = </t>
    </r>
    <r>
      <rPr>
        <sz val="10"/>
        <rFont val="Arial"/>
        <family val="2"/>
      </rPr>
      <t>0.66F</t>
    </r>
    <r>
      <rPr>
        <vertAlign val="subscript"/>
        <sz val="10"/>
        <rFont val="Arial"/>
        <family val="2"/>
      </rPr>
      <t>y</t>
    </r>
    <r>
      <rPr>
        <sz val="10"/>
        <rFont val="Arial"/>
        <family val="2"/>
      </rPr>
      <t>A</t>
    </r>
    <r>
      <rPr>
        <vertAlign val="subscript"/>
        <sz val="10"/>
        <rFont val="Arial"/>
        <family val="2"/>
      </rPr>
      <t>g</t>
    </r>
    <r>
      <rPr>
        <sz val="10"/>
        <rFont val="Arial"/>
        <family val="2"/>
      </rPr>
      <t xml:space="preserve"> per DM-4 6.15.3</t>
    </r>
  </si>
  <si>
    <t>For the check of axial capacity, the entire axial load is considered for point bearing or end bearing piles.  For friction piles, the load at the pile tip is assumed to be the total pile load minus 50% of the factored friction resistance of the pile.</t>
  </si>
  <si>
    <r>
      <t>Elastic Critical Buckling Resistance, P</t>
    </r>
    <r>
      <rPr>
        <vertAlign val="subscript"/>
        <sz val="10"/>
        <rFont val="Arial"/>
        <family val="2"/>
      </rPr>
      <t>e</t>
    </r>
    <r>
      <rPr>
        <sz val="10"/>
        <rFont val="Arial"/>
        <family val="2"/>
      </rPr>
      <t xml:space="preserve"> = </t>
    </r>
    <r>
      <rPr>
        <sz val="10"/>
        <rFont val="Mathcad UniMath"/>
        <family val="3"/>
      </rPr>
      <t>π</t>
    </r>
    <r>
      <rPr>
        <vertAlign val="superscript"/>
        <sz val="10"/>
        <rFont val="Arial"/>
        <family val="2"/>
      </rPr>
      <t>2</t>
    </r>
    <r>
      <rPr>
        <sz val="10"/>
        <rFont val="Arial"/>
        <family val="2"/>
      </rPr>
      <t>EA</t>
    </r>
    <r>
      <rPr>
        <vertAlign val="subscript"/>
        <sz val="10"/>
        <rFont val="Arial"/>
        <family val="2"/>
      </rPr>
      <t>g</t>
    </r>
    <r>
      <rPr>
        <sz val="10"/>
        <rFont val="Arial"/>
        <family val="2"/>
      </rPr>
      <t>/(Kl/r)</t>
    </r>
    <r>
      <rPr>
        <vertAlign val="superscript"/>
        <sz val="10"/>
        <rFont val="Arial"/>
        <family val="2"/>
      </rPr>
      <t>2</t>
    </r>
    <r>
      <rPr>
        <sz val="10"/>
        <rFont val="Arial"/>
        <family val="2"/>
      </rPr>
      <t xml:space="preserve"> per AASHTO Eq. 6.9.4.1.2-1, Note A</t>
    </r>
    <r>
      <rPr>
        <vertAlign val="subscript"/>
        <sz val="10"/>
        <rFont val="Arial"/>
        <family val="2"/>
      </rPr>
      <t>g</t>
    </r>
    <r>
      <rPr>
        <sz val="10"/>
        <rFont val="Arial"/>
        <family val="2"/>
      </rPr>
      <t xml:space="preserve"> = A</t>
    </r>
    <r>
      <rPr>
        <vertAlign val="subscript"/>
        <sz val="10"/>
        <rFont val="Arial"/>
        <family val="2"/>
      </rPr>
      <t>s</t>
    </r>
  </si>
  <si>
    <r>
      <t>Equivalent Nominal Yield Resistance, P</t>
    </r>
    <r>
      <rPr>
        <vertAlign val="subscript"/>
        <sz val="10"/>
        <rFont val="Arial"/>
        <family val="2"/>
      </rPr>
      <t>o</t>
    </r>
    <r>
      <rPr>
        <sz val="10"/>
        <rFont val="Arial"/>
        <family val="2"/>
      </rPr>
      <t xml:space="preserve"> = QF</t>
    </r>
    <r>
      <rPr>
        <vertAlign val="subscript"/>
        <sz val="10"/>
        <rFont val="Arial"/>
        <family val="2"/>
      </rPr>
      <t>y</t>
    </r>
    <r>
      <rPr>
        <sz val="10"/>
        <rFont val="Arial"/>
        <family val="2"/>
      </rPr>
      <t>A</t>
    </r>
    <r>
      <rPr>
        <vertAlign val="subscript"/>
        <sz val="10"/>
        <rFont val="Arial"/>
        <family val="2"/>
      </rPr>
      <t>g</t>
    </r>
    <r>
      <rPr>
        <sz val="10"/>
        <rFont val="Arial"/>
        <family val="2"/>
      </rPr>
      <t xml:space="preserve"> per AASHTO 6.9.4.1.1, Note A</t>
    </r>
    <r>
      <rPr>
        <vertAlign val="subscript"/>
        <sz val="10"/>
        <rFont val="Arial"/>
        <family val="2"/>
      </rPr>
      <t>g</t>
    </r>
    <r>
      <rPr>
        <sz val="10"/>
        <rFont val="Arial"/>
        <family val="2"/>
      </rPr>
      <t xml:space="preserve"> = A</t>
    </r>
    <r>
      <rPr>
        <vertAlign val="subscript"/>
        <sz val="10"/>
        <rFont val="Arial"/>
        <family val="2"/>
      </rPr>
      <t>s</t>
    </r>
  </si>
  <si>
    <t>The factored axial compressive resistance of braced concrete filled steel pipe piles is calculated below in accordance with DM-4 5.13.4.7.1P using DM-4 Equation 5.13.4.7.1P-1.</t>
  </si>
  <si>
    <r>
      <t>Nominal Compressive Resistance, P</t>
    </r>
    <r>
      <rPr>
        <vertAlign val="subscript"/>
        <sz val="10"/>
        <rFont val="Arial"/>
        <family val="2"/>
      </rPr>
      <t>n</t>
    </r>
    <r>
      <rPr>
        <sz val="10"/>
        <rFont val="Arial"/>
        <family val="2"/>
      </rPr>
      <t xml:space="preserve"> = [0.658</t>
    </r>
    <r>
      <rPr>
        <vertAlign val="superscript"/>
        <sz val="10"/>
        <rFont val="Arial"/>
        <family val="2"/>
      </rPr>
      <t>(Po/Pe)</t>
    </r>
    <r>
      <rPr>
        <sz val="10"/>
        <rFont val="Arial"/>
        <family val="2"/>
      </rPr>
      <t>]P</t>
    </r>
    <r>
      <rPr>
        <vertAlign val="subscript"/>
        <sz val="10"/>
        <rFont val="Arial"/>
        <family val="2"/>
      </rPr>
      <t>o</t>
    </r>
    <r>
      <rPr>
        <sz val="10"/>
        <rFont val="Arial"/>
        <family val="2"/>
      </rPr>
      <t xml:space="preserve"> and shall not exceed 0.66F</t>
    </r>
    <r>
      <rPr>
        <vertAlign val="subscript"/>
        <sz val="10"/>
        <rFont val="Arial"/>
        <family val="2"/>
      </rPr>
      <t>y</t>
    </r>
    <r>
      <rPr>
        <sz val="10"/>
        <rFont val="Arial"/>
        <family val="2"/>
      </rPr>
      <t>A</t>
    </r>
    <r>
      <rPr>
        <vertAlign val="subscript"/>
        <sz val="10"/>
        <rFont val="Arial"/>
        <family val="2"/>
      </rPr>
      <t>g</t>
    </r>
    <r>
      <rPr>
        <sz val="10"/>
        <rFont val="Arial"/>
        <family val="2"/>
      </rPr>
      <t xml:space="preserve"> per DM-4 6.15.3</t>
    </r>
  </si>
  <si>
    <r>
      <t>Nominal Compressive Resistance, P</t>
    </r>
    <r>
      <rPr>
        <vertAlign val="subscript"/>
        <sz val="10"/>
        <rFont val="Arial"/>
        <family val="2"/>
      </rPr>
      <t>n</t>
    </r>
    <r>
      <rPr>
        <sz val="10"/>
        <rFont val="Arial"/>
        <family val="2"/>
      </rPr>
      <t xml:space="preserve"> = 0.877P</t>
    </r>
    <r>
      <rPr>
        <vertAlign val="subscript"/>
        <sz val="10"/>
        <rFont val="Arial"/>
        <family val="2"/>
      </rPr>
      <t>e</t>
    </r>
    <r>
      <rPr>
        <sz val="10"/>
        <rFont val="Arial"/>
        <family val="2"/>
      </rPr>
      <t xml:space="preserve"> and shall not exceed 0.66F</t>
    </r>
    <r>
      <rPr>
        <vertAlign val="subscript"/>
        <sz val="10"/>
        <rFont val="Arial"/>
        <family val="2"/>
      </rPr>
      <t>y</t>
    </r>
    <r>
      <rPr>
        <sz val="10"/>
        <rFont val="Arial"/>
        <family val="2"/>
      </rPr>
      <t>A</t>
    </r>
    <r>
      <rPr>
        <vertAlign val="subscript"/>
        <sz val="10"/>
        <rFont val="Arial"/>
        <family val="2"/>
      </rPr>
      <t>g</t>
    </r>
    <r>
      <rPr>
        <sz val="10"/>
        <rFont val="Arial"/>
        <family val="2"/>
      </rPr>
      <t xml:space="preserve"> per DM-4 6.15.3</t>
    </r>
  </si>
  <si>
    <t>Based on full pile section propoerties. Q = 1.0 based on DM-4 6.15.3</t>
  </si>
  <si>
    <r>
      <t>The factored compressive resistance shall not exceed P</t>
    </r>
    <r>
      <rPr>
        <vertAlign val="subscript"/>
        <sz val="10"/>
        <rFont val="Arial"/>
        <family val="2"/>
      </rPr>
      <t>r</t>
    </r>
    <r>
      <rPr>
        <sz val="10"/>
        <rFont val="Arial"/>
        <family val="2"/>
      </rPr>
      <t xml:space="preserve"> = </t>
    </r>
    <r>
      <rPr>
        <sz val="10"/>
        <rFont val="Symbol"/>
        <family val="1"/>
        <charset val="2"/>
      </rPr>
      <t>f</t>
    </r>
    <r>
      <rPr>
        <vertAlign val="subscript"/>
        <sz val="10"/>
        <rFont val="Arial"/>
        <family val="2"/>
      </rPr>
      <t>s</t>
    </r>
    <r>
      <rPr>
        <sz val="10"/>
        <rFont val="Arial"/>
        <family val="2"/>
      </rPr>
      <t>A</t>
    </r>
    <r>
      <rPr>
        <vertAlign val="subscript"/>
        <sz val="10"/>
        <rFont val="Arial"/>
        <family val="2"/>
      </rPr>
      <t>st</t>
    </r>
    <r>
      <rPr>
        <sz val="10"/>
        <rFont val="Arial"/>
        <family val="2"/>
      </rPr>
      <t>F</t>
    </r>
    <r>
      <rPr>
        <vertAlign val="subscript"/>
        <sz val="10"/>
        <rFont val="Arial"/>
        <family val="2"/>
      </rPr>
      <t>y</t>
    </r>
    <r>
      <rPr>
        <sz val="10"/>
        <rFont val="Arial"/>
        <family val="2"/>
      </rPr>
      <t xml:space="preserve"> + </t>
    </r>
    <r>
      <rPr>
        <sz val="10"/>
        <rFont val="Symbol"/>
        <family val="1"/>
        <charset val="2"/>
      </rPr>
      <t>f</t>
    </r>
    <r>
      <rPr>
        <vertAlign val="subscript"/>
        <sz val="10"/>
        <rFont val="Arial"/>
        <family val="2"/>
      </rPr>
      <t>c</t>
    </r>
    <r>
      <rPr>
        <sz val="10"/>
        <rFont val="Arial"/>
        <family val="2"/>
      </rPr>
      <t>0.85f'</t>
    </r>
    <r>
      <rPr>
        <vertAlign val="subscript"/>
        <sz val="10"/>
        <rFont val="Arial"/>
        <family val="2"/>
      </rPr>
      <t>c</t>
    </r>
    <r>
      <rPr>
        <sz val="10"/>
        <rFont val="Arial"/>
        <family val="2"/>
      </rPr>
      <t>A</t>
    </r>
    <r>
      <rPr>
        <vertAlign val="subscript"/>
        <sz val="10"/>
        <rFont val="Arial"/>
        <family val="2"/>
      </rPr>
      <t>gc</t>
    </r>
  </si>
  <si>
    <t>HP14x117R</t>
  </si>
  <si>
    <t>HP14x102R</t>
  </si>
  <si>
    <t>HP14x89R</t>
  </si>
  <si>
    <t>HP14x73R</t>
  </si>
  <si>
    <t>HP12x84R</t>
  </si>
  <si>
    <t>HP12x74R</t>
  </si>
  <si>
    <t>HP12x63R</t>
  </si>
  <si>
    <t>HP12x53R</t>
  </si>
  <si>
    <t>HP10x57R</t>
  </si>
  <si>
    <t>HP10x42R</t>
  </si>
  <si>
    <t>HP8x36R</t>
  </si>
  <si>
    <t>The pile length for buckling is taken as the length from the bottom of the abutment to the point of assumed fixity. The end conditions of this length of pile are assumed to be fixed-fixed resulting in an effective length factor, K, of 0.65.</t>
  </si>
  <si>
    <t>For Approach Slab Length Limitations, see the Minimum Approach Slab Length Table on Standard Drawing BD-667M.</t>
  </si>
  <si>
    <t>Choose a trial pile section at this point.  The pile dimensions are needed for the pile location check.  The pile moment of inertia is used to calculate the thermally induced forces in the piles.  The pile properties are also required to run the LPile computer program.  Two types of piles are permitted for integral abutments, steel H-piles or concrete filled pipe piles. Note: Reduced pile section properties are based on 1/16" section loss in accordance with DM-4 10.7.5.2P.</t>
  </si>
  <si>
    <r>
      <rPr>
        <sz val="10"/>
        <rFont val="Symbol"/>
        <family val="1"/>
        <charset val="2"/>
      </rPr>
      <t>l</t>
    </r>
    <r>
      <rPr>
        <vertAlign val="subscript"/>
        <sz val="10"/>
        <rFont val="Arial"/>
        <family val="2"/>
      </rPr>
      <t>f</t>
    </r>
  </si>
  <si>
    <r>
      <rPr>
        <sz val="10"/>
        <rFont val="Symbol"/>
        <family val="1"/>
        <charset val="2"/>
      </rPr>
      <t>l</t>
    </r>
    <r>
      <rPr>
        <vertAlign val="subscript"/>
        <sz val="10"/>
        <rFont val="Arial"/>
        <family val="2"/>
      </rPr>
      <t>pf</t>
    </r>
  </si>
  <si>
    <r>
      <rPr>
        <sz val="10"/>
        <rFont val="Symbol"/>
        <family val="1"/>
        <charset val="2"/>
      </rPr>
      <t>l</t>
    </r>
    <r>
      <rPr>
        <vertAlign val="subscript"/>
        <sz val="10"/>
        <rFont val="Arial"/>
        <family val="2"/>
      </rPr>
      <t>rf</t>
    </r>
  </si>
  <si>
    <t>Compact Check - Flange</t>
  </si>
  <si>
    <t>Comp?</t>
  </si>
  <si>
    <t>NonC?</t>
  </si>
  <si>
    <t>Compact</t>
  </si>
  <si>
    <t>Non Compact</t>
  </si>
  <si>
    <t>Q</t>
  </si>
  <si>
    <t>The flexural resistance of the steel H-piles is determined in accordance with AASHTO 6.12.2.2.1. The flexural resistance is dependent on whether the flange is compact or noncompact and considers the unbraced length of the pile.</t>
  </si>
  <si>
    <t>Barrier height - typically 3.50 ft</t>
  </si>
  <si>
    <t>Barrier (+ additional miscellaneous dead) load</t>
  </si>
  <si>
    <t>The curb-to-curb roadway width, the sum of clear sidewalk widths, and the out-to-out superstructure widths are required input.  Warnings will be supplied if these values plus conservative estimates of Barrier widths are not consistent.  It is the users responsibility to make sure these values are correct, however.  The roadway and sidewalk widths are used in calculating live load reactions.  The out-to-out superstructure width is used to determine both loadings and the length of the integral abutment.</t>
  </si>
  <si>
    <t>Per AASHTO 3.6.1.1.1, the maximum number of lanes with sidewalks is determined by dividing the width of available roadway (curb-to-curb) by the specified lane width (12 ft) and rounding down to the nearest integer.  Widths between 20 ft and 24 ft are assumed to carry two lanes, however.  Similarly, the maximum number of lanes without sidewalks is determined by taking the out-to-out width of the structure minus two assumed 1.6875 ft Barriers, dividing by the specified lane width, and rounding down to the nearest integer.  Again, widths between 20 ft and 24 ft are assumed to carry two lanes.</t>
  </si>
  <si>
    <t>Barrier height</t>
  </si>
  <si>
    <t>Total superstructure depth for wind analysis = top of Barrier to bottom of girder</t>
  </si>
  <si>
    <t>The attached wingwall thickness is assumed to be the same width as the typical concrete Barrier.  An effective average thickness is assumed for the abutment extension for detached wingwalls.  To obtain the effective width, the 10 in x 12 in overlap section (see BD-667M Standard Drawing) is smeared over the length of the stub.</t>
  </si>
  <si>
    <t>Composite DC2 loads - include Barriers</t>
  </si>
  <si>
    <t>When designing integral abutments, only the girder rotations that are transferred to the piles are needed.  Most dead load rotations occur prior to pouring the end diaphragm, and therefore will not be transferred to the piles.  The exception to this is any composite dead loads such as future wearing surface or Barriers.  The extreme live load and composite dead load girder rotations are conservatively used as the design rotations for the piles.  The unfactored live load and composite dead load rotations are available from the girder design.</t>
  </si>
  <si>
    <t>Wingwalls and Barrier load</t>
  </si>
  <si>
    <t>The Barrier weight/length can be input for wingwall dead load calculations.  A typical 1' - 8 1/4" wide concrete Barrier weighs about 0.650 k/ft.  Any other miscellaneous loads can also be included in this number, but note that the value will be multiplied by the length of the wingwall plus abutment (</t>
  </si>
  <si>
    <t xml:space="preserve"> ft) times two since Barriers are assumed to be on both sides of the bridge.</t>
  </si>
  <si>
    <t>Barrier weight/length</t>
  </si>
  <si>
    <t>Total weight of wingwalls and Barriers =</t>
  </si>
  <si>
    <t>Different sheets (tabs), labeled along the bottom of the window, perform different tasks within the spreadsheet.  The first tab in the spreadsheet summarizes the input values by providing a simple list which can be printed and filled in by hand, or used to insert the input values into the Main tab.  The current tab is the Main tab where most of the analysis takes place.  The load factors for each load case are listed on the Load Factor tab.  The Cap Reinforcement tab calculates the area of reinforcement needed for the pile cap.  The Pile Data tab lists the properties of available H-pile sections, calculates the properties of concrete filled pipe piles, and lists the current pile properties for insertion into the Main tab.</t>
  </si>
  <si>
    <t xml:space="preserve">This spreadsheet is intended to be used as an aid in designing and analyzing integral abutments.  No users manual is provided, but explanations of input values are given throughout the spreadsheet.  The spreadsheet is intended to be used in conjunction with the computer program LPile or COM624P, which analyze the lateral behavior of piles, and with PennDOT's steel or prestressed concrete girder design programs.  Design Specifications for integral abutments are available in PennDOT Design Manual Part 4 (DM-4), Appendix G.  References to applicable provisions in the DM-4, as well as to the AASHTO LRFD Bridge Design Specifiction, 2010, are made.  Many dimensions for integral abutments are set forth in PennDOT's BD-667M Standard Drawings.  The spreadsheet is written in English units only.  Warning and Error messages are provided where possible.  An Error message indicates an input value is incorrect and should be changed, a Warning message flags an input value that is suspect, and the user should verify the value, or in some cases, obtain the approval of the Chief Bridge Engineer. The lateral pile analysis results from COM624P may be used where the spreadsheet calls for LPile results. </t>
  </si>
  <si>
    <t>Live Load Reactions - Unfactored from girder design program (distribution and impact factor included):</t>
  </si>
  <si>
    <t>The minimum and maximum edge distance for the end piles is measured along the skew from the centerline of the end pile to the end of the abutment per DM-4 Ap.G.1.4.2.1 and BD-667M. This criteria is intended to keep the piles close to the end of the integral abutment in order to provide support for the attached wingwalls, without getting too close to the end of the abutment.</t>
  </si>
  <si>
    <t>Three additional LPile runs must be performed; two for the design flood condition at the service I and strength limit states and one for the superflood condition at the service I limit state.  For these runs, the soil is removed down to the respective depth of scour (pile extends out of the ground).  The depth of maximum scour must be entered by the user to check the minimum pile length and is the maximum depth of scour from the design flood and superflood. The pile loading information at the strength and service I limit states for the Design Flood and Superflood are shown below.</t>
  </si>
  <si>
    <r>
      <t>Elastic Critical Buckling Resistance, P</t>
    </r>
    <r>
      <rPr>
        <vertAlign val="subscript"/>
        <sz val="10"/>
        <rFont val="Arial"/>
        <family val="2"/>
      </rPr>
      <t>e</t>
    </r>
    <r>
      <rPr>
        <sz val="10"/>
        <rFont val="Arial"/>
        <family val="2"/>
      </rPr>
      <t xml:space="preserve"> = </t>
    </r>
    <r>
      <rPr>
        <sz val="10"/>
        <rFont val="Mathcad UniMath"/>
        <family val="3"/>
      </rPr>
      <t>π</t>
    </r>
    <r>
      <rPr>
        <vertAlign val="superscript"/>
        <sz val="10"/>
        <rFont val="Arial"/>
        <family val="2"/>
      </rPr>
      <t>2</t>
    </r>
    <r>
      <rPr>
        <sz val="10"/>
        <rFont val="Arial"/>
        <family val="2"/>
      </rPr>
      <t>EA</t>
    </r>
    <r>
      <rPr>
        <vertAlign val="subscript"/>
        <sz val="10"/>
        <rFont val="Arial"/>
        <family val="2"/>
      </rPr>
      <t>g</t>
    </r>
    <r>
      <rPr>
        <sz val="10"/>
        <rFont val="Arial"/>
        <family val="2"/>
      </rPr>
      <t>/(Kl/r)</t>
    </r>
    <r>
      <rPr>
        <vertAlign val="superscript"/>
        <sz val="10"/>
        <rFont val="Arial"/>
        <family val="2"/>
      </rPr>
      <t>2</t>
    </r>
    <r>
      <rPr>
        <sz val="10"/>
        <rFont val="Arial"/>
        <family val="2"/>
      </rPr>
      <t xml:space="preserve"> per AASHTO Eq. 6.9.4.1.2-1</t>
    </r>
  </si>
  <si>
    <t>Average Wingwall length (including 1 ft chamfer)*</t>
  </si>
  <si>
    <t xml:space="preserve">Per DM-4 Ap.G.1.4.4, one of three wingwall configurations can be used: attached rectangular wingwall, attached tapered wingwall and detached wingwall. The selection of the wingwall type depends on the girder depth, the bridge skew angle and wingwall length. The wingwall length needs to accomodate the MASH-compliant barrier end transition length which varies by barrier type. A 1 ft. chamfer is provided in the interior corner of the wingwall/abutment connection (see figure).  To use the standard details on BD-667M for an attached wingwall, the wingwall length must be within the limits set forth in Tables 1 - 3 on BD-667M, Sheet 5.  </t>
  </si>
  <si>
    <t xml:space="preserve">* to use the standard details on BD-667M for an attached wingwall, the wingwall length must be within the limits set forth in Tables 1 - 3 on BD-667M, Sheet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</si>
</sst>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164" formatCode="0.0"/>
    <numFmt numFmtId="165" formatCode="0.000"/>
    <numFmt numFmtId="166" formatCode="0.0000"/>
    <numFmt numFmtId="167" formatCode="0.00000"/>
    <numFmt numFmtId="168" formatCode="###0.0E+0"/>
    <numFmt numFmtId="169" formatCode="0.0000000"/>
    <numFmt numFmtId="170" formatCode="#,##0.0"/>
    <numFmt numFmtId="171" formatCode="#\ &quot;in-lbs&quot;"/>
    <numFmt numFmtId="172" formatCode="0.000000"/>
  </numFmts>
  <fonts count="45">
    <font>
      <sz val="10"/>
      <name val="Arial"/>
    </font>
    <font>
      <sz val="11"/>
      <color theme="1"/>
      <name val="Calibri"/>
      <family val="2"/>
      <scheme val="minor"/>
    </font>
    <font>
      <sz val="10"/>
      <name val="Arial"/>
      <family val="2"/>
    </font>
    <font>
      <sz val="10"/>
      <name val="Symbol"/>
      <family val="1"/>
      <charset val="2"/>
    </font>
    <font>
      <sz val="10"/>
      <name val="Arial"/>
      <family val="2"/>
    </font>
    <font>
      <vertAlign val="subscript"/>
      <sz val="10"/>
      <name val="Arial"/>
      <family val="2"/>
    </font>
    <font>
      <vertAlign val="superscript"/>
      <sz val="10"/>
      <name val="Arial"/>
      <family val="2"/>
    </font>
    <font>
      <sz val="10"/>
      <name val="WP MathA"/>
      <charset val="2"/>
    </font>
    <font>
      <sz val="12"/>
      <name val="WP MathA"/>
      <charset val="2"/>
    </font>
    <font>
      <b/>
      <sz val="18"/>
      <name val="Arial"/>
      <family val="2"/>
    </font>
    <font>
      <b/>
      <sz val="12"/>
      <name val="Arial"/>
      <family val="2"/>
    </font>
    <font>
      <u/>
      <sz val="10"/>
      <name val="Arial"/>
      <family val="2"/>
    </font>
    <font>
      <u/>
      <sz val="10"/>
      <name val="Arial"/>
      <family val="2"/>
    </font>
    <font>
      <vertAlign val="superscript"/>
      <sz val="10"/>
      <name val="Symbol"/>
      <family val="1"/>
      <charset val="2"/>
    </font>
    <font>
      <sz val="10"/>
      <color indexed="10"/>
      <name val="Arial"/>
      <family val="2"/>
    </font>
    <font>
      <sz val="10"/>
      <color indexed="9"/>
      <name val="Arial"/>
      <family val="2"/>
    </font>
    <font>
      <sz val="10"/>
      <color indexed="17"/>
      <name val="Arial"/>
      <family val="2"/>
    </font>
    <font>
      <sz val="10"/>
      <name val="Arial"/>
      <family val="2"/>
    </font>
    <font>
      <i/>
      <sz val="10"/>
      <color indexed="10"/>
      <name val="Arial"/>
      <family val="2"/>
    </font>
    <font>
      <i/>
      <sz val="10"/>
      <name val="Arial"/>
      <family val="2"/>
    </font>
    <font>
      <sz val="12"/>
      <name val="Symbol"/>
      <family val="1"/>
      <charset val="2"/>
    </font>
    <font>
      <b/>
      <sz val="10"/>
      <name val="Arial"/>
      <family val="2"/>
    </font>
    <font>
      <sz val="8"/>
      <name val="Arial"/>
      <family val="2"/>
    </font>
    <font>
      <b/>
      <sz val="10"/>
      <name val="Symbol"/>
      <family val="1"/>
      <charset val="2"/>
    </font>
    <font>
      <b/>
      <i/>
      <sz val="10"/>
      <color indexed="10"/>
      <name val="Arial"/>
      <family val="2"/>
    </font>
    <font>
      <b/>
      <i/>
      <sz val="10"/>
      <name val="Arial"/>
      <family val="2"/>
    </font>
    <font>
      <b/>
      <i/>
      <sz val="10"/>
      <color indexed="9"/>
      <name val="Arial"/>
      <family val="2"/>
    </font>
    <font>
      <sz val="8"/>
      <name val="Arial"/>
      <family val="2"/>
    </font>
    <font>
      <sz val="10"/>
      <color indexed="9"/>
      <name val="Arial"/>
      <family val="2"/>
    </font>
    <font>
      <b/>
      <u/>
      <sz val="10"/>
      <name val="Arial"/>
      <family val="2"/>
    </font>
    <font>
      <u/>
      <vertAlign val="subscript"/>
      <sz val="10"/>
      <name val="Arial"/>
      <family val="2"/>
    </font>
    <font>
      <sz val="10"/>
      <color indexed="10"/>
      <name val="Arial"/>
      <family val="2"/>
    </font>
    <font>
      <b/>
      <sz val="10"/>
      <name val="Arial"/>
      <family val="2"/>
    </font>
    <font>
      <sz val="10"/>
      <name val="Arial"/>
      <family val="2"/>
    </font>
    <font>
      <i/>
      <sz val="10"/>
      <name val="Arial"/>
      <family val="2"/>
    </font>
    <font>
      <sz val="10"/>
      <name val="Arial"/>
      <family val="2"/>
    </font>
    <font>
      <sz val="10"/>
      <name val="Mathcad UniMath"/>
      <family val="3"/>
    </font>
    <font>
      <u/>
      <sz val="10"/>
      <name val="Symbol"/>
      <family val="1"/>
      <charset val="2"/>
    </font>
    <font>
      <sz val="14"/>
      <name val="Arial"/>
      <family val="2"/>
    </font>
    <font>
      <sz val="14"/>
      <color indexed="9"/>
      <name val="Arial"/>
      <family val="2"/>
    </font>
    <font>
      <sz val="8"/>
      <color indexed="9"/>
      <name val="Arial"/>
      <family val="2"/>
    </font>
    <font>
      <sz val="12"/>
      <name val="Arial"/>
      <family val="2"/>
    </font>
    <font>
      <sz val="10"/>
      <color theme="0"/>
      <name val="Arial"/>
      <family val="2"/>
    </font>
    <font>
      <b/>
      <sz val="10"/>
      <color theme="0"/>
      <name val="Arial"/>
      <family val="2"/>
    </font>
    <font>
      <b/>
      <i/>
      <sz val="10"/>
      <color rgb="FFFF0000"/>
      <name val="Arial"/>
      <family val="2"/>
    </font>
  </fonts>
  <fills count="4">
    <fill>
      <patternFill patternType="none"/>
    </fill>
    <fill>
      <patternFill patternType="gray125"/>
    </fill>
    <fill>
      <patternFill patternType="solid">
        <fgColor indexed="11"/>
        <bgColor indexed="64"/>
      </patternFill>
    </fill>
    <fill>
      <patternFill patternType="solid">
        <fgColor indexed="10"/>
        <bgColor indexed="64"/>
      </patternFill>
    </fill>
  </fills>
  <borders count="79">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medium">
        <color indexed="64"/>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indexed="64"/>
      </left>
      <right style="medium">
        <color indexed="64"/>
      </right>
      <top style="thin">
        <color indexed="64"/>
      </top>
      <bottom style="medium">
        <color indexed="64"/>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indexed="64"/>
      </top>
      <bottom style="thin">
        <color indexed="64"/>
      </bottom>
      <diagonal/>
    </border>
    <border>
      <left style="thin">
        <color indexed="64"/>
      </left>
      <right style="medium">
        <color indexed="64"/>
      </right>
      <top/>
      <bottom style="medium">
        <color indexed="64"/>
      </bottom>
      <diagonal/>
    </border>
    <border>
      <left style="medium">
        <color auto="1"/>
      </left>
      <right/>
      <top/>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s>
  <cellStyleXfs count="11">
    <xf numFmtId="0" fontId="0" fillId="0" borderId="0" applyBorder="0"/>
    <xf numFmtId="3"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9" fillId="0" borderId="0" applyNumberFormat="0" applyFont="0" applyFill="0" applyAlignment="0" applyProtection="0"/>
    <xf numFmtId="0" fontId="10" fillId="0" borderId="0" applyNumberFormat="0" applyFont="0" applyFill="0" applyAlignment="0" applyProtection="0"/>
    <xf numFmtId="0" fontId="2" fillId="0" borderId="0">
      <alignment vertical="top"/>
    </xf>
    <xf numFmtId="0" fontId="2" fillId="0" borderId="0"/>
    <xf numFmtId="0" fontId="2" fillId="0" borderId="0"/>
    <xf numFmtId="0" fontId="2" fillId="0" borderId="1" applyNumberFormat="0" applyFont="0" applyBorder="0" applyAlignment="0" applyProtection="0"/>
  </cellStyleXfs>
  <cellXfs count="660">
    <xf numFmtId="0" fontId="0" fillId="0" borderId="0" xfId="0"/>
    <xf numFmtId="0" fontId="0" fillId="0" borderId="0" xfId="0" applyAlignment="1">
      <alignment horizontal="right"/>
    </xf>
    <xf numFmtId="0" fontId="4" fillId="0" borderId="0" xfId="0" applyFont="1"/>
    <xf numFmtId="0" fontId="0" fillId="0" borderId="0" xfId="0" applyAlignment="1">
      <alignment horizontal="center"/>
    </xf>
    <xf numFmtId="2" fontId="0" fillId="0" borderId="0" xfId="0" applyNumberFormat="1" applyAlignment="1">
      <alignment horizontal="center"/>
    </xf>
    <xf numFmtId="0" fontId="0" fillId="0" borderId="0" xfId="0" quotePrefix="1"/>
    <xf numFmtId="164" fontId="0" fillId="0" borderId="0" xfId="0" applyNumberFormat="1" applyAlignment="1">
      <alignment horizontal="right"/>
    </xf>
    <xf numFmtId="0" fontId="0" fillId="0" borderId="0" xfId="0" applyAlignment="1">
      <alignment vertical="top"/>
    </xf>
    <xf numFmtId="165" fontId="0" fillId="0" borderId="0" xfId="0" applyNumberFormat="1"/>
    <xf numFmtId="0" fontId="2" fillId="0" borderId="0" xfId="7" applyAlignment="1"/>
    <xf numFmtId="0" fontId="11" fillId="0" borderId="0" xfId="7" applyFont="1" applyBorder="1" applyAlignment="1"/>
    <xf numFmtId="0" fontId="12" fillId="0" borderId="0" xfId="7" applyFont="1" applyAlignment="1"/>
    <xf numFmtId="167" fontId="2" fillId="0" borderId="0" xfId="7" applyNumberFormat="1" applyAlignment="1"/>
    <xf numFmtId="0" fontId="0" fillId="0" borderId="0" xfId="0" applyProtection="1">
      <protection hidden="1"/>
    </xf>
    <xf numFmtId="0" fontId="0" fillId="0" borderId="0" xfId="0" applyAlignment="1">
      <alignment horizontal="left"/>
    </xf>
    <xf numFmtId="0" fontId="0" fillId="0" borderId="0" xfId="0" applyAlignment="1">
      <alignment wrapText="1"/>
    </xf>
    <xf numFmtId="0" fontId="0" fillId="0" borderId="0" xfId="0" applyAlignment="1">
      <alignment horizontal="center" wrapText="1"/>
    </xf>
    <xf numFmtId="0" fontId="0" fillId="0" borderId="0" xfId="0" applyBorder="1"/>
    <xf numFmtId="0" fontId="4" fillId="0" borderId="0" xfId="0" applyFont="1" applyAlignment="1">
      <alignment horizontal="right"/>
    </xf>
    <xf numFmtId="0" fontId="0" fillId="2" borderId="2" xfId="0" applyFill="1" applyBorder="1" applyAlignment="1" applyProtection="1">
      <alignment horizontal="right"/>
      <protection locked="0"/>
    </xf>
    <xf numFmtId="0" fontId="0" fillId="2" borderId="2" xfId="0" applyFill="1" applyBorder="1" applyProtection="1">
      <protection locked="0"/>
    </xf>
    <xf numFmtId="0" fontId="0" fillId="2" borderId="3" xfId="0" applyFill="1" applyBorder="1" applyProtection="1">
      <protection locked="0"/>
    </xf>
    <xf numFmtId="2" fontId="0" fillId="2" borderId="2" xfId="0" applyNumberFormat="1" applyFill="1" applyBorder="1" applyProtection="1">
      <protection locked="0"/>
    </xf>
    <xf numFmtId="1" fontId="0" fillId="2" borderId="2" xfId="0" applyNumberFormat="1" applyFill="1" applyBorder="1" applyAlignment="1" applyProtection="1">
      <alignment horizontal="right"/>
      <protection locked="0"/>
    </xf>
    <xf numFmtId="0" fontId="15" fillId="0" borderId="0" xfId="0" applyFont="1" applyProtection="1">
      <protection hidden="1"/>
    </xf>
    <xf numFmtId="0" fontId="2" fillId="0" borderId="0" xfId="8"/>
    <xf numFmtId="0" fontId="15" fillId="0" borderId="0" xfId="0" applyFont="1"/>
    <xf numFmtId="0" fontId="4" fillId="0" borderId="0" xfId="0" applyFont="1" applyAlignment="1">
      <alignment horizontal="left"/>
    </xf>
    <xf numFmtId="0" fontId="21" fillId="0" borderId="0" xfId="0" applyFont="1"/>
    <xf numFmtId="0" fontId="0" fillId="0" borderId="0" xfId="0" applyBorder="1" applyAlignment="1">
      <alignment horizontal="center"/>
    </xf>
    <xf numFmtId="0" fontId="0" fillId="0" borderId="4" xfId="0" applyBorder="1" applyAlignment="1">
      <alignment horizontal="center"/>
    </xf>
    <xf numFmtId="2" fontId="0" fillId="0" borderId="4" xfId="0" applyNumberFormat="1" applyBorder="1" applyAlignment="1">
      <alignment horizontal="center"/>
    </xf>
    <xf numFmtId="0" fontId="0" fillId="0" borderId="6" xfId="0"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0" fontId="0" fillId="0" borderId="10" xfId="0" applyBorder="1"/>
    <xf numFmtId="2" fontId="15" fillId="0" borderId="0" xfId="0" applyNumberFormat="1" applyFont="1"/>
    <xf numFmtId="0" fontId="4" fillId="0" borderId="0" xfId="0" applyFont="1" applyAlignment="1">
      <alignment horizontal="center"/>
    </xf>
    <xf numFmtId="0" fontId="4" fillId="0" borderId="0" xfId="0" quotePrefix="1" applyFont="1" applyAlignment="1">
      <alignment horizontal="center"/>
    </xf>
    <xf numFmtId="1" fontId="0" fillId="2" borderId="2" xfId="0" applyNumberFormat="1" applyFill="1" applyBorder="1" applyProtection="1">
      <protection locked="0"/>
    </xf>
    <xf numFmtId="2" fontId="0" fillId="2" borderId="2" xfId="0" applyNumberFormat="1" applyFill="1" applyBorder="1" applyAlignment="1" applyProtection="1">
      <alignment vertical="center"/>
      <protection locked="0"/>
    </xf>
    <xf numFmtId="0" fontId="2" fillId="0" borderId="0" xfId="7" applyFont="1" applyAlignment="1"/>
    <xf numFmtId="0" fontId="2" fillId="0" borderId="0" xfId="7" quotePrefix="1" applyFont="1" applyAlignment="1"/>
    <xf numFmtId="0" fontId="0" fillId="2" borderId="2" xfId="0"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0" fillId="2" borderId="2" xfId="0" applyFill="1" applyBorder="1" applyAlignment="1" applyProtection="1">
      <alignment vertical="center"/>
      <protection locked="0"/>
    </xf>
    <xf numFmtId="0" fontId="2" fillId="2" borderId="2" xfId="8" applyFill="1" applyBorder="1" applyProtection="1">
      <protection locked="0"/>
    </xf>
    <xf numFmtId="0" fontId="0" fillId="2" borderId="0" xfId="0" applyFill="1" applyProtection="1">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2" xfId="0" applyFill="1" applyBorder="1" applyProtection="1">
      <protection locked="0"/>
    </xf>
    <xf numFmtId="0" fontId="0" fillId="2" borderId="11" xfId="0" applyFill="1" applyBorder="1" applyProtection="1">
      <protection locked="0"/>
    </xf>
    <xf numFmtId="2" fontId="0" fillId="2" borderId="11" xfId="0" applyNumberFormat="1" applyFill="1" applyBorder="1" applyProtection="1">
      <protection locked="0"/>
    </xf>
    <xf numFmtId="164" fontId="0" fillId="2" borderId="12" xfId="0" applyNumberFormat="1" applyFill="1" applyBorder="1" applyProtection="1">
      <protection locked="0"/>
    </xf>
    <xf numFmtId="164" fontId="0" fillId="2" borderId="12" xfId="0" applyNumberFormat="1" applyFill="1" applyBorder="1" applyAlignment="1" applyProtection="1">
      <alignment horizontal="center"/>
      <protection locked="0"/>
    </xf>
    <xf numFmtId="2" fontId="0" fillId="2" borderId="0" xfId="0" applyNumberFormat="1" applyFill="1" applyProtection="1">
      <protection locked="0"/>
    </xf>
    <xf numFmtId="2" fontId="0" fillId="2" borderId="12" xfId="0" applyNumberFormat="1" applyFill="1" applyBorder="1" applyProtection="1">
      <protection locked="0"/>
    </xf>
    <xf numFmtId="2" fontId="0" fillId="0" borderId="5" xfId="0" applyNumberFormat="1" applyFill="1" applyBorder="1" applyAlignment="1">
      <alignment horizontal="center"/>
    </xf>
    <xf numFmtId="2" fontId="0" fillId="0" borderId="7" xfId="0" applyNumberFormat="1" applyFill="1" applyBorder="1" applyAlignment="1">
      <alignment horizontal="center"/>
    </xf>
    <xf numFmtId="2" fontId="0" fillId="0" borderId="4" xfId="0" applyNumberFormat="1" applyFill="1" applyBorder="1" applyAlignment="1">
      <alignment horizontal="center"/>
    </xf>
    <xf numFmtId="2" fontId="0" fillId="0" borderId="6" xfId="0" applyNumberFormat="1" applyFill="1" applyBorder="1" applyAlignment="1">
      <alignment horizontal="center"/>
    </xf>
    <xf numFmtId="0" fontId="4" fillId="0" borderId="0" xfId="7" applyFont="1" applyAlignment="1">
      <alignment horizontal="center"/>
    </xf>
    <xf numFmtId="0" fontId="0" fillId="0" borderId="0" xfId="7" quotePrefix="1" applyFont="1" applyAlignment="1">
      <alignment horizontal="left"/>
    </xf>
    <xf numFmtId="0" fontId="0" fillId="0" borderId="13" xfId="0" applyBorder="1"/>
    <xf numFmtId="0" fontId="0" fillId="0" borderId="14" xfId="0" applyBorder="1" applyAlignment="1">
      <alignment horizontal="center"/>
    </xf>
    <xf numFmtId="0" fontId="2" fillId="2" borderId="2" xfId="8" applyFont="1" applyFill="1" applyBorder="1" applyProtection="1">
      <protection locked="0"/>
    </xf>
    <xf numFmtId="0" fontId="0" fillId="0" borderId="15" xfId="0" applyFill="1" applyBorder="1"/>
    <xf numFmtId="0" fontId="0" fillId="0" borderId="16" xfId="0" applyFill="1" applyBorder="1"/>
    <xf numFmtId="0" fontId="0" fillId="0" borderId="17" xfId="0" applyFill="1" applyBorder="1"/>
    <xf numFmtId="0" fontId="0" fillId="0" borderId="18" xfId="0" applyBorder="1" applyAlignment="1">
      <alignment horizontal="right"/>
    </xf>
    <xf numFmtId="0" fontId="0" fillId="0" borderId="0" xfId="0" applyBorder="1" applyAlignment="1">
      <alignment horizontal="right"/>
    </xf>
    <xf numFmtId="0" fontId="0" fillId="0" borderId="19" xfId="0" applyBorder="1"/>
    <xf numFmtId="0" fontId="0" fillId="0" borderId="0" xfId="0" applyFill="1" applyBorder="1" applyAlignment="1">
      <alignment horizontal="right"/>
    </xf>
    <xf numFmtId="0" fontId="0" fillId="0" borderId="18" xfId="0" applyFill="1" applyBorder="1" applyAlignment="1">
      <alignment horizontal="right"/>
    </xf>
    <xf numFmtId="2" fontId="0" fillId="0" borderId="0" xfId="0" applyNumberFormat="1" applyBorder="1" applyAlignment="1">
      <alignment horizontal="right"/>
    </xf>
    <xf numFmtId="0" fontId="0" fillId="0" borderId="18" xfId="0" applyBorder="1"/>
    <xf numFmtId="2" fontId="0" fillId="0" borderId="18" xfId="0" applyNumberFormat="1" applyBorder="1" applyAlignment="1">
      <alignment horizontal="right"/>
    </xf>
    <xf numFmtId="1" fontId="0" fillId="0" borderId="0" xfId="0" applyNumberFormat="1" applyBorder="1" applyAlignment="1">
      <alignment horizontal="right"/>
    </xf>
    <xf numFmtId="0" fontId="0" fillId="0" borderId="18" xfId="0" applyBorder="1" applyAlignment="1">
      <alignment horizontal="left"/>
    </xf>
    <xf numFmtId="164" fontId="0" fillId="0" borderId="0" xfId="0" applyNumberFormat="1" applyBorder="1" applyAlignment="1">
      <alignment horizontal="right"/>
    </xf>
    <xf numFmtId="0" fontId="0" fillId="0" borderId="20" xfId="0" applyBorder="1" applyAlignment="1">
      <alignment horizontal="left"/>
    </xf>
    <xf numFmtId="0" fontId="0" fillId="0" borderId="11" xfId="0" applyBorder="1" applyAlignment="1">
      <alignment horizontal="right"/>
    </xf>
    <xf numFmtId="0" fontId="0" fillId="0" borderId="21" xfId="0" applyBorder="1"/>
    <xf numFmtId="166" fontId="0" fillId="0" borderId="0" xfId="0" applyNumberFormat="1" applyBorder="1" applyAlignment="1">
      <alignment horizontal="right"/>
    </xf>
    <xf numFmtId="0" fontId="0" fillId="3" borderId="0" xfId="0" applyFill="1"/>
    <xf numFmtId="0" fontId="4" fillId="0" borderId="0" xfId="0" applyNumberFormat="1" applyFont="1"/>
    <xf numFmtId="1" fontId="4" fillId="0" borderId="0" xfId="0" applyNumberFormat="1" applyFont="1"/>
    <xf numFmtId="165" fontId="0" fillId="2" borderId="2" xfId="0" applyNumberFormat="1" applyFill="1" applyBorder="1" applyProtection="1">
      <protection locked="0"/>
    </xf>
    <xf numFmtId="165" fontId="0" fillId="0" borderId="0" xfId="0" applyNumberFormat="1" applyProtection="1"/>
    <xf numFmtId="164" fontId="0" fillId="0" borderId="0" xfId="0" applyNumberFormat="1" applyAlignment="1">
      <alignment horizontal="center"/>
    </xf>
    <xf numFmtId="0" fontId="0" fillId="3" borderId="0" xfId="0" applyFill="1" applyAlignment="1">
      <alignment horizontal="center" wrapText="1"/>
    </xf>
    <xf numFmtId="165" fontId="0" fillId="2" borderId="3" xfId="0" applyNumberFormat="1" applyFill="1" applyBorder="1" applyProtection="1">
      <protection locked="0"/>
    </xf>
    <xf numFmtId="164" fontId="0" fillId="2" borderId="2" xfId="0" applyNumberFormat="1" applyFill="1" applyBorder="1" applyProtection="1">
      <protection locked="0"/>
    </xf>
    <xf numFmtId="164" fontId="0" fillId="2" borderId="3" xfId="0" applyNumberFormat="1" applyFill="1" applyBorder="1" applyProtection="1">
      <protection locked="0"/>
    </xf>
    <xf numFmtId="170" fontId="0" fillId="2" borderId="8" xfId="0" applyNumberFormat="1" applyFill="1" applyBorder="1" applyProtection="1">
      <protection locked="0"/>
    </xf>
    <xf numFmtId="2" fontId="0" fillId="2" borderId="8" xfId="0" applyNumberFormat="1" applyFill="1" applyBorder="1" applyProtection="1">
      <protection locked="0"/>
    </xf>
    <xf numFmtId="165" fontId="0" fillId="0" borderId="0" xfId="0" applyNumberFormat="1" applyAlignment="1">
      <alignment horizontal="center"/>
    </xf>
    <xf numFmtId="166" fontId="4" fillId="0" borderId="0" xfId="0" applyNumberFormat="1" applyFont="1" applyAlignment="1">
      <alignment horizontal="center"/>
    </xf>
    <xf numFmtId="0" fontId="15" fillId="0" borderId="0" xfId="0" applyFont="1" applyFill="1"/>
    <xf numFmtId="0" fontId="0" fillId="0" borderId="0" xfId="0" applyFill="1"/>
    <xf numFmtId="0" fontId="4" fillId="0" borderId="0" xfId="0" applyFont="1" applyFill="1"/>
    <xf numFmtId="1" fontId="0" fillId="2" borderId="2" xfId="0" applyNumberFormat="1" applyFill="1" applyBorder="1" applyAlignment="1" applyProtection="1">
      <alignment vertical="center"/>
      <protection locked="0"/>
    </xf>
    <xf numFmtId="165" fontId="2" fillId="0" borderId="0" xfId="7" applyNumberFormat="1" applyAlignment="1"/>
    <xf numFmtId="2" fontId="2" fillId="0" borderId="0" xfId="7" applyNumberFormat="1" applyAlignment="1"/>
    <xf numFmtId="0" fontId="2" fillId="0" borderId="0" xfId="7" applyAlignment="1">
      <alignment horizontal="center"/>
    </xf>
    <xf numFmtId="0" fontId="2" fillId="0" borderId="0" xfId="7" applyFont="1" applyAlignment="1">
      <alignment horizontal="right"/>
    </xf>
    <xf numFmtId="1" fontId="4" fillId="0" borderId="0" xfId="0" applyNumberFormat="1" applyFont="1" applyFill="1"/>
    <xf numFmtId="165" fontId="0" fillId="2" borderId="12" xfId="0" applyNumberFormat="1" applyFill="1" applyBorder="1" applyProtection="1">
      <protection locked="0"/>
    </xf>
    <xf numFmtId="0" fontId="21" fillId="2" borderId="22" xfId="0" applyFont="1" applyFill="1" applyBorder="1" applyProtection="1">
      <protection locked="0"/>
    </xf>
    <xf numFmtId="0" fontId="0" fillId="2" borderId="22" xfId="0" applyFill="1" applyBorder="1" applyProtection="1">
      <protection locked="0"/>
    </xf>
    <xf numFmtId="0" fontId="21" fillId="2" borderId="23" xfId="0" applyFont="1" applyFill="1" applyBorder="1" applyProtection="1">
      <protection locked="0"/>
    </xf>
    <xf numFmtId="0" fontId="0" fillId="2" borderId="23" xfId="0" applyFill="1" applyBorder="1" applyProtection="1">
      <protection locked="0"/>
    </xf>
    <xf numFmtId="0" fontId="4" fillId="2" borderId="23" xfId="0" applyFont="1" applyFill="1" applyBorder="1" applyProtection="1">
      <protection locked="0"/>
    </xf>
    <xf numFmtId="0" fontId="4" fillId="2" borderId="22" xfId="0" applyFont="1" applyFill="1" applyBorder="1" applyProtection="1">
      <protection locked="0"/>
    </xf>
    <xf numFmtId="0" fontId="4" fillId="2" borderId="24" xfId="0" applyFont="1" applyFill="1" applyBorder="1" applyProtection="1">
      <protection locked="0"/>
    </xf>
    <xf numFmtId="14" fontId="4" fillId="2" borderId="25" xfId="0" quotePrefix="1" applyNumberFormat="1" applyFont="1" applyFill="1" applyBorder="1" applyAlignment="1" applyProtection="1">
      <alignment horizontal="left"/>
      <protection locked="0"/>
    </xf>
    <xf numFmtId="165" fontId="4" fillId="0" borderId="0" xfId="0" applyNumberFormat="1" applyFont="1" applyAlignment="1">
      <alignment horizontal="center"/>
    </xf>
    <xf numFmtId="165" fontId="4" fillId="0" borderId="0" xfId="0" applyNumberFormat="1" applyFont="1"/>
    <xf numFmtId="165" fontId="28" fillId="0" borderId="0" xfId="0" applyNumberFormat="1" applyFont="1" applyAlignment="1">
      <alignment horizontal="center"/>
    </xf>
    <xf numFmtId="0" fontId="21" fillId="0" borderId="26" xfId="0" applyFont="1" applyBorder="1" applyProtection="1"/>
    <xf numFmtId="0" fontId="2" fillId="0" borderId="22" xfId="8" applyBorder="1" applyProtection="1"/>
    <xf numFmtId="0" fontId="4" fillId="0" borderId="22" xfId="0" applyFont="1" applyBorder="1" applyAlignment="1" applyProtection="1">
      <alignment horizontal="right"/>
    </xf>
    <xf numFmtId="22" fontId="4" fillId="0" borderId="22" xfId="0" applyNumberFormat="1" applyFont="1" applyBorder="1" applyAlignment="1" applyProtection="1">
      <alignment horizontal="right" vertical="center"/>
    </xf>
    <xf numFmtId="0" fontId="2" fillId="0" borderId="0" xfId="8" applyProtection="1"/>
    <xf numFmtId="0" fontId="0" fillId="0" borderId="0" xfId="0" applyProtection="1"/>
    <xf numFmtId="0" fontId="0" fillId="0" borderId="27" xfId="0" applyBorder="1" applyProtection="1"/>
    <xf numFmtId="0" fontId="2" fillId="0" borderId="23" xfId="8" applyBorder="1" applyProtection="1"/>
    <xf numFmtId="0" fontId="4" fillId="0" borderId="23" xfId="0" applyFont="1" applyBorder="1" applyAlignment="1" applyProtection="1">
      <alignment horizontal="right"/>
    </xf>
    <xf numFmtId="22" fontId="4" fillId="0" borderId="23" xfId="0" applyNumberFormat="1" applyFont="1" applyBorder="1" applyAlignment="1" applyProtection="1">
      <alignment horizontal="right" vertical="center"/>
    </xf>
    <xf numFmtId="0" fontId="21" fillId="0" borderId="0" xfId="0" applyFont="1" applyFill="1" applyProtection="1"/>
    <xf numFmtId="0" fontId="0" fillId="0" borderId="0" xfId="0" applyFill="1" applyProtection="1"/>
    <xf numFmtId="0" fontId="2" fillId="0" borderId="0" xfId="8" applyFont="1" applyAlignment="1" applyProtection="1">
      <alignment vertical="center" wrapText="1"/>
    </xf>
    <xf numFmtId="0" fontId="0" fillId="0" borderId="0" xfId="0" applyAlignment="1" applyProtection="1">
      <alignment horizontal="right"/>
    </xf>
    <xf numFmtId="0" fontId="12" fillId="0" borderId="0" xfId="0" applyFont="1" applyProtection="1"/>
    <xf numFmtId="22" fontId="0" fillId="0" borderId="0" xfId="0" applyNumberFormat="1" applyAlignment="1" applyProtection="1">
      <alignment horizontal="right" vertical="center"/>
    </xf>
    <xf numFmtId="0" fontId="4" fillId="0" borderId="0" xfId="0" applyFont="1" applyAlignment="1" applyProtection="1">
      <alignment wrapText="1"/>
    </xf>
    <xf numFmtId="0" fontId="0" fillId="0" borderId="0" xfId="0" applyAlignment="1" applyProtection="1">
      <alignment wrapText="1"/>
    </xf>
    <xf numFmtId="0" fontId="21" fillId="0" borderId="0" xfId="0" applyFont="1" applyProtection="1"/>
    <xf numFmtId="0" fontId="0" fillId="0" borderId="0" xfId="0" applyAlignment="1" applyProtection="1">
      <alignment vertical="center"/>
    </xf>
    <xf numFmtId="0" fontId="0" fillId="0" borderId="11" xfId="0" applyBorder="1" applyProtection="1"/>
    <xf numFmtId="0" fontId="0" fillId="0" borderId="12" xfId="0" applyBorder="1" applyProtection="1"/>
    <xf numFmtId="0" fontId="6" fillId="0" borderId="12" xfId="0" applyFont="1" applyBorder="1" applyProtection="1"/>
    <xf numFmtId="0" fontId="21" fillId="0" borderId="0" xfId="0" applyFont="1" applyAlignment="1" applyProtection="1">
      <alignment vertical="center"/>
    </xf>
    <xf numFmtId="0" fontId="0" fillId="0" borderId="0" xfId="0" applyBorder="1" applyProtection="1"/>
    <xf numFmtId="0" fontId="20" fillId="0" borderId="0" xfId="0" applyFont="1" applyAlignment="1" applyProtection="1">
      <alignment vertical="center"/>
    </xf>
    <xf numFmtId="0" fontId="2" fillId="0" borderId="0" xfId="8" applyAlignment="1" applyProtection="1">
      <alignment vertical="center"/>
    </xf>
    <xf numFmtId="0" fontId="0" fillId="0" borderId="0" xfId="0" applyAlignment="1" applyProtection="1">
      <alignment horizontal="right" vertical="center"/>
    </xf>
    <xf numFmtId="0" fontId="2" fillId="0" borderId="0" xfId="8" applyFont="1" applyAlignment="1" applyProtection="1">
      <alignment vertical="center"/>
    </xf>
    <xf numFmtId="0" fontId="2" fillId="0" borderId="11" xfId="8" applyFont="1" applyBorder="1" applyProtection="1"/>
    <xf numFmtId="0" fontId="21" fillId="0" borderId="0" xfId="8" applyFont="1" applyAlignment="1" applyProtection="1">
      <alignment vertical="center"/>
    </xf>
    <xf numFmtId="0" fontId="4" fillId="0" borderId="0" xfId="0" applyFont="1" applyAlignment="1" applyProtection="1">
      <alignment vertical="center"/>
    </xf>
    <xf numFmtId="164" fontId="4" fillId="0" borderId="0" xfId="0" applyNumberFormat="1" applyFont="1" applyAlignment="1" applyProtection="1">
      <alignment vertical="center"/>
    </xf>
    <xf numFmtId="0" fontId="0" fillId="0" borderId="0" xfId="0" applyAlignment="1" applyProtection="1">
      <alignment vertical="center" wrapText="1"/>
    </xf>
    <xf numFmtId="0" fontId="2" fillId="0" borderId="0" xfId="8" applyBorder="1" applyProtection="1"/>
    <xf numFmtId="0" fontId="2" fillId="0" borderId="0" xfId="8" quotePrefix="1" applyFont="1" applyAlignment="1" applyProtection="1">
      <alignment vertical="center"/>
    </xf>
    <xf numFmtId="0" fontId="20" fillId="0" borderId="0" xfId="0" applyFont="1" applyProtection="1"/>
    <xf numFmtId="0" fontId="15" fillId="0" borderId="0" xfId="0" applyFont="1" applyProtection="1"/>
    <xf numFmtId="0" fontId="0" fillId="0" borderId="0" xfId="0" applyAlignment="1" applyProtection="1">
      <alignment vertical="top" wrapText="1"/>
    </xf>
    <xf numFmtId="0" fontId="0" fillId="2" borderId="28" xfId="0" applyFill="1" applyBorder="1" applyProtection="1"/>
    <xf numFmtId="0" fontId="0" fillId="2" borderId="29" xfId="0" applyFill="1" applyBorder="1" applyProtection="1"/>
    <xf numFmtId="0" fontId="0" fillId="0" borderId="0" xfId="0" quotePrefix="1" applyProtection="1"/>
    <xf numFmtId="0" fontId="0" fillId="0" borderId="0" xfId="0" applyAlignment="1" applyProtection="1">
      <alignment horizontal="left" vertical="center" wrapText="1"/>
    </xf>
    <xf numFmtId="0" fontId="24" fillId="0" borderId="0" xfId="0" applyFont="1" applyProtection="1"/>
    <xf numFmtId="0" fontId="18" fillId="0" borderId="0" xfId="0" applyFont="1" applyProtection="1"/>
    <xf numFmtId="2" fontId="0" fillId="0" borderId="0" xfId="0" applyNumberFormat="1" applyFill="1" applyProtection="1"/>
    <xf numFmtId="0" fontId="0" fillId="0" borderId="0" xfId="0" applyAlignment="1" applyProtection="1"/>
    <xf numFmtId="2" fontId="0" fillId="0" borderId="0" xfId="0" applyNumberFormat="1" applyProtection="1"/>
    <xf numFmtId="0" fontId="14" fillId="0" borderId="0" xfId="0" applyFont="1" applyProtection="1"/>
    <xf numFmtId="0" fontId="0" fillId="0" borderId="0" xfId="0" applyAlignment="1" applyProtection="1">
      <alignment horizontal="left" wrapText="1"/>
    </xf>
    <xf numFmtId="0" fontId="4" fillId="0" borderId="0" xfId="0" applyFont="1" applyProtection="1"/>
    <xf numFmtId="0" fontId="4" fillId="0" borderId="0" xfId="0" applyFont="1" applyBorder="1" applyProtection="1"/>
    <xf numFmtId="2" fontId="0" fillId="0" borderId="0" xfId="0" applyNumberFormat="1" applyFill="1" applyBorder="1" applyProtection="1"/>
    <xf numFmtId="0" fontId="0" fillId="0" borderId="0" xfId="0" applyFill="1" applyBorder="1" applyProtection="1"/>
    <xf numFmtId="0" fontId="0" fillId="0" borderId="0" xfId="0" applyAlignment="1" applyProtection="1">
      <alignment horizontal="left"/>
    </xf>
    <xf numFmtId="0" fontId="25" fillId="0" borderId="0" xfId="0" applyFont="1" applyProtection="1"/>
    <xf numFmtId="164" fontId="0" fillId="0" borderId="0" xfId="0" applyNumberFormat="1" applyProtection="1"/>
    <xf numFmtId="1" fontId="0" fillId="0" borderId="0" xfId="0" applyNumberFormat="1" applyProtection="1"/>
    <xf numFmtId="1" fontId="0" fillId="0" borderId="0" xfId="0" applyNumberFormat="1" applyFill="1" applyProtection="1"/>
    <xf numFmtId="2" fontId="0" fillId="0" borderId="0" xfId="0" applyNumberFormat="1" applyAlignment="1" applyProtection="1">
      <alignment horizontal="right"/>
    </xf>
    <xf numFmtId="164" fontId="0" fillId="0" borderId="0" xfId="0" applyNumberFormat="1" applyFill="1" applyProtection="1"/>
    <xf numFmtId="0" fontId="0" fillId="0" borderId="0" xfId="0" applyAlignment="1" applyProtection="1">
      <alignment vertical="top"/>
    </xf>
    <xf numFmtId="2" fontId="4" fillId="0" borderId="0" xfId="0" applyNumberFormat="1" applyFont="1" applyProtection="1"/>
    <xf numFmtId="0" fontId="4" fillId="0" borderId="0" xfId="0" applyFont="1" applyAlignment="1" applyProtection="1">
      <alignment horizontal="right"/>
    </xf>
    <xf numFmtId="164" fontId="4" fillId="0" borderId="0" xfId="0" applyNumberFormat="1" applyFont="1" applyFill="1" applyProtection="1"/>
    <xf numFmtId="0" fontId="4" fillId="0" borderId="0" xfId="0" applyFont="1" applyFill="1" applyProtection="1"/>
    <xf numFmtId="2" fontId="0" fillId="0" borderId="0" xfId="0" applyNumberFormat="1" applyAlignment="1" applyProtection="1">
      <alignment horizontal="left"/>
    </xf>
    <xf numFmtId="0" fontId="4" fillId="0" borderId="0" xfId="0" applyFont="1" applyAlignment="1" applyProtection="1">
      <alignment horizontal="left"/>
    </xf>
    <xf numFmtId="164" fontId="4" fillId="0" borderId="0" xfId="0" applyNumberFormat="1" applyFont="1" applyProtection="1"/>
    <xf numFmtId="166" fontId="0" fillId="0" borderId="0" xfId="0" applyNumberFormat="1" applyProtection="1"/>
    <xf numFmtId="169" fontId="0" fillId="0" borderId="0" xfId="0" applyNumberFormat="1" applyProtection="1"/>
    <xf numFmtId="0" fontId="4" fillId="0" borderId="0" xfId="0" applyFont="1" applyAlignment="1" applyProtection="1">
      <alignment vertical="top" wrapText="1"/>
    </xf>
    <xf numFmtId="1" fontId="0" fillId="0" borderId="0" xfId="0" applyNumberFormat="1" applyAlignment="1" applyProtection="1">
      <alignment vertical="top"/>
    </xf>
    <xf numFmtId="1" fontId="0" fillId="0" borderId="0" xfId="0" applyNumberFormat="1" applyFill="1" applyAlignment="1" applyProtection="1">
      <alignment vertical="top"/>
    </xf>
    <xf numFmtId="165" fontId="0" fillId="0" borderId="0" xfId="0" applyNumberFormat="1" applyFill="1" applyProtection="1"/>
    <xf numFmtId="0" fontId="0" fillId="0" borderId="0" xfId="0" applyFill="1" applyAlignment="1" applyProtection="1">
      <alignment vertical="top"/>
    </xf>
    <xf numFmtId="0" fontId="0" fillId="0" borderId="0" xfId="0" applyBorder="1" applyAlignment="1" applyProtection="1">
      <alignment vertical="center"/>
    </xf>
    <xf numFmtId="2" fontId="0" fillId="0" borderId="0" xfId="0" applyNumberFormat="1" applyFill="1" applyAlignment="1" applyProtection="1">
      <alignment vertical="center"/>
    </xf>
    <xf numFmtId="0" fontId="0" fillId="0" borderId="0" xfId="0" applyFill="1" applyAlignment="1" applyProtection="1">
      <alignment vertical="center"/>
    </xf>
    <xf numFmtId="0" fontId="24" fillId="0" borderId="0" xfId="0" applyFont="1" applyAlignment="1" applyProtection="1">
      <alignment horizontal="left"/>
    </xf>
    <xf numFmtId="1" fontId="0" fillId="0" borderId="0" xfId="0" applyNumberFormat="1" applyFill="1" applyAlignment="1" applyProtection="1">
      <alignment wrapText="1"/>
    </xf>
    <xf numFmtId="0" fontId="0" fillId="0" borderId="0" xfId="0" applyFill="1" applyAlignment="1" applyProtection="1">
      <alignment wrapText="1"/>
    </xf>
    <xf numFmtId="1" fontId="0" fillId="0" borderId="0" xfId="0" applyNumberFormat="1" applyFill="1" applyAlignment="1" applyProtection="1">
      <alignment vertical="center" wrapText="1"/>
    </xf>
    <xf numFmtId="48" fontId="0" fillId="0" borderId="0" xfId="0" applyNumberFormat="1" applyProtection="1"/>
    <xf numFmtId="2" fontId="0" fillId="0" borderId="0" xfId="0" applyNumberFormat="1" applyAlignment="1" applyProtection="1">
      <alignment vertical="center"/>
    </xf>
    <xf numFmtId="1" fontId="4" fillId="0" borderId="0" xfId="0" applyNumberFormat="1" applyFont="1" applyAlignment="1" applyProtection="1">
      <alignment horizontal="right"/>
    </xf>
    <xf numFmtId="0" fontId="6" fillId="0" borderId="0" xfId="0" applyFont="1" applyAlignment="1" applyProtection="1">
      <alignment vertical="top"/>
    </xf>
    <xf numFmtId="0" fontId="7" fillId="0" borderId="0" xfId="0" applyFont="1" applyProtection="1"/>
    <xf numFmtId="164" fontId="4" fillId="0" borderId="0" xfId="0" applyNumberFormat="1" applyFont="1" applyAlignment="1" applyProtection="1">
      <alignment horizontal="right"/>
    </xf>
    <xf numFmtId="164" fontId="0" fillId="0" borderId="0" xfId="0" applyNumberFormat="1" applyAlignment="1" applyProtection="1">
      <alignment horizontal="right"/>
    </xf>
    <xf numFmtId="1" fontId="0" fillId="0" borderId="0" xfId="0" applyNumberFormat="1" applyAlignment="1" applyProtection="1">
      <alignment vertical="center"/>
    </xf>
    <xf numFmtId="164" fontId="0" fillId="0" borderId="0" xfId="0" applyNumberFormat="1" applyAlignment="1" applyProtection="1">
      <alignment horizontal="left"/>
    </xf>
    <xf numFmtId="0" fontId="0" fillId="0" borderId="0" xfId="0" quotePrefix="1" applyAlignment="1" applyProtection="1">
      <alignment horizontal="center" vertical="center"/>
    </xf>
    <xf numFmtId="164" fontId="0" fillId="0" borderId="0" xfId="0" applyNumberFormat="1" applyAlignment="1" applyProtection="1">
      <alignment vertical="center"/>
    </xf>
    <xf numFmtId="0" fontId="0" fillId="0" borderId="0" xfId="0" applyAlignment="1" applyProtection="1">
      <alignment horizontal="left" vertical="top"/>
    </xf>
    <xf numFmtId="0" fontId="17" fillId="0" borderId="0" xfId="0" applyFont="1" applyAlignment="1" applyProtection="1">
      <alignment wrapText="1"/>
    </xf>
    <xf numFmtId="0" fontId="0" fillId="0" borderId="0" xfId="0" applyAlignment="1" applyProtection="1">
      <alignment horizontal="center"/>
    </xf>
    <xf numFmtId="1" fontId="0" fillId="0" borderId="0" xfId="0" applyNumberFormat="1" applyAlignment="1" applyProtection="1">
      <alignment horizontal="right"/>
    </xf>
    <xf numFmtId="0" fontId="4" fillId="0" borderId="0" xfId="0" applyFont="1" applyAlignment="1" applyProtection="1">
      <alignment vertical="top"/>
    </xf>
    <xf numFmtId="1" fontId="0" fillId="0" borderId="0" xfId="0" applyNumberFormat="1" applyFill="1" applyAlignment="1" applyProtection="1">
      <alignment vertical="center"/>
    </xf>
    <xf numFmtId="164" fontId="0" fillId="0" borderId="0" xfId="0" applyNumberFormat="1" applyFill="1" applyAlignment="1" applyProtection="1">
      <alignment vertical="center"/>
    </xf>
    <xf numFmtId="0" fontId="0" fillId="0" borderId="0" xfId="0" applyFill="1" applyBorder="1" applyAlignment="1" applyProtection="1">
      <alignment vertical="center"/>
    </xf>
    <xf numFmtId="0" fontId="0" fillId="0" borderId="0" xfId="0" applyAlignment="1" applyProtection="1">
      <alignment horizontal="left" vertical="center"/>
    </xf>
    <xf numFmtId="0" fontId="19" fillId="0" borderId="0" xfId="0" applyFont="1" applyAlignment="1" applyProtection="1">
      <alignment vertical="center"/>
    </xf>
    <xf numFmtId="164" fontId="0" fillId="0" borderId="0" xfId="0" quotePrefix="1" applyNumberFormat="1" applyProtection="1"/>
    <xf numFmtId="0" fontId="19" fillId="0" borderId="0" xfId="0" applyFont="1" applyProtection="1"/>
    <xf numFmtId="0" fontId="3" fillId="0" borderId="0" xfId="0" applyFont="1" applyProtection="1"/>
    <xf numFmtId="0" fontId="3" fillId="0" borderId="0" xfId="0" applyFont="1" applyAlignment="1" applyProtection="1">
      <alignment horizontal="right" vertical="top"/>
    </xf>
    <xf numFmtId="2" fontId="0" fillId="0" borderId="0" xfId="0" applyNumberFormat="1" applyAlignment="1" applyProtection="1">
      <alignment horizontal="center"/>
    </xf>
    <xf numFmtId="0" fontId="3" fillId="0" borderId="0" xfId="0" applyFont="1" applyAlignment="1" applyProtection="1">
      <alignment horizontal="right"/>
    </xf>
    <xf numFmtId="165" fontId="4" fillId="0" borderId="0" xfId="0" applyNumberFormat="1" applyFont="1" applyAlignment="1" applyProtection="1">
      <alignment vertical="center"/>
    </xf>
    <xf numFmtId="1" fontId="0" fillId="0" borderId="0" xfId="0" applyNumberFormat="1" applyAlignment="1" applyProtection="1">
      <alignment horizontal="left"/>
    </xf>
    <xf numFmtId="0" fontId="0" fillId="0" borderId="0" xfId="0" quotePrefix="1" applyAlignment="1" applyProtection="1">
      <alignment horizontal="right" vertical="center"/>
    </xf>
    <xf numFmtId="0" fontId="5" fillId="0" borderId="0" xfId="0" quotePrefix="1" applyFont="1" applyAlignment="1" applyProtection="1">
      <alignment vertical="center"/>
    </xf>
    <xf numFmtId="2" fontId="0" fillId="0" borderId="0" xfId="0" applyNumberFormat="1" applyAlignment="1" applyProtection="1">
      <alignment horizontal="left" vertical="center"/>
    </xf>
    <xf numFmtId="165" fontId="0" fillId="0" borderId="0" xfId="0" applyNumberFormat="1" applyAlignment="1" applyProtection="1">
      <alignment horizontal="left"/>
    </xf>
    <xf numFmtId="0" fontId="15" fillId="0" borderId="0" xfId="0" applyFont="1" applyAlignment="1" applyProtection="1">
      <alignment horizontal="right"/>
    </xf>
    <xf numFmtId="0" fontId="16" fillId="0" borderId="0" xfId="0" applyFont="1" applyProtection="1"/>
    <xf numFmtId="2" fontId="4" fillId="0" borderId="0" xfId="0" applyNumberFormat="1" applyFont="1" applyAlignment="1" applyProtection="1">
      <alignment horizontal="left"/>
    </xf>
    <xf numFmtId="2" fontId="4" fillId="0" borderId="0" xfId="0" applyNumberFormat="1" applyFont="1" applyAlignment="1" applyProtection="1">
      <alignment horizontal="right"/>
    </xf>
    <xf numFmtId="0" fontId="15" fillId="0" borderId="0" xfId="8" applyFont="1" applyProtection="1"/>
    <xf numFmtId="0" fontId="2" fillId="0" borderId="0" xfId="8" applyFont="1" applyProtection="1"/>
    <xf numFmtId="0" fontId="21" fillId="0" borderId="0" xfId="8" applyFont="1" applyProtection="1"/>
    <xf numFmtId="165" fontId="0" fillId="0" borderId="0" xfId="0" applyNumberFormat="1" applyAlignment="1" applyProtection="1">
      <alignment vertical="center"/>
    </xf>
    <xf numFmtId="166" fontId="0" fillId="0" borderId="0" xfId="0" applyNumberFormat="1" applyAlignment="1" applyProtection="1">
      <alignment vertical="center"/>
    </xf>
    <xf numFmtId="164" fontId="0" fillId="0" borderId="0" xfId="0" applyNumberFormat="1" applyAlignment="1" applyProtection="1">
      <alignment horizontal="right" vertical="center"/>
    </xf>
    <xf numFmtId="168" fontId="0" fillId="0" borderId="0" xfId="0" applyNumberFormat="1" applyAlignment="1" applyProtection="1">
      <alignment vertical="center"/>
    </xf>
    <xf numFmtId="0" fontId="24" fillId="0" borderId="0" xfId="8" applyFont="1" applyProtection="1"/>
    <xf numFmtId="2" fontId="28" fillId="0" borderId="0" xfId="8" applyNumberFormat="1" applyFont="1" applyProtection="1"/>
    <xf numFmtId="0" fontId="0" fillId="0" borderId="0" xfId="0" applyBorder="1" applyAlignment="1" applyProtection="1"/>
    <xf numFmtId="0" fontId="4" fillId="0" borderId="0" xfId="0" applyFont="1" applyAlignment="1" applyProtection="1">
      <alignment horizontal="right" vertical="center"/>
    </xf>
    <xf numFmtId="2" fontId="4" fillId="0" borderId="0" xfId="0" applyNumberFormat="1" applyFont="1" applyAlignment="1" applyProtection="1">
      <alignment horizontal="right" vertical="center"/>
    </xf>
    <xf numFmtId="0" fontId="26" fillId="0" borderId="0" xfId="0" applyFont="1" applyProtection="1"/>
    <xf numFmtId="0" fontId="29" fillId="0" borderId="0" xfId="0" applyFont="1" applyProtection="1"/>
    <xf numFmtId="0" fontId="0" fillId="0" borderId="0" xfId="0" applyAlignment="1" applyProtection="1">
      <alignment horizontal="left" vertical="top" wrapText="1"/>
    </xf>
    <xf numFmtId="0" fontId="0" fillId="0" borderId="30" xfId="0" applyFill="1" applyBorder="1" applyProtection="1">
      <protection locked="0"/>
    </xf>
    <xf numFmtId="165" fontId="0" fillId="0" borderId="30" xfId="0" applyNumberFormat="1" applyFill="1" applyBorder="1" applyProtection="1">
      <protection locked="0"/>
    </xf>
    <xf numFmtId="165" fontId="0" fillId="0" borderId="0" xfId="0" applyNumberFormat="1" applyFill="1" applyBorder="1" applyProtection="1">
      <protection locked="0"/>
    </xf>
    <xf numFmtId="165" fontId="0" fillId="0" borderId="30" xfId="0" applyNumberFormat="1" applyFill="1" applyBorder="1" applyAlignment="1" applyProtection="1">
      <alignment horizontal="center"/>
      <protection locked="0"/>
    </xf>
    <xf numFmtId="0" fontId="0" fillId="0" borderId="0" xfId="0" applyAlignment="1" applyProtection="1">
      <alignment horizontal="left" indent="2"/>
    </xf>
    <xf numFmtId="0" fontId="11" fillId="0" borderId="0" xfId="0" applyFont="1" applyProtection="1"/>
    <xf numFmtId="0" fontId="0" fillId="0" borderId="0" xfId="0" applyFill="1" applyBorder="1" applyProtection="1">
      <protection locked="0"/>
    </xf>
    <xf numFmtId="166" fontId="0" fillId="0" borderId="10" xfId="0" applyNumberFormat="1" applyFill="1" applyBorder="1" applyProtection="1">
      <protection locked="0"/>
    </xf>
    <xf numFmtId="166" fontId="0" fillId="0" borderId="0" xfId="0" applyNumberFormat="1" applyFill="1" applyBorder="1" applyProtection="1">
      <protection locked="0"/>
    </xf>
    <xf numFmtId="0" fontId="0" fillId="0" borderId="0" xfId="0" applyAlignment="1" applyProtection="1">
      <alignment horizontal="left" indent="1"/>
    </xf>
    <xf numFmtId="165" fontId="0" fillId="0" borderId="0" xfId="0" applyNumberFormat="1" applyAlignment="1" applyProtection="1">
      <alignment horizontal="right"/>
    </xf>
    <xf numFmtId="2" fontId="0" fillId="0" borderId="0" xfId="0" applyNumberFormat="1" applyAlignment="1" applyProtection="1"/>
    <xf numFmtId="1" fontId="0" fillId="0" borderId="0" xfId="0" applyNumberFormat="1" applyFill="1" applyBorder="1" applyAlignment="1" applyProtection="1">
      <alignment horizontal="right"/>
      <protection locked="0"/>
    </xf>
    <xf numFmtId="2" fontId="0" fillId="0" borderId="0" xfId="0" applyNumberFormat="1" applyBorder="1" applyAlignment="1" applyProtection="1">
      <alignment horizontal="center"/>
    </xf>
    <xf numFmtId="49" fontId="0" fillId="0" borderId="0" xfId="0" applyNumberFormat="1" applyAlignment="1" applyProtection="1">
      <alignment horizontal="right"/>
    </xf>
    <xf numFmtId="0" fontId="12" fillId="0" borderId="0" xfId="0" applyFont="1" applyAlignment="1" applyProtection="1">
      <alignment horizontal="left"/>
    </xf>
    <xf numFmtId="1" fontId="0" fillId="0" borderId="0" xfId="0" applyNumberFormat="1" applyFill="1" applyBorder="1" applyProtection="1">
      <protection locked="0"/>
    </xf>
    <xf numFmtId="1" fontId="0" fillId="0" borderId="0" xfId="0" applyNumberFormat="1" applyAlignment="1" applyProtection="1">
      <alignment horizontal="right" vertical="center"/>
    </xf>
    <xf numFmtId="2" fontId="0" fillId="0" borderId="0" xfId="0" applyNumberFormat="1" applyAlignment="1" applyProtection="1">
      <alignment horizontal="center" vertical="center"/>
    </xf>
    <xf numFmtId="0" fontId="0" fillId="0" borderId="0" xfId="0" applyNumberFormat="1" applyAlignment="1" applyProtection="1">
      <alignment horizontal="left" vertical="top" wrapText="1"/>
    </xf>
    <xf numFmtId="0" fontId="2" fillId="0" borderId="0" xfId="9" applyAlignment="1">
      <alignment horizontal="left" indent="1"/>
    </xf>
    <xf numFmtId="0" fontId="2" fillId="0" borderId="0" xfId="9" applyAlignment="1">
      <alignment horizontal="left" indent="2"/>
    </xf>
    <xf numFmtId="0" fontId="11" fillId="0" borderId="0" xfId="9" applyFont="1" applyAlignment="1">
      <alignment horizontal="left"/>
    </xf>
    <xf numFmtId="0" fontId="2" fillId="0" borderId="0" xfId="9" applyAlignment="1">
      <alignment horizontal="center"/>
    </xf>
    <xf numFmtId="0" fontId="2" fillId="0" borderId="0" xfId="9" applyAlignment="1">
      <alignment horizontal="left"/>
    </xf>
    <xf numFmtId="0" fontId="2" fillId="0" borderId="0" xfId="9" applyAlignment="1">
      <alignment horizontal="right"/>
    </xf>
    <xf numFmtId="0" fontId="11" fillId="0" borderId="0" xfId="0" applyNumberFormat="1" applyFont="1" applyAlignment="1" applyProtection="1">
      <alignment horizontal="left" vertical="top"/>
    </xf>
    <xf numFmtId="2" fontId="4" fillId="0" borderId="0" xfId="0" applyNumberFormat="1" applyFont="1" applyAlignment="1" applyProtection="1">
      <alignment horizontal="center"/>
    </xf>
    <xf numFmtId="0" fontId="2" fillId="0" borderId="0" xfId="0" applyNumberFormat="1" applyFont="1" applyAlignment="1" applyProtection="1">
      <alignment horizontal="left" vertical="top"/>
    </xf>
    <xf numFmtId="0" fontId="2" fillId="0" borderId="0" xfId="0" applyFont="1" applyProtection="1"/>
    <xf numFmtId="0" fontId="32" fillId="0" borderId="0" xfId="9" applyFont="1" applyBorder="1" applyAlignment="1" applyProtection="1">
      <alignment horizontal="center"/>
    </xf>
    <xf numFmtId="0" fontId="33" fillId="0" borderId="0" xfId="0" applyFont="1" applyProtection="1"/>
    <xf numFmtId="0" fontId="28" fillId="0" borderId="0" xfId="0" applyFont="1" applyProtection="1"/>
    <xf numFmtId="165" fontId="0" fillId="0" borderId="0" xfId="0" applyNumberFormat="1" applyAlignment="1" applyProtection="1">
      <alignment horizontal="center"/>
    </xf>
    <xf numFmtId="0" fontId="11" fillId="0" borderId="0" xfId="9" applyFont="1" applyBorder="1" applyAlignment="1">
      <alignment horizontal="left"/>
    </xf>
    <xf numFmtId="0" fontId="2" fillId="0" borderId="0" xfId="9" applyFont="1" applyAlignment="1">
      <alignment horizontal="right"/>
    </xf>
    <xf numFmtId="0" fontId="2" fillId="0" borderId="0" xfId="9" applyFont="1" applyAlignment="1">
      <alignment horizontal="center"/>
    </xf>
    <xf numFmtId="0" fontId="2" fillId="0" borderId="0" xfId="9" applyFont="1" applyAlignment="1">
      <alignment horizontal="left"/>
    </xf>
    <xf numFmtId="0" fontId="33" fillId="0" borderId="0" xfId="9" applyFont="1" applyBorder="1" applyAlignment="1" applyProtection="1">
      <alignment horizontal="center"/>
    </xf>
    <xf numFmtId="0" fontId="33" fillId="0" borderId="0" xfId="9" applyFont="1" applyAlignment="1">
      <alignment horizontal="left"/>
    </xf>
    <xf numFmtId="0" fontId="33" fillId="0" borderId="0" xfId="9" applyFont="1" applyAlignment="1">
      <alignment horizontal="center"/>
    </xf>
    <xf numFmtId="0" fontId="33" fillId="0" borderId="0" xfId="9" applyFont="1" applyAlignment="1">
      <alignment horizontal="right"/>
    </xf>
    <xf numFmtId="0" fontId="33" fillId="0" borderId="0" xfId="0" applyFont="1" applyAlignment="1" applyProtection="1">
      <alignment horizontal="right"/>
    </xf>
    <xf numFmtId="0" fontId="33" fillId="0" borderId="0" xfId="0" applyFont="1" applyAlignment="1" applyProtection="1">
      <alignment horizontal="center"/>
    </xf>
    <xf numFmtId="2" fontId="33" fillId="0" borderId="0" xfId="0" applyNumberFormat="1" applyFont="1" applyAlignment="1" applyProtection="1">
      <alignment horizontal="center"/>
    </xf>
    <xf numFmtId="0" fontId="17" fillId="0" borderId="0" xfId="9" applyFont="1" applyBorder="1" applyAlignment="1">
      <alignment horizontal="center"/>
    </xf>
    <xf numFmtId="0" fontId="17" fillId="0" borderId="0" xfId="0" applyFont="1" applyProtection="1"/>
    <xf numFmtId="0" fontId="33" fillId="0" borderId="0" xfId="9" applyFont="1" applyBorder="1" applyAlignment="1">
      <alignment horizontal="left"/>
    </xf>
    <xf numFmtId="0" fontId="33" fillId="0" borderId="0" xfId="9" applyFont="1" applyBorder="1" applyAlignment="1">
      <alignment horizontal="center"/>
    </xf>
    <xf numFmtId="0" fontId="33" fillId="0" borderId="0" xfId="9" applyFont="1" applyBorder="1" applyAlignment="1">
      <alignment horizontal="right"/>
    </xf>
    <xf numFmtId="0" fontId="33" fillId="0" borderId="0" xfId="0" applyNumberFormat="1" applyFont="1" applyAlignment="1" applyProtection="1">
      <alignment horizontal="left" vertical="top"/>
    </xf>
    <xf numFmtId="165" fontId="33" fillId="0" borderId="0" xfId="0" applyNumberFormat="1" applyFont="1" applyAlignment="1" applyProtection="1">
      <alignment horizontal="center"/>
    </xf>
    <xf numFmtId="0" fontId="33" fillId="0" borderId="0" xfId="0" applyFont="1" applyAlignment="1" applyProtection="1">
      <alignment horizontal="left"/>
    </xf>
    <xf numFmtId="0" fontId="33" fillId="0" borderId="0" xfId="0" applyFont="1" applyAlignment="1" applyProtection="1">
      <alignment horizontal="left" indent="3"/>
    </xf>
    <xf numFmtId="0" fontId="33" fillId="0" borderId="0" xfId="0" applyFont="1" applyAlignment="1" applyProtection="1">
      <alignment vertical="center"/>
    </xf>
    <xf numFmtId="0" fontId="33" fillId="0" borderId="0" xfId="0" applyFont="1" applyAlignment="1" applyProtection="1">
      <alignment horizontal="left" vertical="center" indent="3"/>
    </xf>
    <xf numFmtId="0" fontId="33" fillId="0" borderId="0" xfId="0" applyFont="1" applyAlignment="1" applyProtection="1">
      <alignment horizontal="right" vertical="center"/>
    </xf>
    <xf numFmtId="2" fontId="33" fillId="0" borderId="0" xfId="0" applyNumberFormat="1" applyFont="1" applyAlignment="1" applyProtection="1">
      <alignment horizontal="center" vertical="center"/>
    </xf>
    <xf numFmtId="0" fontId="0" fillId="0" borderId="0" xfId="0" applyNumberFormat="1" applyAlignment="1" applyProtection="1">
      <alignment vertical="top" wrapText="1"/>
    </xf>
    <xf numFmtId="2" fontId="33" fillId="0" borderId="0" xfId="0" applyNumberFormat="1" applyFont="1" applyFill="1" applyAlignment="1" applyProtection="1">
      <alignment horizontal="center"/>
    </xf>
    <xf numFmtId="0" fontId="33" fillId="0" borderId="0" xfId="9" applyFont="1" applyFill="1" applyBorder="1" applyAlignment="1">
      <alignment horizontal="center"/>
    </xf>
    <xf numFmtId="0" fontId="0" fillId="0" borderId="0" xfId="0" applyNumberFormat="1" applyAlignment="1" applyProtection="1">
      <alignment vertical="top"/>
    </xf>
    <xf numFmtId="0" fontId="0" fillId="0" borderId="0" xfId="0" applyFill="1" applyAlignment="1" applyProtection="1">
      <alignment horizontal="left"/>
    </xf>
    <xf numFmtId="0" fontId="34" fillId="0" borderId="0" xfId="0" applyFont="1" applyProtection="1"/>
    <xf numFmtId="0" fontId="35" fillId="0" borderId="0" xfId="0" applyFont="1" applyProtection="1"/>
    <xf numFmtId="2" fontId="35" fillId="0" borderId="0" xfId="0" applyNumberFormat="1" applyFont="1" applyProtection="1"/>
    <xf numFmtId="164" fontId="35" fillId="0" borderId="0" xfId="0" applyNumberFormat="1" applyFont="1" applyProtection="1"/>
    <xf numFmtId="0" fontId="31" fillId="0" borderId="0" xfId="0" applyFont="1" applyProtection="1"/>
    <xf numFmtId="165" fontId="0" fillId="0" borderId="0" xfId="0" applyNumberFormat="1" applyAlignment="1" applyProtection="1">
      <alignment horizontal="center" vertical="center" wrapText="1"/>
    </xf>
    <xf numFmtId="0" fontId="0" fillId="0" borderId="0" xfId="0" applyFill="1" applyAlignment="1" applyProtection="1">
      <alignment horizontal="left" wrapText="1"/>
    </xf>
    <xf numFmtId="165" fontId="4" fillId="0" borderId="0" xfId="0" applyNumberFormat="1" applyFont="1" applyAlignment="1" applyProtection="1">
      <alignment horizontal="center"/>
    </xf>
    <xf numFmtId="165" fontId="4" fillId="0" borderId="0" xfId="0" applyNumberFormat="1" applyFont="1" applyAlignment="1" applyProtection="1">
      <alignment horizontal="center" vertical="center"/>
    </xf>
    <xf numFmtId="164" fontId="0" fillId="0" borderId="0" xfId="0" applyNumberFormat="1" applyAlignment="1" applyProtection="1">
      <alignment vertical="center" wrapText="1"/>
    </xf>
    <xf numFmtId="164" fontId="0" fillId="0" borderId="0" xfId="0" applyNumberFormat="1" applyFill="1" applyAlignment="1" applyProtection="1">
      <alignment horizontal="center" vertical="center" wrapText="1"/>
    </xf>
    <xf numFmtId="0" fontId="0" fillId="0" borderId="0" xfId="0" applyFill="1" applyAlignment="1" applyProtection="1">
      <alignment vertical="center" wrapText="1"/>
    </xf>
    <xf numFmtId="0" fontId="24" fillId="0" borderId="0" xfId="0" applyFont="1" applyFill="1" applyProtection="1"/>
    <xf numFmtId="0" fontId="3" fillId="0" borderId="0" xfId="0" applyFont="1" applyAlignment="1" applyProtection="1">
      <alignment horizontal="left" indent="2"/>
    </xf>
    <xf numFmtId="2" fontId="0" fillId="0" borderId="0" xfId="0" applyNumberFormat="1" applyAlignment="1" applyProtection="1">
      <alignment horizontal="center" vertical="center" wrapText="1"/>
    </xf>
    <xf numFmtId="0" fontId="4" fillId="0" borderId="0" xfId="0" applyFont="1" applyAlignment="1" applyProtection="1">
      <alignment horizontal="left" indent="2"/>
    </xf>
    <xf numFmtId="0" fontId="0" fillId="0" borderId="0" xfId="0" applyFill="1" applyAlignment="1" applyProtection="1">
      <alignment horizontal="right"/>
    </xf>
    <xf numFmtId="0" fontId="3" fillId="0" borderId="0" xfId="0" applyFont="1" applyAlignment="1" applyProtection="1">
      <alignment horizontal="left"/>
    </xf>
    <xf numFmtId="164" fontId="0" fillId="0" borderId="0" xfId="0" applyNumberFormat="1" applyAlignment="1" applyProtection="1">
      <alignment horizontal="center"/>
    </xf>
    <xf numFmtId="0" fontId="11" fillId="0" borderId="0" xfId="7" applyFont="1" applyAlignment="1">
      <alignment horizontal="center"/>
    </xf>
    <xf numFmtId="0" fontId="0" fillId="0" borderId="0" xfId="0" applyFill="1" applyAlignment="1" applyProtection="1">
      <alignment horizontal="right" vertical="center"/>
    </xf>
    <xf numFmtId="165" fontId="2" fillId="0" borderId="0" xfId="7" applyNumberFormat="1" applyAlignment="1">
      <alignment horizontal="center"/>
    </xf>
    <xf numFmtId="0" fontId="11" fillId="0" borderId="0" xfId="0" applyFont="1" applyAlignment="1">
      <alignment horizontal="center"/>
    </xf>
    <xf numFmtId="0" fontId="37" fillId="0" borderId="0" xfId="0" applyFont="1" applyAlignment="1">
      <alignment horizontal="center"/>
    </xf>
    <xf numFmtId="0" fontId="2" fillId="0" borderId="0" xfId="7" applyFont="1" applyAlignment="1">
      <alignment horizontal="center"/>
    </xf>
    <xf numFmtId="0" fontId="12" fillId="0" borderId="0" xfId="7" applyFont="1" applyAlignment="1">
      <alignment horizontal="center"/>
    </xf>
    <xf numFmtId="0" fontId="0" fillId="0" borderId="0" xfId="0" applyAlignment="1"/>
    <xf numFmtId="0" fontId="29" fillId="0" borderId="0" xfId="8" applyFont="1" applyProtection="1"/>
    <xf numFmtId="0" fontId="29" fillId="0" borderId="0" xfId="8" applyFont="1" applyAlignment="1" applyProtection="1">
      <alignment vertical="center"/>
    </xf>
    <xf numFmtId="0" fontId="0" fillId="0" borderId="0" xfId="0" applyFill="1" applyBorder="1" applyAlignment="1" applyProtection="1">
      <alignment horizontal="center"/>
    </xf>
    <xf numFmtId="0" fontId="11" fillId="0" borderId="0" xfId="0" applyFont="1" applyAlignment="1" applyProtection="1">
      <alignment vertical="center"/>
    </xf>
    <xf numFmtId="0" fontId="11" fillId="0" borderId="0" xfId="0" applyFont="1" applyAlignment="1" applyProtection="1">
      <alignment horizontal="left" indent="1"/>
    </xf>
    <xf numFmtId="0" fontId="2" fillId="0" borderId="0" xfId="8" applyFill="1" applyBorder="1" applyProtection="1">
      <protection locked="0"/>
    </xf>
    <xf numFmtId="1" fontId="0" fillId="0" borderId="0" xfId="0" applyNumberFormat="1" applyFill="1" applyBorder="1" applyAlignment="1" applyProtection="1">
      <alignment horizontal="center"/>
    </xf>
    <xf numFmtId="0" fontId="2" fillId="0" borderId="0" xfId="0" applyFont="1" applyAlignment="1" applyProtection="1">
      <alignment horizontal="center"/>
    </xf>
    <xf numFmtId="2" fontId="2" fillId="0" borderId="0" xfId="0" applyNumberFormat="1" applyFont="1" applyProtection="1"/>
    <xf numFmtId="0" fontId="2" fillId="0" borderId="0" xfId="0" applyFont="1" applyAlignment="1" applyProtection="1">
      <alignment vertical="center" wrapText="1"/>
    </xf>
    <xf numFmtId="0" fontId="2" fillId="0" borderId="0" xfId="0" applyFont="1" applyFill="1" applyProtection="1"/>
    <xf numFmtId="1" fontId="0" fillId="0" borderId="0" xfId="0" applyNumberFormat="1" applyAlignment="1" applyProtection="1">
      <alignment horizontal="center"/>
    </xf>
    <xf numFmtId="165" fontId="0" fillId="0" borderId="0" xfId="0" applyNumberFormat="1" applyFill="1" applyAlignment="1" applyProtection="1">
      <alignment vertical="center"/>
    </xf>
    <xf numFmtId="165" fontId="0" fillId="0" borderId="0" xfId="0" applyNumberFormat="1" applyAlignment="1" applyProtection="1">
      <alignment horizontal="center" vertical="center"/>
    </xf>
    <xf numFmtId="0" fontId="2" fillId="2" borderId="3" xfId="8" applyFont="1" applyFill="1" applyBorder="1" applyProtection="1">
      <protection locked="0"/>
    </xf>
    <xf numFmtId="0" fontId="4" fillId="0" borderId="0" xfId="0" applyFont="1" applyAlignment="1" applyProtection="1">
      <alignment horizontal="center"/>
    </xf>
    <xf numFmtId="0" fontId="33" fillId="0" borderId="0" xfId="0" applyFont="1" applyFill="1" applyProtection="1"/>
    <xf numFmtId="49" fontId="0" fillId="2" borderId="11" xfId="0" applyNumberFormat="1" applyFill="1" applyBorder="1" applyAlignment="1" applyProtection="1">
      <alignment horizontal="center"/>
      <protection locked="0"/>
    </xf>
    <xf numFmtId="0" fontId="25" fillId="0" borderId="0" xfId="0" applyFont="1" applyFill="1" applyProtection="1"/>
    <xf numFmtId="0" fontId="2" fillId="0" borderId="0" xfId="9" applyFont="1" applyAlignment="1">
      <alignment horizontal="left" indent="2"/>
    </xf>
    <xf numFmtId="0" fontId="38" fillId="0" borderId="0" xfId="0" applyFont="1" applyProtection="1"/>
    <xf numFmtId="0" fontId="39" fillId="0" borderId="0" xfId="0" applyFont="1" applyProtection="1"/>
    <xf numFmtId="0" fontId="4" fillId="2" borderId="23" xfId="0" applyFont="1" applyFill="1" applyBorder="1" applyAlignment="1" applyProtection="1">
      <alignment horizontal="center"/>
      <protection locked="0"/>
    </xf>
    <xf numFmtId="14" fontId="4" fillId="2" borderId="25" xfId="0" quotePrefix="1" applyNumberFormat="1" applyFont="1" applyFill="1" applyBorder="1" applyAlignment="1" applyProtection="1">
      <alignment horizontal="center" shrinkToFit="1"/>
      <protection locked="0"/>
    </xf>
    <xf numFmtId="14" fontId="4" fillId="2" borderId="24" xfId="0" applyNumberFormat="1" applyFont="1" applyFill="1" applyBorder="1" applyAlignment="1" applyProtection="1">
      <alignment horizontal="center" shrinkToFit="1"/>
      <protection locked="0"/>
    </xf>
    <xf numFmtId="0" fontId="2" fillId="0" borderId="0" xfId="0" applyFont="1" applyAlignment="1" applyProtection="1">
      <alignment vertical="top" wrapText="1"/>
    </xf>
    <xf numFmtId="0" fontId="27" fillId="0" borderId="0" xfId="0" applyFont="1" applyProtection="1"/>
    <xf numFmtId="0" fontId="40" fillId="0" borderId="0" xfId="0" applyFont="1" applyProtection="1"/>
    <xf numFmtId="1" fontId="0" fillId="0" borderId="0" xfId="0" applyNumberFormat="1" applyAlignment="1" applyProtection="1"/>
    <xf numFmtId="0" fontId="2" fillId="2" borderId="2" xfId="0" applyFont="1" applyFill="1" applyBorder="1" applyAlignment="1" applyProtection="1">
      <alignment horizontal="right"/>
      <protection locked="0"/>
    </xf>
    <xf numFmtId="0" fontId="2" fillId="2" borderId="22" xfId="0" applyFont="1" applyFill="1" applyBorder="1" applyAlignment="1" applyProtection="1">
      <alignment horizontal="center"/>
      <protection locked="0"/>
    </xf>
    <xf numFmtId="0" fontId="22" fillId="0" borderId="0" xfId="0" applyFont="1" applyFill="1" applyProtection="1"/>
    <xf numFmtId="0" fontId="22" fillId="0" borderId="0" xfId="0" applyFont="1" applyProtection="1"/>
    <xf numFmtId="0" fontId="22" fillId="0" borderId="0" xfId="0" applyFont="1" applyAlignment="1" applyProtection="1">
      <alignment horizontal="right"/>
    </xf>
    <xf numFmtId="2" fontId="22" fillId="0" borderId="0" xfId="0" applyNumberFormat="1" applyFont="1" applyProtection="1"/>
    <xf numFmtId="2" fontId="22" fillId="0" borderId="0" xfId="0" applyNumberFormat="1" applyFont="1" applyFill="1" applyProtection="1"/>
    <xf numFmtId="0" fontId="22" fillId="0" borderId="0" xfId="0" applyFont="1" applyAlignment="1" applyProtection="1">
      <alignment horizontal="center"/>
    </xf>
    <xf numFmtId="0" fontId="2" fillId="0" borderId="0" xfId="0" applyFont="1"/>
    <xf numFmtId="0" fontId="0" fillId="0" borderId="0" xfId="0" applyFont="1" applyProtection="1"/>
    <xf numFmtId="0" fontId="0" fillId="0" borderId="0" xfId="0" applyAlignment="1" applyProtection="1">
      <alignment vertical="center" wrapText="1"/>
    </xf>
    <xf numFmtId="0" fontId="2" fillId="0" borderId="0" xfId="0" applyFont="1" applyAlignment="1" applyProtection="1">
      <alignment vertical="center"/>
    </xf>
    <xf numFmtId="0" fontId="2" fillId="0" borderId="11" xfId="0" applyFont="1" applyBorder="1" applyProtection="1"/>
    <xf numFmtId="0" fontId="2" fillId="0" borderId="12" xfId="0" applyFont="1" applyBorder="1" applyProtection="1"/>
    <xf numFmtId="0" fontId="2" fillId="0" borderId="11" xfId="8" applyBorder="1" applyProtection="1"/>
    <xf numFmtId="0" fontId="2" fillId="0" borderId="12" xfId="8" applyBorder="1" applyProtection="1"/>
    <xf numFmtId="0" fontId="2" fillId="0" borderId="0" xfId="0" applyFont="1" applyAlignment="1" applyProtection="1">
      <alignment horizontal="right"/>
    </xf>
    <xf numFmtId="0" fontId="2" fillId="0" borderId="0" xfId="0" applyFont="1" applyAlignment="1" applyProtection="1">
      <alignment horizontal="right" vertical="center"/>
    </xf>
    <xf numFmtId="0" fontId="0" fillId="0" borderId="0" xfId="0" applyAlignment="1" applyProtection="1">
      <alignment vertical="center" wrapText="1"/>
    </xf>
    <xf numFmtId="0" fontId="0" fillId="0" borderId="10" xfId="0" applyBorder="1" applyAlignment="1">
      <alignment horizontal="center"/>
    </xf>
    <xf numFmtId="0" fontId="3" fillId="0" borderId="47" xfId="0" applyFont="1" applyBorder="1"/>
    <xf numFmtId="2" fontId="0" fillId="0" borderId="46" xfId="0" applyNumberFormat="1" applyBorder="1" applyAlignment="1">
      <alignment horizontal="center"/>
    </xf>
    <xf numFmtId="2" fontId="0" fillId="0" borderId="46" xfId="0" applyNumberFormat="1" applyFill="1" applyBorder="1" applyAlignment="1">
      <alignment horizontal="center"/>
    </xf>
    <xf numFmtId="0" fontId="4" fillId="0" borderId="48" xfId="0" applyFont="1" applyBorder="1"/>
    <xf numFmtId="0" fontId="0" fillId="0" borderId="50" xfId="0" applyBorder="1"/>
    <xf numFmtId="0" fontId="0" fillId="0" borderId="51" xfId="0" applyBorder="1"/>
    <xf numFmtId="0" fontId="3" fillId="0" borderId="52" xfId="0" applyFont="1" applyBorder="1"/>
    <xf numFmtId="2" fontId="0" fillId="0" borderId="53" xfId="0" applyNumberFormat="1" applyBorder="1" applyAlignment="1">
      <alignment horizontal="center"/>
    </xf>
    <xf numFmtId="2" fontId="0" fillId="0" borderId="54" xfId="0" applyNumberFormat="1" applyBorder="1" applyAlignment="1">
      <alignment horizontal="center"/>
    </xf>
    <xf numFmtId="2" fontId="0" fillId="0" borderId="20" xfId="0" applyNumberFormat="1" applyBorder="1" applyAlignment="1">
      <alignment horizontal="center"/>
    </xf>
    <xf numFmtId="2" fontId="0" fillId="0" borderId="21" xfId="0" applyNumberFormat="1" applyBorder="1" applyAlignment="1">
      <alignment horizontal="center"/>
    </xf>
    <xf numFmtId="2" fontId="0" fillId="0" borderId="55" xfId="0" applyNumberFormat="1"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2" fillId="0" borderId="49" xfId="0" applyFont="1" applyFill="1" applyBorder="1" applyAlignment="1">
      <alignment vertical="center"/>
    </xf>
    <xf numFmtId="0" fontId="0" fillId="0" borderId="0" xfId="0" applyAlignment="1" applyProtection="1">
      <alignment horizontal="left" vertical="center"/>
    </xf>
    <xf numFmtId="0" fontId="0" fillId="0" borderId="0" xfId="0" applyAlignment="1" applyProtection="1">
      <alignment horizontal="left"/>
    </xf>
    <xf numFmtId="0" fontId="0" fillId="0" borderId="0" xfId="0" applyAlignment="1" applyProtection="1">
      <alignment horizontal="left" vertical="center" wrapText="1"/>
    </xf>
    <xf numFmtId="0" fontId="0" fillId="0" borderId="0" xfId="0" applyAlignment="1" applyProtection="1">
      <alignment horizontal="left" vertical="top" wrapText="1"/>
    </xf>
    <xf numFmtId="0" fontId="2" fillId="0" borderId="0" xfId="0" applyFont="1" applyAlignment="1" applyProtection="1">
      <alignment horizontal="center"/>
    </xf>
    <xf numFmtId="0" fontId="4" fillId="0" borderId="0" xfId="0" applyFont="1" applyAlignment="1" applyProtection="1">
      <alignment horizontal="left"/>
    </xf>
    <xf numFmtId="0" fontId="0" fillId="0" borderId="0" xfId="0" applyAlignment="1" applyProtection="1">
      <alignment vertical="center" wrapText="1"/>
    </xf>
    <xf numFmtId="0" fontId="0" fillId="0" borderId="0" xfId="0" applyAlignment="1" applyProtection="1">
      <alignment horizontal="right"/>
    </xf>
    <xf numFmtId="0" fontId="0" fillId="0" borderId="0" xfId="0" applyFill="1" applyAlignment="1" applyProtection="1">
      <alignment horizontal="left"/>
    </xf>
    <xf numFmtId="0" fontId="0" fillId="0" borderId="62" xfId="0" applyBorder="1"/>
    <xf numFmtId="0" fontId="0" fillId="0" borderId="63" xfId="0" applyBorder="1" applyAlignment="1">
      <alignment horizontal="center"/>
    </xf>
    <xf numFmtId="0" fontId="0" fillId="0" borderId="5" xfId="0" applyBorder="1" applyAlignment="1">
      <alignment wrapText="1"/>
    </xf>
    <xf numFmtId="0" fontId="0" fillId="0" borderId="65" xfId="0" applyBorder="1" applyAlignment="1">
      <alignment horizontal="center"/>
    </xf>
    <xf numFmtId="0" fontId="0" fillId="0" borderId="5" xfId="0" applyBorder="1"/>
    <xf numFmtId="2" fontId="0" fillId="0" borderId="65" xfId="0" applyNumberFormat="1" applyBorder="1" applyAlignment="1">
      <alignment horizontal="center"/>
    </xf>
    <xf numFmtId="164" fontId="0" fillId="0" borderId="65" xfId="0" applyNumberFormat="1" applyBorder="1" applyAlignment="1">
      <alignment horizontal="center"/>
    </xf>
    <xf numFmtId="165" fontId="0" fillId="0" borderId="65" xfId="0" applyNumberFormat="1" applyBorder="1" applyAlignment="1">
      <alignment horizontal="center"/>
    </xf>
    <xf numFmtId="0" fontId="0" fillId="0" borderId="57" xfId="0" applyBorder="1"/>
    <xf numFmtId="0" fontId="0" fillId="0" borderId="66" xfId="0" applyBorder="1" applyAlignment="1">
      <alignment horizontal="center"/>
    </xf>
    <xf numFmtId="2" fontId="0" fillId="0" borderId="66" xfId="0" applyNumberFormat="1" applyBorder="1" applyAlignment="1">
      <alignment horizontal="center"/>
    </xf>
    <xf numFmtId="0" fontId="0" fillId="0" borderId="53" xfId="0" applyBorder="1"/>
    <xf numFmtId="0" fontId="0" fillId="0" borderId="68" xfId="0" applyBorder="1" applyAlignment="1">
      <alignment horizontal="center"/>
    </xf>
    <xf numFmtId="2" fontId="0" fillId="0" borderId="68" xfId="0" applyNumberFormat="1" applyBorder="1" applyAlignment="1">
      <alignment horizontal="center"/>
    </xf>
    <xf numFmtId="0" fontId="0" fillId="0" borderId="7" xfId="0" applyBorder="1" applyAlignment="1">
      <alignment horizontal="center"/>
    </xf>
    <xf numFmtId="0" fontId="0" fillId="0" borderId="20" xfId="0" applyBorder="1" applyAlignment="1">
      <alignment horizontal="center"/>
    </xf>
    <xf numFmtId="0" fontId="4" fillId="0" borderId="70" xfId="0" applyFont="1" applyBorder="1"/>
    <xf numFmtId="2" fontId="0" fillId="0" borderId="60" xfId="0" applyNumberFormat="1" applyBorder="1" applyAlignment="1">
      <alignment horizontal="center"/>
    </xf>
    <xf numFmtId="0" fontId="4" fillId="0" borderId="64" xfId="0" applyFont="1" applyBorder="1"/>
    <xf numFmtId="0" fontId="0" fillId="0" borderId="5" xfId="0" applyBorder="1" applyAlignment="1">
      <alignment horizontal="center"/>
    </xf>
    <xf numFmtId="0" fontId="0" fillId="0" borderId="6" xfId="0" applyBorder="1"/>
    <xf numFmtId="0" fontId="0" fillId="0" borderId="54" xfId="0" applyBorder="1" applyAlignment="1">
      <alignment horizontal="center"/>
    </xf>
    <xf numFmtId="2" fontId="0" fillId="0" borderId="57" xfId="0" applyNumberFormat="1" applyBorder="1" applyAlignment="1">
      <alignment horizontal="center"/>
    </xf>
    <xf numFmtId="0" fontId="4" fillId="0" borderId="69" xfId="0" applyFont="1" applyBorder="1"/>
    <xf numFmtId="0" fontId="0" fillId="0" borderId="7" xfId="0" applyBorder="1"/>
    <xf numFmtId="0" fontId="4" fillId="0" borderId="71" xfId="0" applyFont="1" applyBorder="1" applyAlignment="1">
      <alignment horizontal="center"/>
    </xf>
    <xf numFmtId="0" fontId="0" fillId="0" borderId="72" xfId="0" applyFont="1" applyBorder="1" applyAlignment="1">
      <alignment horizontal="center"/>
    </xf>
    <xf numFmtId="0" fontId="0" fillId="0" borderId="67" xfId="0" applyBorder="1" applyAlignment="1">
      <alignment horizontal="center"/>
    </xf>
    <xf numFmtId="0" fontId="0" fillId="0" borderId="57" xfId="0" applyBorder="1" applyAlignment="1">
      <alignment horizontal="center" vertical="center" wrapText="1"/>
    </xf>
    <xf numFmtId="0" fontId="0" fillId="0" borderId="73" xfId="0" applyBorder="1" applyAlignment="1">
      <alignment horizontal="center"/>
    </xf>
    <xf numFmtId="0" fontId="0" fillId="0" borderId="9" xfId="0" applyBorder="1"/>
    <xf numFmtId="0" fontId="0" fillId="0" borderId="10" xfId="0" applyBorder="1" applyAlignment="1">
      <alignment horizontal="right"/>
    </xf>
    <xf numFmtId="0" fontId="0" fillId="0" borderId="74" xfId="0" applyBorder="1"/>
    <xf numFmtId="0" fontId="4" fillId="0" borderId="14" xfId="0" applyFont="1" applyBorder="1"/>
    <xf numFmtId="0" fontId="0" fillId="0" borderId="32" xfId="0" applyBorder="1"/>
    <xf numFmtId="0" fontId="0" fillId="0" borderId="33" xfId="0" applyBorder="1"/>
    <xf numFmtId="0" fontId="4" fillId="0" borderId="33" xfId="0" applyFont="1" applyBorder="1" applyAlignment="1">
      <alignment horizontal="right"/>
    </xf>
    <xf numFmtId="0" fontId="0" fillId="0" borderId="33" xfId="0" applyBorder="1" applyAlignment="1">
      <alignment horizontal="right"/>
    </xf>
    <xf numFmtId="2" fontId="4" fillId="0" borderId="33" xfId="0" applyNumberFormat="1" applyFont="1" applyBorder="1" applyAlignment="1">
      <alignment horizontal="center"/>
    </xf>
    <xf numFmtId="0" fontId="0" fillId="0" borderId="75" xfId="0" applyBorder="1"/>
    <xf numFmtId="0" fontId="0" fillId="0" borderId="9" xfId="0" applyBorder="1" applyAlignment="1">
      <alignment horizontal="right"/>
    </xf>
    <xf numFmtId="0" fontId="0" fillId="0" borderId="74" xfId="0" applyBorder="1" applyAlignment="1">
      <alignment horizontal="right"/>
    </xf>
    <xf numFmtId="0" fontId="0" fillId="0" borderId="32" xfId="0" applyBorder="1" applyAlignment="1">
      <alignment horizontal="right"/>
    </xf>
    <xf numFmtId="0" fontId="0" fillId="0" borderId="14" xfId="0" applyBorder="1"/>
    <xf numFmtId="0" fontId="0" fillId="0" borderId="0" xfId="0" applyFont="1" applyFill="1" applyBorder="1" applyAlignment="1">
      <alignment horizontal="center"/>
    </xf>
    <xf numFmtId="0" fontId="0" fillId="0" borderId="0" xfId="0" applyFill="1" applyBorder="1" applyAlignment="1">
      <alignment horizontal="center"/>
    </xf>
    <xf numFmtId="0" fontId="29" fillId="0" borderId="0" xfId="0" applyFont="1" applyBorder="1" applyProtection="1"/>
    <xf numFmtId="0" fontId="0" fillId="0" borderId="0" xfId="0" applyAlignment="1" applyProtection="1">
      <alignment vertical="center" wrapText="1"/>
    </xf>
    <xf numFmtId="0" fontId="0" fillId="0" borderId="0" xfId="0" applyAlignment="1" applyProtection="1">
      <alignment horizontal="left" vertical="center" wrapText="1"/>
    </xf>
    <xf numFmtId="0" fontId="4" fillId="0" borderId="0" xfId="0" applyFont="1" applyAlignment="1" applyProtection="1">
      <alignment horizontal="left"/>
    </xf>
    <xf numFmtId="0" fontId="0" fillId="0" borderId="0" xfId="0" applyAlignment="1" applyProtection="1">
      <alignment horizontal="left" vertical="center"/>
    </xf>
    <xf numFmtId="0" fontId="0" fillId="0" borderId="0" xfId="0"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alignment horizontal="left"/>
    </xf>
    <xf numFmtId="0" fontId="4" fillId="0" borderId="0" xfId="0" applyFont="1" applyAlignment="1" applyProtection="1">
      <alignment horizontal="left"/>
    </xf>
    <xf numFmtId="0" fontId="0" fillId="0" borderId="63" xfId="0" applyBorder="1"/>
    <xf numFmtId="0" fontId="2" fillId="0" borderId="65" xfId="0" applyFont="1" applyBorder="1" applyAlignment="1">
      <alignment horizontal="center"/>
    </xf>
    <xf numFmtId="0" fontId="2" fillId="0" borderId="6" xfId="0" applyFont="1" applyBorder="1" applyAlignment="1">
      <alignment horizontal="center"/>
    </xf>
    <xf numFmtId="1" fontId="21" fillId="0" borderId="65" xfId="0" applyNumberFormat="1" applyFont="1" applyBorder="1" applyAlignment="1">
      <alignment horizontal="center"/>
    </xf>
    <xf numFmtId="1" fontId="0" fillId="0" borderId="65" xfId="0" applyNumberFormat="1" applyBorder="1" applyAlignment="1">
      <alignment horizontal="center"/>
    </xf>
    <xf numFmtId="1" fontId="0" fillId="0" borderId="6" xfId="0" applyNumberFormat="1" applyBorder="1" applyAlignment="1">
      <alignment horizontal="center"/>
    </xf>
    <xf numFmtId="1" fontId="21" fillId="0" borderId="66" xfId="0" applyNumberFormat="1" applyFont="1" applyBorder="1" applyAlignment="1">
      <alignment horizontal="center"/>
    </xf>
    <xf numFmtId="1" fontId="0" fillId="0" borderId="66" xfId="0" applyNumberFormat="1" applyBorder="1" applyAlignment="1">
      <alignment horizontal="center"/>
    </xf>
    <xf numFmtId="1" fontId="0" fillId="0" borderId="58" xfId="0" applyNumberFormat="1" applyBorder="1" applyAlignment="1">
      <alignment horizontal="center"/>
    </xf>
    <xf numFmtId="1" fontId="21" fillId="0" borderId="68" xfId="0" applyNumberFormat="1" applyFont="1" applyBorder="1" applyAlignment="1">
      <alignment horizontal="center"/>
    </xf>
    <xf numFmtId="1" fontId="0" fillId="0" borderId="68" xfId="0" applyNumberFormat="1" applyBorder="1" applyAlignment="1">
      <alignment horizontal="center"/>
    </xf>
    <xf numFmtId="1" fontId="0" fillId="0" borderId="54" xfId="0" applyNumberFormat="1" applyBorder="1" applyAlignment="1">
      <alignment horizontal="center"/>
    </xf>
    <xf numFmtId="0" fontId="2" fillId="0" borderId="66" xfId="0" applyFont="1" applyBorder="1" applyAlignment="1">
      <alignment horizontal="center"/>
    </xf>
    <xf numFmtId="0" fontId="2" fillId="0" borderId="58" xfId="0" applyFont="1" applyBorder="1" applyAlignment="1">
      <alignment horizontal="center"/>
    </xf>
    <xf numFmtId="0" fontId="0" fillId="0" borderId="69" xfId="0" applyBorder="1"/>
    <xf numFmtId="0" fontId="2" fillId="0" borderId="7" xfId="0" applyFont="1" applyBorder="1" applyAlignment="1">
      <alignment horizontal="center"/>
    </xf>
    <xf numFmtId="0" fontId="2" fillId="0" borderId="59" xfId="0" applyFont="1" applyBorder="1" applyAlignment="1">
      <alignment horizontal="center"/>
    </xf>
    <xf numFmtId="0" fontId="21" fillId="0" borderId="20" xfId="0" applyFont="1" applyBorder="1" applyAlignment="1">
      <alignment horizontal="center"/>
    </xf>
    <xf numFmtId="0" fontId="21" fillId="0" borderId="7" xfId="0" applyFont="1" applyBorder="1" applyAlignment="1">
      <alignment horizontal="center"/>
    </xf>
    <xf numFmtId="0" fontId="21" fillId="0" borderId="59" xfId="0" applyFont="1" applyBorder="1" applyAlignment="1">
      <alignment horizontal="center"/>
    </xf>
    <xf numFmtId="0" fontId="2" fillId="0" borderId="5" xfId="0" applyFont="1" applyBorder="1" applyAlignment="1">
      <alignment horizontal="center"/>
    </xf>
    <xf numFmtId="0" fontId="2" fillId="0" borderId="57" xfId="0" applyFont="1" applyBorder="1" applyAlignment="1">
      <alignment horizontal="center"/>
    </xf>
    <xf numFmtId="1" fontId="21" fillId="0" borderId="53" xfId="0" applyNumberFormat="1" applyFont="1" applyBorder="1" applyAlignment="1">
      <alignment horizontal="center"/>
    </xf>
    <xf numFmtId="1" fontId="21" fillId="0" borderId="54" xfId="0" applyNumberFormat="1" applyFont="1" applyBorder="1" applyAlignment="1">
      <alignment horizontal="center"/>
    </xf>
    <xf numFmtId="1" fontId="21" fillId="0" borderId="5" xfId="0" applyNumberFormat="1" applyFont="1" applyBorder="1" applyAlignment="1">
      <alignment horizontal="center"/>
    </xf>
    <xf numFmtId="1" fontId="21" fillId="0" borderId="6" xfId="0" applyNumberFormat="1" applyFont="1" applyBorder="1" applyAlignment="1">
      <alignment horizontal="center"/>
    </xf>
    <xf numFmtId="1" fontId="21" fillId="0" borderId="57" xfId="0" applyNumberFormat="1" applyFont="1" applyBorder="1" applyAlignment="1">
      <alignment horizontal="center"/>
    </xf>
    <xf numFmtId="1" fontId="21" fillId="0" borderId="58" xfId="0" applyNumberFormat="1" applyFont="1" applyBorder="1" applyAlignment="1">
      <alignment horizontal="center"/>
    </xf>
    <xf numFmtId="1" fontId="0" fillId="0" borderId="53" xfId="0" applyNumberFormat="1" applyBorder="1" applyAlignment="1">
      <alignment horizontal="center"/>
    </xf>
    <xf numFmtId="1" fontId="0" fillId="0" borderId="57" xfId="0" applyNumberFormat="1" applyBorder="1" applyAlignment="1">
      <alignment horizontal="center"/>
    </xf>
    <xf numFmtId="0" fontId="2" fillId="0" borderId="0" xfId="0" applyFont="1" applyFill="1" applyBorder="1" applyAlignment="1">
      <alignment horizontal="left"/>
    </xf>
    <xf numFmtId="0" fontId="0" fillId="0" borderId="0" xfId="0" applyAlignment="1" applyProtection="1">
      <alignment vertical="center" wrapText="1"/>
    </xf>
    <xf numFmtId="0" fontId="0" fillId="0" borderId="0" xfId="0" applyAlignment="1" applyProtection="1">
      <alignment horizontal="right"/>
    </xf>
    <xf numFmtId="172" fontId="0" fillId="2" borderId="12" xfId="0" applyNumberFormat="1" applyFill="1" applyBorder="1" applyProtection="1">
      <protection locked="0"/>
    </xf>
    <xf numFmtId="0" fontId="0" fillId="0" borderId="0" xfId="0" applyAlignment="1" applyProtection="1">
      <alignment horizontal="left" indent="4"/>
    </xf>
    <xf numFmtId="172" fontId="0" fillId="0" borderId="0" xfId="0" applyNumberFormat="1" applyProtection="1"/>
    <xf numFmtId="0" fontId="2" fillId="0" borderId="0" xfId="0" applyNumberFormat="1" applyFont="1" applyAlignment="1" applyProtection="1">
      <alignment vertical="top"/>
    </xf>
    <xf numFmtId="0" fontId="0" fillId="0" borderId="0" xfId="0" applyAlignment="1" applyProtection="1">
      <alignment horizontal="left" vertical="center"/>
    </xf>
    <xf numFmtId="0" fontId="15" fillId="0" borderId="0" xfId="0" applyFont="1" applyFill="1" applyProtection="1"/>
    <xf numFmtId="172" fontId="0" fillId="2" borderId="2" xfId="0" applyNumberFormat="1" applyFill="1" applyBorder="1" applyAlignment="1" applyProtection="1">
      <alignment vertical="center"/>
      <protection locked="0"/>
    </xf>
    <xf numFmtId="0" fontId="2" fillId="0" borderId="0" xfId="0" applyFont="1" applyAlignment="1" applyProtection="1">
      <alignment horizontal="left"/>
    </xf>
    <xf numFmtId="166" fontId="0" fillId="0" borderId="0" xfId="0" applyNumberFormat="1" applyAlignment="1" applyProtection="1">
      <alignment horizontal="center"/>
    </xf>
    <xf numFmtId="0" fontId="2" fillId="0" borderId="0" xfId="0" applyFont="1" applyAlignment="1" applyProtection="1">
      <alignment horizontal="left" indent="2"/>
    </xf>
    <xf numFmtId="0" fontId="0" fillId="0" borderId="0" xfId="0" applyAlignment="1" applyProtection="1">
      <alignment vertical="center" wrapText="1"/>
    </xf>
    <xf numFmtId="0" fontId="0" fillId="0" borderId="0" xfId="0" applyAlignment="1" applyProtection="1">
      <alignment horizontal="left" vertical="center"/>
    </xf>
    <xf numFmtId="0" fontId="0" fillId="0" borderId="0" xfId="0" applyNumberFormat="1" applyAlignment="1" applyProtection="1">
      <alignment horizontal="left" vertical="top" wrapText="1"/>
    </xf>
    <xf numFmtId="0" fontId="4" fillId="0" borderId="0" xfId="0" applyFont="1" applyBorder="1"/>
    <xf numFmtId="0" fontId="2" fillId="0" borderId="0" xfId="0" applyFont="1" applyBorder="1" applyAlignment="1">
      <alignment horizontal="center"/>
    </xf>
    <xf numFmtId="1" fontId="0" fillId="0" borderId="0" xfId="0" applyNumberFormat="1" applyBorder="1" applyAlignment="1">
      <alignment horizontal="center"/>
    </xf>
    <xf numFmtId="1" fontId="21" fillId="0" borderId="0" xfId="0" applyNumberFormat="1" applyFont="1" applyBorder="1" applyAlignment="1">
      <alignment horizontal="center"/>
    </xf>
    <xf numFmtId="1" fontId="4" fillId="0" borderId="0" xfId="0" applyNumberFormat="1" applyFont="1" applyBorder="1" applyAlignment="1">
      <alignment horizontal="center"/>
    </xf>
    <xf numFmtId="1" fontId="2" fillId="0" borderId="0" xfId="0" applyNumberFormat="1" applyFont="1" applyBorder="1" applyAlignment="1">
      <alignment horizontal="center"/>
    </xf>
    <xf numFmtId="0" fontId="21" fillId="0" borderId="0" xfId="0" applyFont="1" applyBorder="1"/>
    <xf numFmtId="0" fontId="21" fillId="0" borderId="0" xfId="0" applyFont="1" applyBorder="1" applyAlignment="1">
      <alignment horizontal="center"/>
    </xf>
    <xf numFmtId="0" fontId="2" fillId="0" borderId="0" xfId="0" applyFont="1" applyBorder="1" applyAlignment="1"/>
    <xf numFmtId="0" fontId="42" fillId="0" borderId="5" xfId="0" applyFont="1" applyBorder="1" applyAlignment="1">
      <alignment horizontal="center"/>
    </xf>
    <xf numFmtId="0" fontId="42" fillId="0" borderId="65" xfId="0" applyFont="1" applyBorder="1" applyAlignment="1">
      <alignment horizontal="center"/>
    </xf>
    <xf numFmtId="0" fontId="42" fillId="0" borderId="6" xfId="0" applyFont="1" applyBorder="1" applyAlignment="1">
      <alignment horizontal="center"/>
    </xf>
    <xf numFmtId="0" fontId="42" fillId="0" borderId="57" xfId="0" applyFont="1" applyBorder="1" applyAlignment="1">
      <alignment horizontal="center"/>
    </xf>
    <xf numFmtId="0" fontId="42" fillId="0" borderId="66" xfId="0" applyFont="1" applyBorder="1" applyAlignment="1">
      <alignment horizontal="center"/>
    </xf>
    <xf numFmtId="0" fontId="42" fillId="0" borderId="58" xfId="0" applyFont="1" applyBorder="1" applyAlignment="1">
      <alignment horizontal="center"/>
    </xf>
    <xf numFmtId="1" fontId="42" fillId="0" borderId="53" xfId="0" applyNumberFormat="1" applyFont="1" applyBorder="1" applyAlignment="1">
      <alignment horizontal="center"/>
    </xf>
    <xf numFmtId="1" fontId="42" fillId="0" borderId="68" xfId="0" applyNumberFormat="1" applyFont="1" applyBorder="1" applyAlignment="1">
      <alignment horizontal="center"/>
    </xf>
    <xf numFmtId="1" fontId="42" fillId="0" borderId="54" xfId="0" applyNumberFormat="1" applyFont="1" applyBorder="1" applyAlignment="1">
      <alignment horizontal="center"/>
    </xf>
    <xf numFmtId="1" fontId="42" fillId="0" borderId="5" xfId="0" applyNumberFormat="1" applyFont="1" applyBorder="1" applyAlignment="1">
      <alignment horizontal="center"/>
    </xf>
    <xf numFmtId="1" fontId="42" fillId="0" borderId="65" xfId="0" applyNumberFormat="1" applyFont="1" applyBorder="1" applyAlignment="1">
      <alignment horizontal="center"/>
    </xf>
    <xf numFmtId="1" fontId="42" fillId="0" borderId="6" xfId="0" applyNumberFormat="1" applyFont="1" applyBorder="1" applyAlignment="1">
      <alignment horizontal="center"/>
    </xf>
    <xf numFmtId="1" fontId="42" fillId="0" borderId="57" xfId="0" applyNumberFormat="1" applyFont="1" applyBorder="1" applyAlignment="1">
      <alignment horizontal="center"/>
    </xf>
    <xf numFmtId="1" fontId="42" fillId="0" borderId="66" xfId="0" applyNumberFormat="1" applyFont="1" applyBorder="1" applyAlignment="1">
      <alignment horizontal="center"/>
    </xf>
    <xf numFmtId="1" fontId="42" fillId="0" borderId="58" xfId="0" applyNumberFormat="1" applyFont="1" applyBorder="1" applyAlignment="1">
      <alignment horizontal="center"/>
    </xf>
    <xf numFmtId="0" fontId="42" fillId="0" borderId="0" xfId="0" applyFont="1"/>
    <xf numFmtId="1" fontId="43" fillId="0" borderId="53" xfId="0" applyNumberFormat="1" applyFont="1" applyBorder="1" applyAlignment="1">
      <alignment horizontal="center"/>
    </xf>
    <xf numFmtId="1" fontId="43" fillId="0" borderId="68" xfId="0" applyNumberFormat="1" applyFont="1" applyBorder="1" applyAlignment="1">
      <alignment horizontal="center"/>
    </xf>
    <xf numFmtId="1" fontId="43" fillId="0" borderId="54" xfId="0" applyNumberFormat="1" applyFont="1" applyBorder="1" applyAlignment="1">
      <alignment horizontal="center"/>
    </xf>
    <xf numFmtId="1" fontId="43" fillId="0" borderId="5" xfId="0" applyNumberFormat="1" applyFont="1" applyBorder="1" applyAlignment="1">
      <alignment horizontal="center"/>
    </xf>
    <xf numFmtId="1" fontId="43" fillId="0" borderId="65" xfId="0" applyNumberFormat="1" applyFont="1" applyBorder="1" applyAlignment="1">
      <alignment horizontal="center"/>
    </xf>
    <xf numFmtId="1" fontId="43" fillId="0" borderId="6" xfId="0" applyNumberFormat="1" applyFont="1" applyBorder="1" applyAlignment="1">
      <alignment horizontal="center"/>
    </xf>
    <xf numFmtId="1" fontId="43" fillId="0" borderId="57" xfId="0" applyNumberFormat="1" applyFont="1" applyBorder="1" applyAlignment="1">
      <alignment horizontal="center"/>
    </xf>
    <xf numFmtId="1" fontId="43" fillId="0" borderId="66" xfId="0" applyNumberFormat="1" applyFont="1" applyBorder="1" applyAlignment="1">
      <alignment horizontal="center"/>
    </xf>
    <xf numFmtId="1" fontId="43" fillId="0" borderId="58" xfId="0" applyNumberFormat="1" applyFont="1" applyBorder="1" applyAlignment="1">
      <alignment horizontal="center"/>
    </xf>
    <xf numFmtId="0" fontId="0" fillId="0" borderId="0" xfId="0" applyAlignment="1" applyProtection="1">
      <alignment vertical="center" wrapText="1"/>
    </xf>
    <xf numFmtId="0" fontId="0" fillId="0" borderId="0" xfId="0" applyBorder="1" applyAlignment="1" applyProtection="1">
      <alignment vertical="center"/>
    </xf>
    <xf numFmtId="0" fontId="28" fillId="0" borderId="0" xfId="0" applyFont="1" applyFill="1" applyProtection="1"/>
    <xf numFmtId="0" fontId="44" fillId="0" borderId="0" xfId="0" applyFont="1" applyFill="1" applyProtection="1"/>
    <xf numFmtId="0" fontId="0" fillId="0" borderId="0" xfId="0" applyAlignment="1" applyProtection="1">
      <alignment horizontal="right"/>
    </xf>
    <xf numFmtId="1" fontId="0" fillId="0" borderId="0" xfId="0" applyNumberFormat="1" applyAlignment="1">
      <alignment horizontal="center"/>
    </xf>
    <xf numFmtId="0" fontId="12" fillId="0" borderId="0" xfId="0" applyFont="1" applyAlignment="1" applyProtection="1">
      <alignment horizontal="right"/>
    </xf>
    <xf numFmtId="0" fontId="11" fillId="0" borderId="0" xfId="0" applyFont="1" applyFill="1" applyAlignment="1" applyProtection="1">
      <alignment horizontal="left"/>
    </xf>
    <xf numFmtId="0" fontId="0" fillId="0" borderId="31" xfId="0" applyBorder="1" applyAlignment="1">
      <alignment horizontal="center"/>
    </xf>
    <xf numFmtId="0" fontId="0" fillId="0" borderId="10" xfId="0" applyBorder="1" applyAlignment="1">
      <alignment horizontal="center"/>
    </xf>
    <xf numFmtId="0" fontId="2" fillId="0" borderId="63" xfId="0" applyFont="1" applyBorder="1" applyAlignment="1">
      <alignment horizontal="center"/>
    </xf>
    <xf numFmtId="0" fontId="2" fillId="0" borderId="76" xfId="0" applyFont="1" applyBorder="1" applyAlignment="1">
      <alignment horizontal="center"/>
    </xf>
    <xf numFmtId="0" fontId="0" fillId="0" borderId="78" xfId="0" applyBorder="1" applyAlignment="1">
      <alignment horizontal="center"/>
    </xf>
    <xf numFmtId="2" fontId="4" fillId="0" borderId="62" xfId="0" applyNumberFormat="1" applyFont="1" applyBorder="1" applyAlignment="1">
      <alignment horizontal="center"/>
    </xf>
    <xf numFmtId="2" fontId="4" fillId="0" borderId="5" xfId="0" applyNumberFormat="1" applyFont="1" applyBorder="1" applyAlignment="1">
      <alignment horizontal="center"/>
    </xf>
    <xf numFmtId="2" fontId="4" fillId="0" borderId="57" xfId="0" applyNumberFormat="1" applyFont="1" applyBorder="1" applyAlignment="1">
      <alignment horizontal="center"/>
    </xf>
    <xf numFmtId="0" fontId="2" fillId="0" borderId="2" xfId="0" applyFont="1" applyFill="1" applyBorder="1" applyAlignment="1">
      <alignment horizontal="center"/>
    </xf>
    <xf numFmtId="2" fontId="0" fillId="0" borderId="8" xfId="0" applyNumberFormat="1" applyBorder="1" applyAlignment="1">
      <alignment horizontal="center"/>
    </xf>
    <xf numFmtId="0" fontId="2" fillId="0" borderId="0" xfId="0" applyFont="1" applyAlignment="1" applyProtection="1">
      <alignment vertical="top"/>
    </xf>
    <xf numFmtId="0" fontId="2" fillId="0" borderId="0" xfId="0" applyFont="1" applyAlignment="1" applyProtection="1">
      <alignment vertical="top" wrapText="1"/>
    </xf>
    <xf numFmtId="0" fontId="0" fillId="0" borderId="0" xfId="0" applyAlignment="1" applyProtection="1">
      <alignment vertical="top" wrapText="1"/>
    </xf>
    <xf numFmtId="0" fontId="0" fillId="0" borderId="0" xfId="0" applyAlignment="1" applyProtection="1">
      <alignment horizontal="left" vertical="top" wrapText="1"/>
    </xf>
    <xf numFmtId="0" fontId="0" fillId="0" borderId="0" xfId="0" applyAlignment="1" applyProtection="1">
      <alignment horizontal="left" vertical="center" wrapText="1"/>
    </xf>
    <xf numFmtId="0" fontId="0" fillId="0" borderId="0" xfId="0" applyFill="1" applyAlignment="1" applyProtection="1">
      <alignment horizontal="left" wrapText="1"/>
    </xf>
    <xf numFmtId="0" fontId="0" fillId="0" borderId="0" xfId="0" applyAlignment="1" applyProtection="1">
      <alignment vertical="center" wrapText="1"/>
    </xf>
    <xf numFmtId="0" fontId="4" fillId="0" borderId="0" xfId="0" applyFont="1" applyAlignment="1" applyProtection="1">
      <alignment horizontal="left" vertical="top" wrapText="1"/>
    </xf>
    <xf numFmtId="0" fontId="2"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pplyProtection="1">
      <alignment horizontal="left" vertical="center"/>
    </xf>
    <xf numFmtId="0" fontId="0" fillId="0" borderId="0" xfId="0" applyAlignment="1" applyProtection="1">
      <alignment horizontal="left"/>
    </xf>
    <xf numFmtId="0" fontId="3"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left" vertical="top" wrapText="1"/>
    </xf>
    <xf numFmtId="2" fontId="12" fillId="0" borderId="0" xfId="0" applyNumberFormat="1" applyFont="1" applyBorder="1" applyAlignment="1" applyProtection="1">
      <alignment horizontal="left"/>
    </xf>
    <xf numFmtId="0" fontId="4" fillId="0" borderId="0" xfId="0" applyFont="1" applyAlignment="1" applyProtection="1">
      <alignment horizontal="left" vertical="center" wrapText="1"/>
    </xf>
    <xf numFmtId="2" fontId="4" fillId="0" borderId="0" xfId="0" applyNumberFormat="1" applyFont="1" applyAlignment="1" applyProtection="1">
      <alignment horizontal="center"/>
    </xf>
    <xf numFmtId="0" fontId="0" fillId="0" borderId="14" xfId="0" applyBorder="1" applyAlignment="1" applyProtection="1">
      <alignment horizontal="center" vertical="center" wrapText="1"/>
    </xf>
    <xf numFmtId="2" fontId="0" fillId="0" borderId="0" xfId="0" applyNumberFormat="1" applyAlignment="1" applyProtection="1">
      <alignment horizontal="left" vertical="center" wrapText="1"/>
    </xf>
    <xf numFmtId="0" fontId="0" fillId="0" borderId="0" xfId="0" applyAlignment="1" applyProtection="1">
      <alignment horizontal="center" vertical="center" wrapText="1"/>
    </xf>
    <xf numFmtId="0" fontId="0" fillId="0" borderId="0" xfId="0" applyAlignment="1" applyProtection="1">
      <alignment wrapText="1"/>
    </xf>
    <xf numFmtId="0" fontId="4" fillId="0" borderId="0" xfId="0" applyFont="1" applyAlignment="1" applyProtection="1">
      <alignment horizontal="left" wrapText="1"/>
    </xf>
    <xf numFmtId="0" fontId="24" fillId="0" borderId="0" xfId="0" applyFont="1" applyAlignment="1" applyProtection="1">
      <alignment horizontal="left" vertical="top" wrapText="1"/>
    </xf>
    <xf numFmtId="0" fontId="25" fillId="0" borderId="0" xfId="0" applyFont="1" applyAlignment="1" applyProtection="1">
      <alignment horizontal="left" vertical="top" wrapText="1"/>
    </xf>
    <xf numFmtId="0" fontId="24" fillId="0" borderId="0" xfId="0" applyFont="1" applyAlignment="1" applyProtection="1">
      <alignment horizontal="left" wrapText="1"/>
    </xf>
    <xf numFmtId="0" fontId="2" fillId="0" borderId="0" xfId="0" applyFont="1" applyFill="1" applyAlignment="1" applyProtection="1">
      <alignment horizontal="left" vertical="top" wrapText="1"/>
    </xf>
    <xf numFmtId="0" fontId="0" fillId="0" borderId="0" xfId="0" applyAlignment="1" applyProtection="1">
      <alignment horizontal="left" vertical="center" wrapText="1" shrinkToFit="1" readingOrder="1"/>
    </xf>
    <xf numFmtId="0" fontId="0" fillId="0" borderId="0" xfId="0" applyAlignment="1" applyProtection="1">
      <alignment horizontal="left" wrapText="1" indent="2"/>
    </xf>
    <xf numFmtId="164" fontId="11" fillId="0" borderId="0" xfId="0" applyNumberFormat="1" applyFont="1" applyAlignment="1" applyProtection="1">
      <alignment horizontal="center"/>
    </xf>
    <xf numFmtId="0" fontId="2" fillId="0" borderId="0" xfId="0" applyFont="1" applyAlignment="1" applyProtection="1">
      <alignment horizontal="center"/>
    </xf>
    <xf numFmtId="1" fontId="11" fillId="0" borderId="0" xfId="0" applyNumberFormat="1" applyFont="1" applyAlignment="1" applyProtection="1">
      <alignment horizontal="center"/>
    </xf>
    <xf numFmtId="0" fontId="4" fillId="0" borderId="0" xfId="0" applyFont="1" applyAlignment="1" applyProtection="1">
      <alignment vertical="top" wrapText="1"/>
    </xf>
    <xf numFmtId="0" fontId="2" fillId="0" borderId="0" xfId="0" applyFont="1" applyAlignment="1" applyProtection="1">
      <alignment horizontal="left" vertical="center" wrapText="1"/>
    </xf>
    <xf numFmtId="0" fontId="2" fillId="0" borderId="0" xfId="0" applyNumberFormat="1" applyFont="1" applyAlignment="1" applyProtection="1">
      <alignment horizontal="left" vertical="top" wrapText="1"/>
    </xf>
    <xf numFmtId="0" fontId="0" fillId="0" borderId="0" xfId="0" applyNumberFormat="1" applyAlignment="1" applyProtection="1">
      <alignment horizontal="left" vertical="top" wrapText="1"/>
    </xf>
    <xf numFmtId="0" fontId="0" fillId="0" borderId="0" xfId="0" applyAlignment="1" applyProtection="1">
      <alignment horizontal="right"/>
    </xf>
    <xf numFmtId="171" fontId="4" fillId="0" borderId="0" xfId="0" applyNumberFormat="1" applyFont="1" applyFill="1" applyAlignment="1" applyProtection="1">
      <alignment horizontal="center"/>
    </xf>
    <xf numFmtId="0" fontId="0" fillId="0" borderId="0" xfId="0" applyFill="1" applyAlignment="1" applyProtection="1">
      <alignment horizontal="left"/>
    </xf>
    <xf numFmtId="0" fontId="4" fillId="0" borderId="0" xfId="0" applyFont="1" applyAlignment="1" applyProtection="1">
      <alignment horizontal="left"/>
    </xf>
    <xf numFmtId="0" fontId="2" fillId="0" borderId="0" xfId="8" applyFont="1" applyAlignment="1" applyProtection="1">
      <alignment vertical="center" wrapText="1"/>
    </xf>
    <xf numFmtId="0" fontId="0" fillId="0" borderId="0" xfId="0" applyBorder="1" applyAlignment="1" applyProtection="1">
      <alignment vertical="center"/>
    </xf>
    <xf numFmtId="0" fontId="0" fillId="0" borderId="0" xfId="0" applyBorder="1" applyAlignment="1" applyProtection="1"/>
    <xf numFmtId="0" fontId="0" fillId="0" borderId="0" xfId="0" applyAlignment="1">
      <alignment vertical="center" wrapText="1"/>
    </xf>
    <xf numFmtId="0" fontId="0" fillId="0" borderId="0" xfId="0" applyAlignment="1">
      <alignment wrapText="1"/>
    </xf>
    <xf numFmtId="0" fontId="41" fillId="0" borderId="39" xfId="0" applyFont="1" applyBorder="1" applyAlignment="1">
      <alignment horizontal="center"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42" xfId="0" applyFont="1" applyBorder="1" applyAlignment="1">
      <alignment horizontal="center" vertical="center"/>
    </xf>
    <xf numFmtId="0" fontId="41" fillId="0" borderId="33" xfId="0" applyFont="1" applyBorder="1" applyAlignment="1">
      <alignment horizontal="center" vertical="center"/>
    </xf>
    <xf numFmtId="0" fontId="41" fillId="0" borderId="43" xfId="0" applyFont="1" applyBorder="1" applyAlignment="1">
      <alignment horizontal="center" vertical="center"/>
    </xf>
    <xf numFmtId="0" fontId="0" fillId="0" borderId="44" xfId="0" applyBorder="1" applyAlignment="1">
      <alignment horizontal="center"/>
    </xf>
    <xf numFmtId="0" fontId="0" fillId="0" borderId="5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8" xfId="0" applyBorder="1" applyAlignment="1">
      <alignment horizontal="center"/>
    </xf>
    <xf numFmtId="0" fontId="0" fillId="0" borderId="37" xfId="0" applyBorder="1" applyAlignment="1">
      <alignment horizontal="center" wrapText="1"/>
    </xf>
    <xf numFmtId="0" fontId="0" fillId="0" borderId="35" xfId="0" applyBorder="1" applyAlignment="1">
      <alignment horizontal="center" wrapText="1"/>
    </xf>
    <xf numFmtId="0" fontId="0" fillId="0" borderId="45" xfId="0" applyBorder="1" applyAlignment="1">
      <alignment horizontal="center"/>
    </xf>
    <xf numFmtId="0" fontId="0" fillId="0" borderId="36" xfId="0" quotePrefix="1" applyBorder="1" applyAlignment="1">
      <alignment horizontal="center"/>
    </xf>
    <xf numFmtId="0" fontId="0" fillId="0" borderId="31" xfId="0" quotePrefix="1" applyBorder="1" applyAlignment="1">
      <alignment horizontal="center"/>
    </xf>
    <xf numFmtId="0" fontId="0" fillId="0" borderId="43" xfId="0" applyBorder="1" applyAlignment="1">
      <alignment horizontal="center"/>
    </xf>
    <xf numFmtId="0" fontId="4" fillId="0" borderId="0" xfId="7" applyFont="1" applyAlignment="1">
      <alignment horizontal="center"/>
    </xf>
    <xf numFmtId="0" fontId="11" fillId="0" borderId="0" xfId="7" applyFont="1" applyAlignment="1">
      <alignment horizontal="center"/>
    </xf>
    <xf numFmtId="0" fontId="0" fillId="0" borderId="0" xfId="0" applyAlignment="1">
      <alignment horizontal="left" vertical="center" wrapText="1"/>
    </xf>
    <xf numFmtId="0" fontId="4" fillId="0" borderId="0" xfId="0" applyFont="1" applyAlignment="1">
      <alignment horizontal="center" wrapText="1"/>
    </xf>
    <xf numFmtId="0" fontId="2" fillId="0" borderId="34" xfId="0" applyFont="1" applyBorder="1" applyAlignment="1">
      <alignment horizontal="center"/>
    </xf>
    <xf numFmtId="0" fontId="0" fillId="0" borderId="37" xfId="0" applyBorder="1" applyAlignment="1">
      <alignment horizontal="center"/>
    </xf>
    <xf numFmtId="0" fontId="2" fillId="0" borderId="62" xfId="0" applyFont="1" applyBorder="1" applyAlignment="1">
      <alignment horizontal="center"/>
    </xf>
    <xf numFmtId="0" fontId="2" fillId="0" borderId="63" xfId="0" applyFont="1" applyBorder="1" applyAlignment="1">
      <alignment horizontal="center"/>
    </xf>
    <xf numFmtId="0" fontId="2" fillId="0" borderId="64" xfId="0" applyFont="1" applyBorder="1" applyAlignment="1">
      <alignment horizontal="center"/>
    </xf>
    <xf numFmtId="0" fontId="42" fillId="0" borderId="62" xfId="0" applyFont="1" applyBorder="1" applyAlignment="1">
      <alignment horizontal="center"/>
    </xf>
    <xf numFmtId="0" fontId="42" fillId="0" borderId="63" xfId="0" applyFont="1" applyBorder="1" applyAlignment="1">
      <alignment horizontal="center"/>
    </xf>
    <xf numFmtId="0" fontId="42" fillId="0" borderId="64" xfId="0" applyFont="1" applyBorder="1" applyAlignment="1">
      <alignment horizontal="center"/>
    </xf>
    <xf numFmtId="0" fontId="2" fillId="0" borderId="3" xfId="0" applyFont="1" applyBorder="1" applyAlignment="1">
      <alignment horizontal="center" vertical="center"/>
    </xf>
    <xf numFmtId="0" fontId="4" fillId="0" borderId="77" xfId="0" applyFont="1" applyBorder="1" applyAlignment="1">
      <alignment horizontal="center" vertical="center"/>
    </xf>
    <xf numFmtId="0" fontId="4" fillId="0" borderId="8" xfId="0" applyFont="1" applyBorder="1" applyAlignment="1">
      <alignment horizontal="center" vertical="center"/>
    </xf>
    <xf numFmtId="0" fontId="2" fillId="0" borderId="3"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8" xfId="0" applyFont="1" applyBorder="1" applyAlignment="1">
      <alignment horizontal="center" vertical="center" wrapText="1"/>
    </xf>
  </cellXfs>
  <cellStyles count="11">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Normal" xfId="0" builtinId="0"/>
    <cellStyle name="Normal_As-calc1" xfId="7" xr:uid="{00000000-0005-0000-0000-000007000000}"/>
    <cellStyle name="Normal_As-chart4" xfId="8" xr:uid="{00000000-0005-0000-0000-000008000000}"/>
    <cellStyle name="Normal_Main" xfId="9" xr:uid="{00000000-0005-0000-0000-000009000000}"/>
    <cellStyle name="Total" xfId="10" builtinId="25" customBuiltin="1"/>
  </cellStyles>
  <dxfs count="58">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condense val="0"/>
        <extend val="0"/>
        <color indexed="10"/>
      </font>
    </dxf>
    <dxf>
      <font>
        <b/>
        <i/>
        <condense val="0"/>
        <extend val="0"/>
        <color indexed="10"/>
      </font>
    </dxf>
    <dxf>
      <font>
        <b/>
        <i/>
        <strike val="0"/>
        <condense val="0"/>
        <extend val="0"/>
        <color indexed="10"/>
      </font>
    </dxf>
    <dxf>
      <font>
        <strike val="0"/>
        <condense val="0"/>
        <extend val="0"/>
        <color indexed="10"/>
      </font>
    </dxf>
    <dxf>
      <font>
        <b/>
        <i/>
        <condense val="0"/>
        <extend val="0"/>
        <color indexed="10"/>
      </font>
    </dxf>
    <dxf>
      <font>
        <condense val="0"/>
        <extend val="0"/>
        <color indexed="10"/>
      </font>
    </dxf>
    <dxf>
      <font>
        <condense val="0"/>
        <extend val="0"/>
        <color auto="1"/>
      </font>
    </dxf>
    <dxf>
      <font>
        <b/>
        <i/>
        <condense val="0"/>
        <extend val="0"/>
        <color indexed="10"/>
      </font>
    </dxf>
    <dxf>
      <font>
        <b/>
        <i/>
        <condense val="0"/>
        <extend val="0"/>
        <color indexed="10"/>
      </font>
    </dxf>
    <dxf>
      <font>
        <b/>
        <i/>
        <strike val="0"/>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condense val="0"/>
        <extend val="0"/>
        <color auto="1"/>
      </font>
    </dxf>
    <dxf>
      <font>
        <b/>
        <i/>
        <condense val="0"/>
        <extend val="0"/>
        <color indexed="10"/>
      </font>
    </dxf>
    <dxf>
      <font>
        <b/>
        <i/>
        <condense val="0"/>
        <extend val="0"/>
        <color indexed="10"/>
      </font>
    </dxf>
    <dxf>
      <font>
        <b/>
        <i/>
        <condense val="0"/>
        <extend val="0"/>
        <color indexed="10"/>
      </font>
    </dxf>
    <dxf>
      <font>
        <b/>
        <i/>
        <condense val="0"/>
        <extend val="0"/>
        <color indexed="10"/>
      </font>
    </dxf>
    <dxf>
      <font>
        <strike val="0"/>
        <condense val="0"/>
        <extend val="0"/>
        <color indexed="10"/>
      </font>
    </dxf>
    <dxf>
      <font>
        <b/>
        <i/>
        <condense val="0"/>
        <extend val="0"/>
        <color indexed="10"/>
      </font>
    </dxf>
    <dxf>
      <font>
        <b/>
        <i/>
        <condense val="0"/>
        <extend val="0"/>
        <color indexed="10"/>
      </font>
    </dxf>
    <dxf>
      <font>
        <condense val="0"/>
        <extend val="0"/>
        <color indexed="10"/>
      </font>
    </dxf>
    <dxf>
      <font>
        <b val="0"/>
        <i val="0"/>
        <condense val="0"/>
        <extend val="0"/>
        <color auto="1"/>
      </font>
    </dxf>
    <dxf>
      <font>
        <b/>
        <i/>
        <condense val="0"/>
        <extend val="0"/>
        <color indexed="10"/>
      </font>
    </dxf>
    <dxf>
      <font>
        <condense val="0"/>
        <extend val="0"/>
        <color auto="1"/>
      </font>
    </dxf>
    <dxf>
      <font>
        <b/>
        <i/>
        <condense val="0"/>
        <extend val="0"/>
        <color indexed="10"/>
      </font>
    </dxf>
    <dxf>
      <font>
        <b/>
        <i/>
        <condense val="0"/>
        <extend val="0"/>
        <color indexed="10"/>
      </font>
    </dxf>
    <dxf>
      <font>
        <b val="0"/>
        <i val="0"/>
        <condense val="0"/>
        <extend val="0"/>
        <color auto="1"/>
      </font>
    </dxf>
    <dxf>
      <font>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strike val="0"/>
        <condense val="0"/>
        <extend val="0"/>
        <color indexed="10"/>
      </font>
    </dxf>
    <dxf>
      <font>
        <b/>
        <i/>
        <condense val="0"/>
        <extend val="0"/>
        <color indexed="10"/>
      </font>
    </dxf>
    <dxf>
      <font>
        <b/>
        <i/>
        <condense val="0"/>
        <extend val="0"/>
        <color indexed="10"/>
      </font>
    </dxf>
    <dxf>
      <font>
        <b/>
        <i/>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en-US" sz="1800" b="0" i="0" u="none" strike="noStrike" baseline="0">
                <a:solidFill>
                  <a:srgbClr val="000000"/>
                </a:solidFill>
                <a:latin typeface="Arial"/>
                <a:cs typeface="Arial"/>
              </a:rPr>
              <a:t>Sketch of Bridge Cross-Section</a:t>
            </a:r>
            <a:endParaRPr lang="en-US" sz="2000" b="0" i="0" u="none" strike="noStrike" baseline="0">
              <a:solidFill>
                <a:srgbClr val="000000"/>
              </a:solidFill>
              <a:latin typeface="Arial"/>
              <a:cs typeface="Arial"/>
            </a:endParaRPr>
          </a:p>
          <a:p>
            <a:pPr>
              <a:defRPr sz="18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(Not To Scale)</a:t>
            </a:r>
          </a:p>
        </c:rich>
      </c:tx>
      <c:layout>
        <c:manualLayout>
          <c:xMode val="edge"/>
          <c:yMode val="edge"/>
          <c:x val="0.27309272649546951"/>
          <c:y val="1.5037630789940647E-2"/>
        </c:manualLayout>
      </c:layout>
      <c:overlay val="0"/>
      <c:spPr>
        <a:noFill/>
        <a:ln w="25400">
          <a:noFill/>
        </a:ln>
      </c:spPr>
    </c:title>
    <c:autoTitleDeleted val="0"/>
    <c:plotArea>
      <c:layout>
        <c:manualLayout>
          <c:layoutTarget val="inner"/>
          <c:xMode val="edge"/>
          <c:yMode val="edge"/>
          <c:x val="6.6934491788105269E-3"/>
          <c:y val="9.523832833629077E-2"/>
          <c:w val="0.98661440895667163"/>
          <c:h val="0.89473903200146854"/>
        </c:manualLayout>
      </c:layout>
      <c:scatterChart>
        <c:scatterStyle val="lineMarker"/>
        <c:varyColors val="0"/>
        <c:ser>
          <c:idx val="0"/>
          <c:order val="0"/>
          <c:spPr>
            <a:ln w="12700">
              <a:solidFill>
                <a:srgbClr val="000080"/>
              </a:solidFill>
              <a:prstDash val="solid"/>
            </a:ln>
          </c:spPr>
          <c:marker>
            <c:symbol val="none"/>
          </c:marker>
          <c:dLbls>
            <c:dLbl>
              <c:idx val="33"/>
              <c:layout>
                <c:manualLayout>
                  <c:x val="-3.6558799970175734E-2"/>
                  <c:y val="-7.8351091454642197E-2"/>
                </c:manualLayout>
              </c:layout>
              <c:tx>
                <c:strRef>
                  <c:f>'Sketch Data'!$A$79</c:f>
                  <c:strCache>
                    <c:ptCount val="1"/>
                    <c:pt idx="0">
                      <c:v>Girder Spacing = 0.000 ft (TYP)</c:v>
                    </c:pt>
                  </c:strCache>
                </c:strRef>
              </c:tx>
              <c:spPr>
                <a:noFill/>
                <a:ln w="25400">
                  <a:noFill/>
                </a:ln>
              </c:spPr>
              <c:txPr>
                <a:bodyPr/>
                <a:lstStyle/>
                <a:p>
                  <a:pPr algn="ctr" rtl="0">
                    <a:defRPr sz="1000" b="0" i="0" u="none" strike="noStrike" baseline="0">
                      <a:solidFill>
                        <a:srgbClr val="000000"/>
                      </a:solidFill>
                      <a:latin typeface="Arial"/>
                      <a:ea typeface="Arial"/>
                      <a:cs typeface="Arial"/>
                    </a:defRPr>
                  </a:pPr>
                  <a:endParaRPr lang="en-US"/>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{8DE4D170-BE07-4464-AE40-E92A66D0D06F}</c15:txfldGUID>
                      <c15:f>'Sketch Data'!$A$79</c15:f>
                      <c15:dlblFieldTableCache>
                        <c:ptCount val="1"/>
                        <c:pt idx="0">
                          <c:v>Girder Spacing = 0.000 ft (TYP)</c:v>
                        </c:pt>
                      </c15:dlblFieldTableCache>
                    </c15:dlblFTEntry>
                  </c15:dlblFieldTable>
                  <c15:showDataLabelsRange val="0"/>
                </c:ext>
                <c:ext xmlns:c16="http://schemas.microsoft.com/office/drawing/2014/chart" uri="{C3380CC4-5D6E-409C-BE32-E72D297353CC}">
                  <c16:uniqueId val="{00000000-1ABF-4D65-85BD-2BA437F0E93B}"/>
                </c:ext>
              </c:extLst>
            </c:dLbl>
            <c:dLbl>
              <c:idx val="50"/>
              <c:layout>
                <c:manualLayout>
                  <c:x val="-7.3158773387909951E-2"/>
                  <c:y val="6.9104419875223561E-2"/>
                </c:manualLayout>
              </c:layout>
              <c:tx>
                <c:strRef>
                  <c:f>'Sketch Data'!$A$80</c:f>
                  <c:strCache>
                    <c:ptCount val="1"/>
                    <c:pt idx="0">
                      <c:v>Pile Spacing = 0.000 ft (TYP)</c:v>
                    </c:pt>
                  </c:strCache>
                </c:strRef>
              </c:tx>
              <c:spPr>
                <a:noFill/>
                <a:ln w="25400">
                  <a:noFill/>
                </a:ln>
              </c:spPr>
              <c:txPr>
                <a:bodyPr/>
                <a:lstStyle/>
                <a:p>
                  <a:pPr algn="ctr" rtl="0">
                    <a:defRPr sz="1000" b="0" i="0" u="none" strike="noStrike" baseline="0">
                      <a:solidFill>
                        <a:srgbClr val="000000"/>
                      </a:solidFill>
                      <a:latin typeface="Arial"/>
                      <a:ea typeface="Arial"/>
                      <a:cs typeface="Arial"/>
                    </a:defRPr>
                  </a:pPr>
                  <a:endParaRPr lang="en-US"/>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{9DCBB2CB-4E60-4538-80CE-E5B50574DA07}</c15:txfldGUID>
                      <c15:f>'Sketch Data'!$A$80</c15:f>
                      <c15:dlblFieldTableCache>
                        <c:ptCount val="1"/>
                        <c:pt idx="0">
                          <c:v>Pile Spacing = 0.000 ft (TYP)</c:v>
                        </c:pt>
                      </c15:dlblFieldTableCache>
                    </c15:dlblFTEntry>
                  </c15:dlblFieldTable>
                  <c15:showDataLabelsRange val="0"/>
                </c:ext>
                <c:ext xmlns:c16="http://schemas.microsoft.com/office/drawing/2014/chart" uri="{C3380CC4-5D6E-409C-BE32-E72D297353CC}">
                  <c16:uniqueId val="{00000001-1ABF-4D65-85BD-2BA437F0E93B}"/>
                </c:ext>
              </c:extLst>
            </c:dLbl>
            <c:dLbl>
              <c:idx val="68"/>
              <c:layout>
                <c:manualLayout>
                  <c:x val="-6.9694737090423954E-3"/>
                  <c:y val="4.3124686819572253E-2"/>
                </c:manualLayout>
              </c:layout>
              <c:tx>
                <c:strRef>
                  <c:f>Main!$C$1298</c:f>
                  <c:strCache>
                    <c:ptCount val="1"/>
                    <c:pt idx="0">
                      <c:v>#DIV/0!</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{39CD81DE-1F4C-4C04-8CCA-A1B6C25CD87D}</c15:txfldGUID>
                      <c15:f>Main!$C$1298</c15:f>
                      <c15:dlblFieldTableCache>
                        <c:ptCount val="1"/>
                        <c:pt idx="0">
                          <c:v>#DIV/0!</c:v>
                        </c:pt>
                      </c15:dlblFieldTableCache>
                    </c15:dlblFTEntry>
                  </c15:dlblFieldTable>
                  <c15:showDataLabelsRange val="0"/>
                </c:ext>
                <c:ext xmlns:c16="http://schemas.microsoft.com/office/drawing/2014/chart" uri="{C3380CC4-5D6E-409C-BE32-E72D297353CC}">
                  <c16:uniqueId val="{00000002-1ABF-4D65-85BD-2BA437F0E93B}"/>
                </c:ext>
              </c:extLst>
            </c:dLbl>
            <c:spPr>
              <a:noFill/>
              <a:ln>
                <a:noFill/>
              </a:ln>
              <a:effectLst/>
            </c:spPr>
            <c:txPr>
              <a:bodyPr/>
              <a:lstStyle/>
              <a:p>
                <a:pPr>
                  <a:defRPr baseline="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'Sketch Data'!$E$61:$E$717</c:f>
              <c:numCache>
                <c:formatCode>General</c:formatCode>
                <c:ptCount val="657"/>
                <c:pt idx="0">
                  <c:v>0</c:v>
                </c:pt>
                <c:pt idx="1">
                  <c:v>-20.25</c:v>
                </c:pt>
                <c:pt idx="2">
                  <c:v>-20.25</c:v>
                </c:pt>
                <c:pt idx="3">
                  <c:v>-15.375</c:v>
                </c:pt>
                <c:pt idx="4">
                  <c:v>-12</c:v>
                </c:pt>
                <c:pt idx="5">
                  <c:v>0</c:v>
                </c:pt>
                <c:pt idx="6">
                  <c:v>0</c:v>
                </c:pt>
                <c:pt idx="7">
                  <c:v>0</c:v>
                </c:pt>
                <c:pt idx="8">
                  <c:v>0</c:v>
                </c:pt>
                <c:pt idx="9">
                  <c:v>12</c:v>
                </c:pt>
                <c:pt idx="10">
                  <c:v>15.375</c:v>
                </c:pt>
                <c:pt idx="11">
                  <c:v>20.25</c:v>
                </c:pt>
                <c:pt idx="12">
                  <c:v>20.25</c:v>
                </c:pt>
                <c:pt idx="13">
                  <c:v>0</c:v>
                </c:pt>
                <c:pt idx="15">
                  <c:v>0</c:v>
                </c:pt>
                <c:pt idx="16">
                  <c:v>0</c:v>
                </c:pt>
                <c:pt idx="17">
                  <c:v>0</c:v>
                </c:pt>
                <c:pt idx="18">
                  <c:v>0</c:v>
                </c:pt>
                <c:pt idx="19">
                  <c:v>0</c:v>
                </c:pt>
                <c:pt idx="21">
                  <c:v>-3</c:v>
                </c:pt>
                <c:pt idx="22" formatCode="0">
                  <c:v>-1.5</c:v>
                </c:pt>
                <c:pt idx="23">
                  <c:v>3</c:v>
                </c:pt>
                <c:pt idx="25">
                  <c:v>-3</c:v>
                </c:pt>
                <c:pt idx="26" formatCode="0">
                  <c:v>-1.5</c:v>
                </c:pt>
                <c:pt idx="27">
                  <c:v>3</c:v>
                </c:pt>
                <c:pt idx="29">
                  <c:v>0</c:v>
                </c:pt>
                <c:pt idx="30">
                  <c:v>0</c:v>
                </c:pt>
                <c:pt idx="32">
                  <c:v>0</c:v>
                </c:pt>
                <c:pt idx="33">
                  <c:v>0</c:v>
                </c:pt>
                <c:pt idx="35">
                  <c:v>0</c:v>
                </c:pt>
                <c:pt idx="36">
                  <c:v>0</c:v>
                </c:pt>
                <c:pt idx="38">
                  <c:v>0</c:v>
                </c:pt>
                <c:pt idx="39">
                  <c:v>0</c:v>
                </c:pt>
                <c:pt idx="40">
                  <c:v>0</c:v>
                </c:pt>
                <c:pt idx="41">
                  <c:v>2</c:v>
                </c:pt>
                <c:pt idx="42">
                  <c:v>0</c:v>
                </c:pt>
                <c:pt idx="43">
                  <c:v>0</c:v>
                </c:pt>
                <c:pt idx="44">
                  <c:v>0</c:v>
                </c:pt>
                <c:pt idx="46" formatCode="0">
                  <c:v>0</c:v>
                </c:pt>
                <c:pt idx="47" formatCode="0">
                  <c:v>0</c:v>
                </c:pt>
                <c:pt idx="49" formatCode="0">
                  <c:v>0</c:v>
                </c:pt>
                <c:pt idx="50" formatCode="0">
                  <c:v>0</c:v>
                </c:pt>
                <c:pt idx="52" formatCode="0">
                  <c:v>0</c:v>
                </c:pt>
                <c:pt idx="53" formatCode="0">
                  <c:v>0</c:v>
                </c:pt>
                <c:pt idx="55" formatCode="0">
                  <c:v>0</c:v>
                </c:pt>
                <c:pt idx="56" formatCode="0">
                  <c:v>0</c:v>
                </c:pt>
                <c:pt idx="57" formatCode="0">
                  <c:v>0</c:v>
                </c:pt>
                <c:pt idx="59" formatCode="0">
                  <c:v>0</c:v>
                </c:pt>
                <c:pt idx="60" formatCode="0">
                  <c:v>0</c:v>
                </c:pt>
                <c:pt idx="61" formatCode="0">
                  <c:v>0</c:v>
                </c:pt>
                <c:pt idx="63" formatCode="0">
                  <c:v>-1.5</c:v>
                </c:pt>
                <c:pt idx="64" formatCode="0">
                  <c:v>-1.7999999999999998</c:v>
                </c:pt>
                <c:pt idx="66" formatCode="0">
                  <c:v>-1.5</c:v>
                </c:pt>
                <c:pt idx="67" formatCode="0">
                  <c:v>-1.7999999999999998</c:v>
                </c:pt>
                <c:pt idx="68" formatCode="0">
                  <c:v>18.2</c:v>
                </c:pt>
                <c:pt idx="70">
                  <c:v>0</c:v>
                </c:pt>
                <c:pt idx="72">
                  <c:v>0</c:v>
                </c:pt>
                <c:pt idx="73">
                  <c:v>0</c:v>
                </c:pt>
                <c:pt idx="74">
                  <c:v>0</c:v>
                </c:pt>
                <c:pt idx="75">
                  <c:v>0</c:v>
                </c:pt>
                <c:pt idx="76">
                  <c:v>0</c:v>
                </c:pt>
                <c:pt idx="78" formatCode="0">
                  <c:v>0</c:v>
                </c:pt>
                <c:pt idx="79">
                  <c:v>0</c:v>
                </c:pt>
                <c:pt idx="80">
                  <c:v>0</c:v>
                </c:pt>
                <c:pt idx="81">
                  <c:v>0</c:v>
                </c:pt>
                <c:pt idx="82">
                  <c:v>0</c:v>
                </c:pt>
                <c:pt idx="83">
                  <c:v>0</c:v>
                </c:pt>
                <c:pt idx="84">
                  <c:v>0</c:v>
                </c:pt>
                <c:pt idx="85">
                  <c:v>0</c:v>
                </c:pt>
                <c:pt idx="86">
                  <c:v>0</c:v>
                </c:pt>
                <c:pt idx="88">
                  <c:v>#N/A</c:v>
                </c:pt>
                <c:pt idx="89">
                  <c:v>#N/A</c:v>
                </c:pt>
                <c:pt idx="90">
                  <c:v>#N/A</c:v>
                </c:pt>
                <c:pt idx="91">
                  <c:v>#N/A</c:v>
                </c:pt>
                <c:pt idx="92">
                  <c:v>#N/A</c:v>
                </c:pt>
                <c:pt idx="94">
                  <c:v>#N/A</c:v>
                </c:pt>
                <c:pt idx="95">
                  <c:v>#N/A</c:v>
                </c:pt>
                <c:pt idx="96">
                  <c:v>#N/A</c:v>
                </c:pt>
                <c:pt idx="97">
                  <c:v>#N/A</c:v>
                </c:pt>
                <c:pt idx="98">
                  <c:v>#N/A</c:v>
                </c:pt>
                <c:pt idx="99">
                  <c:v>#N/A</c:v>
                </c:pt>
                <c:pt idx="100">
                  <c:v>#N/A</c:v>
                </c:pt>
                <c:pt idx="101">
                  <c:v>#N/A</c:v>
                </c:pt>
                <c:pt idx="102">
                  <c:v>#N/A</c:v>
                </c:pt>
                <c:pt idx="104">
                  <c:v>#N/A</c:v>
                </c:pt>
                <c:pt idx="105">
                  <c:v>#N/A</c:v>
                </c:pt>
                <c:pt idx="106">
                  <c:v>#N/A</c:v>
                </c:pt>
                <c:pt idx="107">
                  <c:v>#N/A</c:v>
                </c:pt>
                <c:pt idx="108">
                  <c:v>#N/A</c:v>
                </c:pt>
                <c:pt idx="110">
                  <c:v>#N/A</c:v>
                </c:pt>
                <c:pt idx="111">
                  <c:v>#N/A</c:v>
                </c:pt>
                <c:pt idx="112">
                  <c:v>#N/A</c:v>
                </c:pt>
                <c:pt idx="113">
                  <c:v>#N/A</c:v>
                </c:pt>
                <c:pt idx="114">
                  <c:v>#N/A</c:v>
                </c:pt>
                <c:pt idx="115">
                  <c:v>#N/A</c:v>
                </c:pt>
                <c:pt idx="116">
                  <c:v>#N/A</c:v>
                </c:pt>
                <c:pt idx="117">
                  <c:v>#N/A</c:v>
                </c:pt>
                <c:pt idx="118">
                  <c:v>#N/A</c:v>
                </c:pt>
                <c:pt idx="120">
                  <c:v>#N/A</c:v>
                </c:pt>
                <c:pt idx="121">
                  <c:v>#N/A</c:v>
                </c:pt>
                <c:pt idx="122">
                  <c:v>#N/A</c:v>
                </c:pt>
                <c:pt idx="123">
                  <c:v>#N/A</c:v>
                </c:pt>
                <c:pt idx="124">
                  <c:v>#N/A</c:v>
                </c:pt>
                <c:pt idx="126">
                  <c:v>#N/A</c:v>
                </c:pt>
                <c:pt idx="127">
                  <c:v>#N/A</c:v>
                </c:pt>
                <c:pt idx="128">
                  <c:v>#N/A</c:v>
                </c:pt>
                <c:pt idx="129">
                  <c:v>#N/A</c:v>
                </c:pt>
                <c:pt idx="130">
                  <c:v>#N/A</c:v>
                </c:pt>
                <c:pt idx="131">
                  <c:v>#N/A</c:v>
                </c:pt>
                <c:pt idx="132">
                  <c:v>#N/A</c:v>
                </c:pt>
                <c:pt idx="133">
                  <c:v>#N/A</c:v>
                </c:pt>
                <c:pt idx="134">
                  <c:v>#N/A</c:v>
                </c:pt>
                <c:pt idx="136">
                  <c:v>#N/A</c:v>
                </c:pt>
                <c:pt idx="137">
                  <c:v>#N/A</c:v>
                </c:pt>
                <c:pt idx="138">
                  <c:v>#N/A</c:v>
                </c:pt>
                <c:pt idx="139">
                  <c:v>#N/A</c:v>
                </c:pt>
                <c:pt idx="140">
                  <c:v>#N/A</c:v>
                </c:pt>
                <c:pt idx="142">
                  <c:v>#N/A</c:v>
                </c:pt>
                <c:pt idx="143">
                  <c:v>#N/A</c:v>
                </c:pt>
                <c:pt idx="144">
                  <c:v>#N/A</c:v>
                </c:pt>
                <c:pt idx="145">
                  <c:v>#N/A</c:v>
                </c:pt>
                <c:pt idx="146">
                  <c:v>#N/A</c:v>
                </c:pt>
                <c:pt idx="147">
                  <c:v>#N/A</c:v>
                </c:pt>
                <c:pt idx="148">
                  <c:v>#N/A</c:v>
                </c:pt>
                <c:pt idx="149">
                  <c:v>#N/A</c:v>
                </c:pt>
                <c:pt idx="150">
                  <c:v>#N/A</c:v>
                </c:pt>
                <c:pt idx="152">
                  <c:v>#N/A</c:v>
                </c:pt>
                <c:pt idx="153">
                  <c:v>#N/A</c:v>
                </c:pt>
                <c:pt idx="154">
                  <c:v>#N/A</c:v>
                </c:pt>
                <c:pt idx="155">
                  <c:v>#N/A</c:v>
                </c:pt>
                <c:pt idx="156">
                  <c:v>#N/A</c:v>
                </c:pt>
                <c:pt idx="158">
                  <c:v>#N/A</c:v>
                </c:pt>
                <c:pt idx="159">
                  <c:v>#N/A</c:v>
                </c:pt>
                <c:pt idx="160">
                  <c:v>#N/A</c:v>
                </c:pt>
                <c:pt idx="161">
                  <c:v>#N/A</c:v>
                </c:pt>
                <c:pt idx="162">
                  <c:v>#N/A</c:v>
                </c:pt>
                <c:pt idx="163">
                  <c:v>#N/A</c:v>
                </c:pt>
                <c:pt idx="164">
                  <c:v>#N/A</c:v>
                </c:pt>
                <c:pt idx="165">
                  <c:v>#N/A</c:v>
                </c:pt>
                <c:pt idx="166">
                  <c:v>#N/A</c:v>
                </c:pt>
                <c:pt idx="168">
                  <c:v>#N/A</c:v>
                </c:pt>
                <c:pt idx="169">
                  <c:v>#N/A</c:v>
                </c:pt>
                <c:pt idx="170">
                  <c:v>#N/A</c:v>
                </c:pt>
                <c:pt idx="171">
                  <c:v>#N/A</c:v>
                </c:pt>
                <c:pt idx="172">
                  <c:v>#N/A</c:v>
                </c:pt>
                <c:pt idx="174">
                  <c:v>#N/A</c:v>
                </c:pt>
                <c:pt idx="175">
                  <c:v>#N/A</c:v>
                </c:pt>
                <c:pt idx="176">
                  <c:v>#N/A</c:v>
                </c:pt>
                <c:pt idx="177">
                  <c:v>#N/A</c:v>
                </c:pt>
                <c:pt idx="178">
                  <c:v>#N/A</c:v>
                </c:pt>
                <c:pt idx="179">
                  <c:v>#N/A</c:v>
                </c:pt>
                <c:pt idx="180">
                  <c:v>#N/A</c:v>
                </c:pt>
                <c:pt idx="181">
                  <c:v>#N/A</c:v>
                </c:pt>
                <c:pt idx="182">
                  <c:v>#N/A</c:v>
                </c:pt>
                <c:pt idx="184">
                  <c:v>#N/A</c:v>
                </c:pt>
                <c:pt idx="185">
                  <c:v>#N/A</c:v>
                </c:pt>
                <c:pt idx="186">
                  <c:v>#N/A</c:v>
                </c:pt>
                <c:pt idx="187">
                  <c:v>#N/A</c:v>
                </c:pt>
                <c:pt idx="188">
                  <c:v>#N/A</c:v>
                </c:pt>
                <c:pt idx="190">
                  <c:v>#N/A</c:v>
                </c:pt>
                <c:pt idx="191">
                  <c:v>#N/A</c:v>
                </c:pt>
                <c:pt idx="192">
                  <c:v>#N/A</c:v>
                </c:pt>
                <c:pt idx="193">
                  <c:v>#N/A</c:v>
                </c:pt>
                <c:pt idx="194">
                  <c:v>#N/A</c:v>
                </c:pt>
                <c:pt idx="195">
                  <c:v>#N/A</c:v>
                </c:pt>
                <c:pt idx="196">
                  <c:v>#N/A</c:v>
                </c:pt>
                <c:pt idx="197">
                  <c:v>#N/A</c:v>
                </c:pt>
                <c:pt idx="198">
                  <c:v>#N/A</c:v>
                </c:pt>
                <c:pt idx="200">
                  <c:v>#N/A</c:v>
                </c:pt>
                <c:pt idx="201">
                  <c:v>#N/A</c:v>
                </c:pt>
                <c:pt idx="202">
                  <c:v>#N/A</c:v>
                </c:pt>
                <c:pt idx="203">
                  <c:v>#N/A</c:v>
                </c:pt>
                <c:pt idx="204">
                  <c:v>#N/A</c:v>
                </c:pt>
                <c:pt idx="206">
                  <c:v>#N/A</c:v>
                </c:pt>
                <c:pt idx="207">
                  <c:v>#N/A</c:v>
                </c:pt>
                <c:pt idx="208">
                  <c:v>#N/A</c:v>
                </c:pt>
                <c:pt idx="209">
                  <c:v>#N/A</c:v>
                </c:pt>
                <c:pt idx="210">
                  <c:v>#N/A</c:v>
                </c:pt>
                <c:pt idx="211">
                  <c:v>#N/A</c:v>
                </c:pt>
                <c:pt idx="212">
                  <c:v>#N/A</c:v>
                </c:pt>
                <c:pt idx="213">
                  <c:v>#N/A</c:v>
                </c:pt>
                <c:pt idx="214">
                  <c:v>#N/A</c:v>
                </c:pt>
                <c:pt idx="216">
                  <c:v>#N/A</c:v>
                </c:pt>
                <c:pt idx="217">
                  <c:v>#N/A</c:v>
                </c:pt>
                <c:pt idx="218">
                  <c:v>#N/A</c:v>
                </c:pt>
                <c:pt idx="219">
                  <c:v>#N/A</c:v>
                </c:pt>
                <c:pt idx="220">
                  <c:v>#N/A</c:v>
                </c:pt>
                <c:pt idx="222">
                  <c:v>#N/A</c:v>
                </c:pt>
                <c:pt idx="223">
                  <c:v>#N/A</c:v>
                </c:pt>
                <c:pt idx="224">
                  <c:v>#N/A</c:v>
                </c:pt>
                <c:pt idx="225">
                  <c:v>#N/A</c:v>
                </c:pt>
                <c:pt idx="226">
                  <c:v>#N/A</c:v>
                </c:pt>
                <c:pt idx="227">
                  <c:v>#N/A</c:v>
                </c:pt>
                <c:pt idx="228">
                  <c:v>#N/A</c:v>
                </c:pt>
                <c:pt idx="229">
                  <c:v>#N/A</c:v>
                </c:pt>
                <c:pt idx="230">
                  <c:v>#N/A</c:v>
                </c:pt>
                <c:pt idx="232">
                  <c:v>#N/A</c:v>
                </c:pt>
                <c:pt idx="233">
                  <c:v>#N/A</c:v>
                </c:pt>
                <c:pt idx="234">
                  <c:v>#N/A</c:v>
                </c:pt>
                <c:pt idx="235">
                  <c:v>#N/A</c:v>
                </c:pt>
                <c:pt idx="236">
                  <c:v>#N/A</c:v>
                </c:pt>
                <c:pt idx="238">
                  <c:v>#N/A</c:v>
                </c:pt>
                <c:pt idx="239">
                  <c:v>#N/A</c:v>
                </c:pt>
                <c:pt idx="240">
                  <c:v>#N/A</c:v>
                </c:pt>
                <c:pt idx="241">
                  <c:v>#N/A</c:v>
                </c:pt>
                <c:pt idx="242">
                  <c:v>#N/A</c:v>
                </c:pt>
                <c:pt idx="243">
                  <c:v>#N/A</c:v>
                </c:pt>
                <c:pt idx="244">
                  <c:v>#N/A</c:v>
                </c:pt>
                <c:pt idx="245">
                  <c:v>#N/A</c:v>
                </c:pt>
                <c:pt idx="246">
                  <c:v>#N/A</c:v>
                </c:pt>
                <c:pt idx="248">
                  <c:v>#N/A</c:v>
                </c:pt>
                <c:pt idx="249">
                  <c:v>#N/A</c:v>
                </c:pt>
                <c:pt idx="250">
                  <c:v>#N/A</c:v>
                </c:pt>
                <c:pt idx="251">
                  <c:v>#N/A</c:v>
                </c:pt>
                <c:pt idx="252">
                  <c:v>#N/A</c:v>
                </c:pt>
                <c:pt idx="254">
                  <c:v>#N/A</c:v>
                </c:pt>
                <c:pt idx="255">
                  <c:v>#N/A</c:v>
                </c:pt>
                <c:pt idx="256">
                  <c:v>#N/A</c:v>
                </c:pt>
                <c:pt idx="257">
                  <c:v>#N/A</c:v>
                </c:pt>
                <c:pt idx="258">
                  <c:v>#N/A</c:v>
                </c:pt>
                <c:pt idx="259">
                  <c:v>#N/A</c:v>
                </c:pt>
                <c:pt idx="260">
                  <c:v>#N/A</c:v>
                </c:pt>
                <c:pt idx="261">
                  <c:v>#N/A</c:v>
                </c:pt>
                <c:pt idx="262">
                  <c:v>#N/A</c:v>
                </c:pt>
                <c:pt idx="264">
                  <c:v>#N/A</c:v>
                </c:pt>
                <c:pt idx="265">
                  <c:v>#N/A</c:v>
                </c:pt>
                <c:pt idx="266">
                  <c:v>#N/A</c:v>
                </c:pt>
                <c:pt idx="267">
                  <c:v>#N/A</c:v>
                </c:pt>
                <c:pt idx="268">
                  <c:v>#N/A</c:v>
                </c:pt>
                <c:pt idx="270">
                  <c:v>#N/A</c:v>
                </c:pt>
                <c:pt idx="271">
                  <c:v>#N/A</c:v>
                </c:pt>
                <c:pt idx="272">
                  <c:v>#N/A</c:v>
                </c:pt>
                <c:pt idx="273">
                  <c:v>#N/A</c:v>
                </c:pt>
                <c:pt idx="274">
                  <c:v>#N/A</c:v>
                </c:pt>
                <c:pt idx="275">
                  <c:v>#N/A</c:v>
                </c:pt>
                <c:pt idx="276">
                  <c:v>#N/A</c:v>
                </c:pt>
                <c:pt idx="277">
                  <c:v>#N/A</c:v>
                </c:pt>
                <c:pt idx="278">
                  <c:v>#N/A</c:v>
                </c:pt>
                <c:pt idx="280">
                  <c:v>#N/A</c:v>
                </c:pt>
                <c:pt idx="281">
                  <c:v>#N/A</c:v>
                </c:pt>
                <c:pt idx="282">
                  <c:v>#N/A</c:v>
                </c:pt>
                <c:pt idx="283">
                  <c:v>#N/A</c:v>
                </c:pt>
                <c:pt idx="284">
                  <c:v>#N/A</c:v>
                </c:pt>
                <c:pt idx="286">
                  <c:v>#N/A</c:v>
                </c:pt>
                <c:pt idx="287">
                  <c:v>#N/A</c:v>
                </c:pt>
                <c:pt idx="288">
                  <c:v>#N/A</c:v>
                </c:pt>
                <c:pt idx="289">
                  <c:v>#N/A</c:v>
                </c:pt>
                <c:pt idx="290">
                  <c:v>#N/A</c:v>
                </c:pt>
                <c:pt idx="291">
                  <c:v>#N/A</c:v>
                </c:pt>
                <c:pt idx="292">
                  <c:v>#N/A</c:v>
                </c:pt>
                <c:pt idx="293">
                  <c:v>#N/A</c:v>
                </c:pt>
                <c:pt idx="294">
                  <c:v>#N/A</c:v>
                </c:pt>
                <c:pt idx="296">
                  <c:v>#N/A</c:v>
                </c:pt>
                <c:pt idx="297">
                  <c:v>#N/A</c:v>
                </c:pt>
                <c:pt idx="298">
                  <c:v>#N/A</c:v>
                </c:pt>
                <c:pt idx="299">
                  <c:v>#N/A</c:v>
                </c:pt>
                <c:pt idx="300">
                  <c:v>#N/A</c:v>
                </c:pt>
                <c:pt idx="302">
                  <c:v>#N/A</c:v>
                </c:pt>
                <c:pt idx="303">
                  <c:v>#N/A</c:v>
                </c:pt>
                <c:pt idx="304">
                  <c:v>#N/A</c:v>
                </c:pt>
                <c:pt idx="305">
                  <c:v>#N/A</c:v>
                </c:pt>
                <c:pt idx="306">
                  <c:v>#N/A</c:v>
                </c:pt>
                <c:pt idx="307">
                  <c:v>#N/A</c:v>
                </c:pt>
                <c:pt idx="308">
                  <c:v>#N/A</c:v>
                </c:pt>
                <c:pt idx="309">
                  <c:v>#N/A</c:v>
                </c:pt>
                <c:pt idx="310">
                  <c:v>#N/A</c:v>
                </c:pt>
                <c:pt idx="312">
                  <c:v>#N/A</c:v>
                </c:pt>
                <c:pt idx="313">
                  <c:v>#N/A</c:v>
                </c:pt>
                <c:pt idx="314">
                  <c:v>#N/A</c:v>
                </c:pt>
                <c:pt idx="315">
                  <c:v>#N/A</c:v>
                </c:pt>
                <c:pt idx="316">
                  <c:v>#N/A</c:v>
                </c:pt>
                <c:pt idx="318">
                  <c:v>#N/A</c:v>
                </c:pt>
                <c:pt idx="319">
                  <c:v>#N/A</c:v>
                </c:pt>
                <c:pt idx="320">
                  <c:v>#N/A</c:v>
                </c:pt>
                <c:pt idx="321">
                  <c:v>#N/A</c:v>
                </c:pt>
                <c:pt idx="322">
                  <c:v>#N/A</c:v>
                </c:pt>
                <c:pt idx="323">
                  <c:v>#N/A</c:v>
                </c:pt>
                <c:pt idx="324">
                  <c:v>#N/A</c:v>
                </c:pt>
                <c:pt idx="325">
                  <c:v>#N/A</c:v>
                </c:pt>
                <c:pt idx="326">
                  <c:v>#N/A</c:v>
                </c:pt>
                <c:pt idx="328">
                  <c:v>#N/A</c:v>
                </c:pt>
                <c:pt idx="329">
                  <c:v>#N/A</c:v>
                </c:pt>
                <c:pt idx="330">
                  <c:v>#N/A</c:v>
                </c:pt>
                <c:pt idx="331">
                  <c:v>#N/A</c:v>
                </c:pt>
                <c:pt idx="332">
                  <c:v>#N/A</c:v>
                </c:pt>
                <c:pt idx="334">
                  <c:v>#N/A</c:v>
                </c:pt>
                <c:pt idx="335">
                  <c:v>#N/A</c:v>
                </c:pt>
                <c:pt idx="336">
                  <c:v>#N/A</c:v>
                </c:pt>
                <c:pt idx="337">
                  <c:v>#N/A</c:v>
                </c:pt>
                <c:pt idx="338">
                  <c:v>#N/A</c:v>
                </c:pt>
                <c:pt idx="339">
                  <c:v>#N/A</c:v>
                </c:pt>
                <c:pt idx="340">
                  <c:v>#N/A</c:v>
                </c:pt>
                <c:pt idx="341">
                  <c:v>#N/A</c:v>
                </c:pt>
                <c:pt idx="342">
                  <c:v>#N/A</c:v>
                </c:pt>
                <c:pt idx="344">
                  <c:v>#N/A</c:v>
                </c:pt>
                <c:pt idx="345">
                  <c:v>#N/A</c:v>
                </c:pt>
                <c:pt idx="346">
                  <c:v>#N/A</c:v>
                </c:pt>
                <c:pt idx="347">
                  <c:v>#N/A</c:v>
                </c:pt>
                <c:pt idx="348">
                  <c:v>#N/A</c:v>
                </c:pt>
                <c:pt idx="350">
                  <c:v>#N/A</c:v>
                </c:pt>
                <c:pt idx="351">
                  <c:v>#N/A</c:v>
                </c:pt>
                <c:pt idx="352">
                  <c:v>#N/A</c:v>
                </c:pt>
                <c:pt idx="353">
                  <c:v>#N/A</c:v>
                </c:pt>
                <c:pt idx="354">
                  <c:v>#N/A</c:v>
                </c:pt>
                <c:pt idx="355">
                  <c:v>#N/A</c:v>
                </c:pt>
                <c:pt idx="356">
                  <c:v>#N/A</c:v>
                </c:pt>
                <c:pt idx="357">
                  <c:v>#N/A</c:v>
                </c:pt>
                <c:pt idx="358">
                  <c:v>#N/A</c:v>
                </c:pt>
                <c:pt idx="360">
                  <c:v>#N/A</c:v>
                </c:pt>
                <c:pt idx="361">
                  <c:v>#N/A</c:v>
                </c:pt>
                <c:pt idx="362">
                  <c:v>#N/A</c:v>
                </c:pt>
                <c:pt idx="363">
                  <c:v>#N/A</c:v>
                </c:pt>
                <c:pt idx="364">
                  <c:v>#N/A</c:v>
                </c:pt>
                <c:pt idx="366">
                  <c:v>#N/A</c:v>
                </c:pt>
                <c:pt idx="367">
                  <c:v>#N/A</c:v>
                </c:pt>
                <c:pt idx="368">
                  <c:v>#N/A</c:v>
                </c:pt>
                <c:pt idx="369">
                  <c:v>#N/A</c:v>
                </c:pt>
                <c:pt idx="370">
                  <c:v>#N/A</c:v>
                </c:pt>
                <c:pt idx="371">
                  <c:v>#N/A</c:v>
                </c:pt>
                <c:pt idx="372">
                  <c:v>#N/A</c:v>
                </c:pt>
                <c:pt idx="373">
                  <c:v>#N/A</c:v>
                </c:pt>
                <c:pt idx="374">
                  <c:v>#N/A</c:v>
                </c:pt>
                <c:pt idx="376">
                  <c:v>#N/A</c:v>
                </c:pt>
                <c:pt idx="377">
                  <c:v>#N/A</c:v>
                </c:pt>
                <c:pt idx="378">
                  <c:v>#N/A</c:v>
                </c:pt>
                <c:pt idx="379">
                  <c:v>#N/A</c:v>
                </c:pt>
                <c:pt idx="380">
                  <c:v>#N/A</c:v>
                </c:pt>
                <c:pt idx="382">
                  <c:v>#N/A</c:v>
                </c:pt>
                <c:pt idx="383">
                  <c:v>#N/A</c:v>
                </c:pt>
                <c:pt idx="384">
                  <c:v>#N/A</c:v>
                </c:pt>
                <c:pt idx="385">
                  <c:v>#N/A</c:v>
                </c:pt>
                <c:pt idx="386">
                  <c:v>#N/A</c:v>
                </c:pt>
                <c:pt idx="387">
                  <c:v>#N/A</c:v>
                </c:pt>
                <c:pt idx="388">
                  <c:v>#N/A</c:v>
                </c:pt>
                <c:pt idx="389">
                  <c:v>#N/A</c:v>
                </c:pt>
                <c:pt idx="390">
                  <c:v>#N/A</c:v>
                </c:pt>
                <c:pt idx="392">
                  <c:v>#N/A</c:v>
                </c:pt>
                <c:pt idx="393">
                  <c:v>#N/A</c:v>
                </c:pt>
                <c:pt idx="394">
                  <c:v>#N/A</c:v>
                </c:pt>
                <c:pt idx="395">
                  <c:v>#N/A</c:v>
                </c:pt>
                <c:pt idx="396">
                  <c:v>#N/A</c:v>
                </c:pt>
                <c:pt idx="398">
                  <c:v>#N/A</c:v>
                </c:pt>
                <c:pt idx="399">
                  <c:v>#N/A</c:v>
                </c:pt>
                <c:pt idx="400">
                  <c:v>#N/A</c:v>
                </c:pt>
                <c:pt idx="401">
                  <c:v>#N/A</c:v>
                </c:pt>
                <c:pt idx="402">
                  <c:v>#N/A</c:v>
                </c:pt>
                <c:pt idx="403">
                  <c:v>#N/A</c:v>
                </c:pt>
                <c:pt idx="404">
                  <c:v>#N/A</c:v>
                </c:pt>
                <c:pt idx="405">
                  <c:v>#N/A</c:v>
                </c:pt>
                <c:pt idx="406">
                  <c:v>#N/A</c:v>
                </c:pt>
                <c:pt idx="408">
                  <c:v>#N/A</c:v>
                </c:pt>
                <c:pt idx="409">
                  <c:v>#N/A</c:v>
                </c:pt>
                <c:pt idx="410">
                  <c:v>#N/A</c:v>
                </c:pt>
                <c:pt idx="411">
                  <c:v>#N/A</c:v>
                </c:pt>
                <c:pt idx="412">
                  <c:v>#N/A</c:v>
                </c:pt>
                <c:pt idx="414">
                  <c:v>#N/A</c:v>
                </c:pt>
                <c:pt idx="415">
                  <c:v>#N/A</c:v>
                </c:pt>
                <c:pt idx="416">
                  <c:v>#N/A</c:v>
                </c:pt>
                <c:pt idx="417">
                  <c:v>#N/A</c:v>
                </c:pt>
                <c:pt idx="418">
                  <c:v>#N/A</c:v>
                </c:pt>
                <c:pt idx="419">
                  <c:v>#N/A</c:v>
                </c:pt>
                <c:pt idx="420">
                  <c:v>#N/A</c:v>
                </c:pt>
                <c:pt idx="421">
                  <c:v>#N/A</c:v>
                </c:pt>
                <c:pt idx="422">
                  <c:v>#N/A</c:v>
                </c:pt>
                <c:pt idx="424">
                  <c:v>#N/A</c:v>
                </c:pt>
                <c:pt idx="425">
                  <c:v>#N/A</c:v>
                </c:pt>
                <c:pt idx="426">
                  <c:v>#N/A</c:v>
                </c:pt>
                <c:pt idx="427">
                  <c:v>#N/A</c:v>
                </c:pt>
                <c:pt idx="428">
                  <c:v>#N/A</c:v>
                </c:pt>
                <c:pt idx="430">
                  <c:v>#N/A</c:v>
                </c:pt>
                <c:pt idx="431">
                  <c:v>#N/A</c:v>
                </c:pt>
                <c:pt idx="432">
                  <c:v>#N/A</c:v>
                </c:pt>
                <c:pt idx="433">
                  <c:v>#N/A</c:v>
                </c:pt>
                <c:pt idx="434">
                  <c:v>#N/A</c:v>
                </c:pt>
                <c:pt idx="435">
                  <c:v>#N/A</c:v>
                </c:pt>
                <c:pt idx="436">
                  <c:v>#N/A</c:v>
                </c:pt>
                <c:pt idx="437">
                  <c:v>#N/A</c:v>
                </c:pt>
                <c:pt idx="438">
                  <c:v>#N/A</c:v>
                </c:pt>
                <c:pt idx="440">
                  <c:v>#N/A</c:v>
                </c:pt>
                <c:pt idx="441">
                  <c:v>#N/A</c:v>
                </c:pt>
                <c:pt idx="442">
                  <c:v>#N/A</c:v>
                </c:pt>
                <c:pt idx="443">
                  <c:v>#N/A</c:v>
                </c:pt>
                <c:pt idx="444">
                  <c:v>#N/A</c:v>
                </c:pt>
                <c:pt idx="446">
                  <c:v>#N/A</c:v>
                </c:pt>
                <c:pt idx="447">
                  <c:v>#N/A</c:v>
                </c:pt>
                <c:pt idx="448">
                  <c:v>#N/A</c:v>
                </c:pt>
                <c:pt idx="449">
                  <c:v>#N/A</c:v>
                </c:pt>
                <c:pt idx="450">
                  <c:v>#N/A</c:v>
                </c:pt>
                <c:pt idx="451">
                  <c:v>#N/A</c:v>
                </c:pt>
                <c:pt idx="452">
                  <c:v>#N/A</c:v>
                </c:pt>
                <c:pt idx="453">
                  <c:v>#N/A</c:v>
                </c:pt>
                <c:pt idx="454">
                  <c:v>#N/A</c:v>
                </c:pt>
                <c:pt idx="456">
                  <c:v>#N/A</c:v>
                </c:pt>
                <c:pt idx="457">
                  <c:v>#N/A</c:v>
                </c:pt>
                <c:pt idx="458">
                  <c:v>#N/A</c:v>
                </c:pt>
                <c:pt idx="459">
                  <c:v>#N/A</c:v>
                </c:pt>
                <c:pt idx="460">
                  <c:v>#N/A</c:v>
                </c:pt>
                <c:pt idx="462">
                  <c:v>#N/A</c:v>
                </c:pt>
                <c:pt idx="463">
                  <c:v>#N/A</c:v>
                </c:pt>
                <c:pt idx="464">
                  <c:v>#N/A</c:v>
                </c:pt>
                <c:pt idx="465">
                  <c:v>#N/A</c:v>
                </c:pt>
                <c:pt idx="466">
                  <c:v>#N/A</c:v>
                </c:pt>
                <c:pt idx="467">
                  <c:v>#N/A</c:v>
                </c:pt>
                <c:pt idx="468">
                  <c:v>#N/A</c:v>
                </c:pt>
                <c:pt idx="469">
                  <c:v>#N/A</c:v>
                </c:pt>
                <c:pt idx="470">
                  <c:v>#N/A</c:v>
                </c:pt>
                <c:pt idx="472">
                  <c:v>0</c:v>
                </c:pt>
                <c:pt idx="473">
                  <c:v>0</c:v>
                </c:pt>
                <c:pt idx="474">
                  <c:v>0</c:v>
                </c:pt>
                <c:pt idx="475">
                  <c:v>0</c:v>
                </c:pt>
                <c:pt idx="476">
                  <c:v>0</c:v>
                </c:pt>
                <c:pt idx="478">
                  <c:v>#N/A</c:v>
                </c:pt>
                <c:pt idx="479">
                  <c:v>#N/A</c:v>
                </c:pt>
                <c:pt idx="480">
                  <c:v>#N/A</c:v>
                </c:pt>
                <c:pt idx="481">
                  <c:v>#N/A</c:v>
                </c:pt>
                <c:pt idx="482">
                  <c:v>#N/A</c:v>
                </c:pt>
                <c:pt idx="484">
                  <c:v>#N/A</c:v>
                </c:pt>
                <c:pt idx="485">
                  <c:v>#N/A</c:v>
                </c:pt>
                <c:pt idx="486">
                  <c:v>#N/A</c:v>
                </c:pt>
                <c:pt idx="487">
                  <c:v>#N/A</c:v>
                </c:pt>
                <c:pt idx="488">
                  <c:v>#N/A</c:v>
                </c:pt>
                <c:pt idx="490">
                  <c:v>#N/A</c:v>
                </c:pt>
                <c:pt idx="491">
                  <c:v>#N/A</c:v>
                </c:pt>
                <c:pt idx="492">
                  <c:v>#N/A</c:v>
                </c:pt>
                <c:pt idx="493">
                  <c:v>#N/A</c:v>
                </c:pt>
                <c:pt idx="494">
                  <c:v>#N/A</c:v>
                </c:pt>
                <c:pt idx="496">
                  <c:v>#N/A</c:v>
                </c:pt>
                <c:pt idx="497">
                  <c:v>#N/A</c:v>
                </c:pt>
                <c:pt idx="498">
                  <c:v>#N/A</c:v>
                </c:pt>
                <c:pt idx="499">
                  <c:v>#N/A</c:v>
                </c:pt>
                <c:pt idx="500">
                  <c:v>#N/A</c:v>
                </c:pt>
                <c:pt idx="502">
                  <c:v>#N/A</c:v>
                </c:pt>
                <c:pt idx="503">
                  <c:v>#N/A</c:v>
                </c:pt>
                <c:pt idx="504">
                  <c:v>#N/A</c:v>
                </c:pt>
                <c:pt idx="505">
                  <c:v>#N/A</c:v>
                </c:pt>
                <c:pt idx="506">
                  <c:v>#N/A</c:v>
                </c:pt>
                <c:pt idx="508">
                  <c:v>#N/A</c:v>
                </c:pt>
                <c:pt idx="509">
                  <c:v>#N/A</c:v>
                </c:pt>
                <c:pt idx="510">
                  <c:v>#N/A</c:v>
                </c:pt>
                <c:pt idx="511">
                  <c:v>#N/A</c:v>
                </c:pt>
                <c:pt idx="512">
                  <c:v>#N/A</c:v>
                </c:pt>
                <c:pt idx="514">
                  <c:v>#N/A</c:v>
                </c:pt>
                <c:pt idx="515">
                  <c:v>#N/A</c:v>
                </c:pt>
                <c:pt idx="516">
                  <c:v>#N/A</c:v>
                </c:pt>
                <c:pt idx="517">
                  <c:v>#N/A</c:v>
                </c:pt>
                <c:pt idx="518">
                  <c:v>#N/A</c:v>
                </c:pt>
                <c:pt idx="520">
                  <c:v>#N/A</c:v>
                </c:pt>
                <c:pt idx="521">
                  <c:v>#N/A</c:v>
                </c:pt>
                <c:pt idx="522">
                  <c:v>#N/A</c:v>
                </c:pt>
                <c:pt idx="523">
                  <c:v>#N/A</c:v>
                </c:pt>
                <c:pt idx="524">
                  <c:v>#N/A</c:v>
                </c:pt>
                <c:pt idx="526">
                  <c:v>#N/A</c:v>
                </c:pt>
                <c:pt idx="527">
                  <c:v>#N/A</c:v>
                </c:pt>
                <c:pt idx="528">
                  <c:v>#N/A</c:v>
                </c:pt>
                <c:pt idx="529">
                  <c:v>#N/A</c:v>
                </c:pt>
                <c:pt idx="530">
                  <c:v>#N/A</c:v>
                </c:pt>
                <c:pt idx="532">
                  <c:v>#N/A</c:v>
                </c:pt>
                <c:pt idx="533">
                  <c:v>#N/A</c:v>
                </c:pt>
                <c:pt idx="534">
                  <c:v>#N/A</c:v>
                </c:pt>
                <c:pt idx="535">
                  <c:v>#N/A</c:v>
                </c:pt>
                <c:pt idx="536">
                  <c:v>#N/A</c:v>
                </c:pt>
                <c:pt idx="538">
                  <c:v>#N/A</c:v>
                </c:pt>
                <c:pt idx="539">
                  <c:v>#N/A</c:v>
                </c:pt>
                <c:pt idx="540">
                  <c:v>#N/A</c:v>
                </c:pt>
                <c:pt idx="541">
                  <c:v>#N/A</c:v>
                </c:pt>
                <c:pt idx="542">
                  <c:v>#N/A</c:v>
                </c:pt>
                <c:pt idx="544">
                  <c:v>#N/A</c:v>
                </c:pt>
                <c:pt idx="545">
                  <c:v>#N/A</c:v>
                </c:pt>
                <c:pt idx="546">
                  <c:v>#N/A</c:v>
                </c:pt>
                <c:pt idx="547">
                  <c:v>#N/A</c:v>
                </c:pt>
                <c:pt idx="548">
                  <c:v>#N/A</c:v>
                </c:pt>
                <c:pt idx="550">
                  <c:v>#N/A</c:v>
                </c:pt>
                <c:pt idx="551">
                  <c:v>#N/A</c:v>
                </c:pt>
                <c:pt idx="552">
                  <c:v>#N/A</c:v>
                </c:pt>
                <c:pt idx="553">
                  <c:v>#N/A</c:v>
                </c:pt>
                <c:pt idx="554">
                  <c:v>#N/A</c:v>
                </c:pt>
                <c:pt idx="556">
                  <c:v>#N/A</c:v>
                </c:pt>
                <c:pt idx="557">
                  <c:v>#N/A</c:v>
                </c:pt>
                <c:pt idx="558">
                  <c:v>#N/A</c:v>
                </c:pt>
                <c:pt idx="559">
                  <c:v>#N/A</c:v>
                </c:pt>
                <c:pt idx="560">
                  <c:v>#N/A</c:v>
                </c:pt>
                <c:pt idx="562">
                  <c:v>#N/A</c:v>
                </c:pt>
                <c:pt idx="563">
                  <c:v>#N/A</c:v>
                </c:pt>
                <c:pt idx="564">
                  <c:v>#N/A</c:v>
                </c:pt>
                <c:pt idx="565">
                  <c:v>#N/A</c:v>
                </c:pt>
                <c:pt idx="566">
                  <c:v>#N/A</c:v>
                </c:pt>
                <c:pt idx="568">
                  <c:v>#N/A</c:v>
                </c:pt>
                <c:pt idx="569">
                  <c:v>#N/A</c:v>
                </c:pt>
                <c:pt idx="570">
                  <c:v>#N/A</c:v>
                </c:pt>
                <c:pt idx="571">
                  <c:v>#N/A</c:v>
                </c:pt>
                <c:pt idx="572">
                  <c:v>#N/A</c:v>
                </c:pt>
                <c:pt idx="574">
                  <c:v>#N/A</c:v>
                </c:pt>
                <c:pt idx="575">
                  <c:v>#N/A</c:v>
                </c:pt>
                <c:pt idx="576">
                  <c:v>#N/A</c:v>
                </c:pt>
                <c:pt idx="577">
                  <c:v>#N/A</c:v>
                </c:pt>
                <c:pt idx="578">
                  <c:v>#N/A</c:v>
                </c:pt>
                <c:pt idx="580">
                  <c:v>#N/A</c:v>
                </c:pt>
                <c:pt idx="581">
                  <c:v>#N/A</c:v>
                </c:pt>
                <c:pt idx="582">
                  <c:v>#N/A</c:v>
                </c:pt>
                <c:pt idx="583">
                  <c:v>#N/A</c:v>
                </c:pt>
                <c:pt idx="584">
                  <c:v>#N/A</c:v>
                </c:pt>
                <c:pt idx="586">
                  <c:v>#N/A</c:v>
                </c:pt>
                <c:pt idx="587">
                  <c:v>#N/A</c:v>
                </c:pt>
                <c:pt idx="588">
                  <c:v>#N/A</c:v>
                </c:pt>
                <c:pt idx="589">
                  <c:v>#N/A</c:v>
                </c:pt>
                <c:pt idx="590">
                  <c:v>#N/A</c:v>
                </c:pt>
                <c:pt idx="592">
                  <c:v>#N/A</c:v>
                </c:pt>
                <c:pt idx="593">
                  <c:v>#N/A</c:v>
                </c:pt>
                <c:pt idx="594">
                  <c:v>#N/A</c:v>
                </c:pt>
                <c:pt idx="595">
                  <c:v>#N/A</c:v>
                </c:pt>
                <c:pt idx="596">
                  <c:v>#N/A</c:v>
                </c:pt>
                <c:pt idx="598">
                  <c:v>#N/A</c:v>
                </c:pt>
                <c:pt idx="599">
                  <c:v>#N/A</c:v>
                </c:pt>
                <c:pt idx="600">
                  <c:v>#N/A</c:v>
                </c:pt>
                <c:pt idx="601">
                  <c:v>#N/A</c:v>
                </c:pt>
                <c:pt idx="602">
                  <c:v>#N/A</c:v>
                </c:pt>
                <c:pt idx="604">
                  <c:v>#N/A</c:v>
                </c:pt>
                <c:pt idx="605">
                  <c:v>#N/A</c:v>
                </c:pt>
                <c:pt idx="606">
                  <c:v>#N/A</c:v>
                </c:pt>
                <c:pt idx="607">
                  <c:v>#N/A</c:v>
                </c:pt>
                <c:pt idx="608">
                  <c:v>#N/A</c:v>
                </c:pt>
                <c:pt idx="610">
                  <c:v>#N/A</c:v>
                </c:pt>
                <c:pt idx="611">
                  <c:v>#N/A</c:v>
                </c:pt>
                <c:pt idx="612">
                  <c:v>#N/A</c:v>
                </c:pt>
                <c:pt idx="613">
                  <c:v>#N/A</c:v>
                </c:pt>
                <c:pt idx="614">
                  <c:v>#N/A</c:v>
                </c:pt>
                <c:pt idx="616">
                  <c:v>#N/A</c:v>
                </c:pt>
                <c:pt idx="617">
                  <c:v>#N/A</c:v>
                </c:pt>
                <c:pt idx="618">
                  <c:v>#N/A</c:v>
                </c:pt>
                <c:pt idx="619">
                  <c:v>#N/A</c:v>
                </c:pt>
                <c:pt idx="620">
                  <c:v>#N/A</c:v>
                </c:pt>
                <c:pt idx="622">
                  <c:v>#N/A</c:v>
                </c:pt>
                <c:pt idx="623">
                  <c:v>#N/A</c:v>
                </c:pt>
                <c:pt idx="624">
                  <c:v>#N/A</c:v>
                </c:pt>
                <c:pt idx="625">
                  <c:v>#N/A</c:v>
                </c:pt>
                <c:pt idx="626">
                  <c:v>#N/A</c:v>
                </c:pt>
                <c:pt idx="628">
                  <c:v>#N/A</c:v>
                </c:pt>
                <c:pt idx="629">
                  <c:v>#N/A</c:v>
                </c:pt>
                <c:pt idx="630">
                  <c:v>#N/A</c:v>
                </c:pt>
                <c:pt idx="631">
                  <c:v>#N/A</c:v>
                </c:pt>
                <c:pt idx="632">
                  <c:v>#N/A</c:v>
                </c:pt>
                <c:pt idx="634">
                  <c:v>#N/A</c:v>
                </c:pt>
                <c:pt idx="635">
                  <c:v>#N/A</c:v>
                </c:pt>
                <c:pt idx="636">
                  <c:v>#N/A</c:v>
                </c:pt>
                <c:pt idx="637">
                  <c:v>#N/A</c:v>
                </c:pt>
                <c:pt idx="638">
                  <c:v>#N/A</c:v>
                </c:pt>
                <c:pt idx="640">
                  <c:v>#N/A</c:v>
                </c:pt>
                <c:pt idx="641">
                  <c:v>#N/A</c:v>
                </c:pt>
                <c:pt idx="642">
                  <c:v>#N/A</c:v>
                </c:pt>
                <c:pt idx="643">
                  <c:v>#N/A</c:v>
                </c:pt>
                <c:pt idx="644">
                  <c:v>#N/A</c:v>
                </c:pt>
                <c:pt idx="646">
                  <c:v>#N/A</c:v>
                </c:pt>
                <c:pt idx="647">
                  <c:v>#N/A</c:v>
                </c:pt>
                <c:pt idx="648">
                  <c:v>#N/A</c:v>
                </c:pt>
                <c:pt idx="649">
                  <c:v>#N/A</c:v>
                </c:pt>
                <c:pt idx="650">
                  <c:v>#N/A</c:v>
                </c:pt>
                <c:pt idx="652">
                  <c:v>#N/A</c:v>
                </c:pt>
                <c:pt idx="653">
                  <c:v>#N/A</c:v>
                </c:pt>
                <c:pt idx="654">
                  <c:v>#N/A</c:v>
                </c:pt>
                <c:pt idx="655">
                  <c:v>#N/A</c:v>
                </c:pt>
                <c:pt idx="656">
                  <c:v>#N/A</c:v>
                </c:pt>
              </c:numCache>
            </c:numRef>
          </c:xVal>
          <c:yVal>
            <c:numRef>
              <c:f>'Sketch Data'!$F$61:$F$717</c:f>
              <c:numCache>
                <c:formatCode>General</c:formatCode>
                <c:ptCount val="657"/>
                <c:pt idx="0">
                  <c:v>0</c:v>
                </c:pt>
                <c:pt idx="1">
                  <c:v>0</c:v>
                </c:pt>
                <c:pt idx="2">
                  <c:v>3</c:v>
                </c:pt>
                <c:pt idx="3">
                  <c:v>10</c:v>
                </c:pt>
                <c:pt idx="4">
                  <c:v>42</c:v>
                </c:pt>
                <c:pt idx="5">
                  <c:v>42</c:v>
                </c:pt>
                <c:pt idx="6">
                  <c:v>0</c:v>
                </c:pt>
                <c:pt idx="7">
                  <c:v>0</c:v>
                </c:pt>
                <c:pt idx="8">
                  <c:v>42</c:v>
                </c:pt>
                <c:pt idx="9">
                  <c:v>42</c:v>
                </c:pt>
                <c:pt idx="10">
                  <c:v>10</c:v>
                </c:pt>
                <c:pt idx="11">
                  <c:v>3</c:v>
                </c:pt>
                <c:pt idx="12">
                  <c:v>0</c:v>
                </c:pt>
                <c:pt idx="13">
                  <c:v>0</c:v>
                </c:pt>
                <c:pt idx="15">
                  <c:v>0</c:v>
                </c:pt>
                <c:pt idx="16">
                  <c:v>-39</c:v>
                </c:pt>
                <c:pt idx="17">
                  <c:v>-39</c:v>
                </c:pt>
                <c:pt idx="18">
                  <c:v>0</c:v>
                </c:pt>
                <c:pt idx="19">
                  <c:v>0</c:v>
                </c:pt>
                <c:pt idx="21">
                  <c:v>-6</c:v>
                </c:pt>
                <c:pt idx="22">
                  <c:v>-6</c:v>
                </c:pt>
                <c:pt idx="23">
                  <c:v>-6</c:v>
                </c:pt>
                <c:pt idx="25">
                  <c:v>-35</c:v>
                </c:pt>
                <c:pt idx="26">
                  <c:v>-35</c:v>
                </c:pt>
                <c:pt idx="27">
                  <c:v>-35</c:v>
                </c:pt>
                <c:pt idx="29">
                  <c:v>2</c:v>
                </c:pt>
                <c:pt idx="30">
                  <c:v>22</c:v>
                </c:pt>
                <c:pt idx="32">
                  <c:v>18</c:v>
                </c:pt>
                <c:pt idx="33">
                  <c:v>18</c:v>
                </c:pt>
                <c:pt idx="35">
                  <c:v>2</c:v>
                </c:pt>
                <c:pt idx="36">
                  <c:v>22</c:v>
                </c:pt>
                <c:pt idx="38">
                  <c:v>22</c:v>
                </c:pt>
                <c:pt idx="39">
                  <c:v>18</c:v>
                </c:pt>
                <c:pt idx="40">
                  <c:v>14</c:v>
                </c:pt>
                <c:pt idx="42">
                  <c:v>22</c:v>
                </c:pt>
                <c:pt idx="43">
                  <c:v>18</c:v>
                </c:pt>
                <c:pt idx="44">
                  <c:v>14</c:v>
                </c:pt>
                <c:pt idx="46">
                  <c:v>-102</c:v>
                </c:pt>
                <c:pt idx="47">
                  <c:v>-122</c:v>
                </c:pt>
                <c:pt idx="49">
                  <c:v>-118</c:v>
                </c:pt>
                <c:pt idx="50">
                  <c:v>-118</c:v>
                </c:pt>
                <c:pt idx="52">
                  <c:v>-102</c:v>
                </c:pt>
                <c:pt idx="53">
                  <c:v>-122</c:v>
                </c:pt>
                <c:pt idx="55">
                  <c:v>-114</c:v>
                </c:pt>
                <c:pt idx="56">
                  <c:v>-118</c:v>
                </c:pt>
                <c:pt idx="57">
                  <c:v>-122</c:v>
                </c:pt>
                <c:pt idx="59">
                  <c:v>-114</c:v>
                </c:pt>
                <c:pt idx="60">
                  <c:v>-118</c:v>
                </c:pt>
                <c:pt idx="61">
                  <c:v>-122</c:v>
                </c:pt>
                <c:pt idx="63">
                  <c:v>-6</c:v>
                </c:pt>
                <c:pt idx="64">
                  <c:v>-133</c:v>
                </c:pt>
                <c:pt idx="66">
                  <c:v>-35</c:v>
                </c:pt>
                <c:pt idx="67">
                  <c:v>-133</c:v>
                </c:pt>
                <c:pt idx="68">
                  <c:v>-133</c:v>
                </c:pt>
                <c:pt idx="70">
                  <c:v>-142</c:v>
                </c:pt>
                <c:pt idx="72">
                  <c:v>0</c:v>
                </c:pt>
                <c:pt idx="73">
                  <c:v>0</c:v>
                </c:pt>
                <c:pt idx="74">
                  <c:v>0</c:v>
                </c:pt>
                <c:pt idx="75">
                  <c:v>0</c:v>
                </c:pt>
                <c:pt idx="76">
                  <c:v>0</c:v>
                </c:pt>
                <c:pt idx="78">
                  <c:v>-3</c:v>
                </c:pt>
                <c:pt idx="79">
                  <c:v>-6</c:v>
                </c:pt>
                <c:pt idx="80">
                  <c:v>8.5</c:v>
                </c:pt>
                <c:pt idx="81">
                  <c:v>5.5</c:v>
                </c:pt>
                <c:pt idx="82">
                  <c:v>5.5</c:v>
                </c:pt>
                <c:pt idx="83">
                  <c:v>8.5</c:v>
                </c:pt>
                <c:pt idx="84">
                  <c:v>-6</c:v>
                </c:pt>
                <c:pt idx="85">
                  <c:v>-3</c:v>
                </c:pt>
                <c:pt idx="86">
                  <c:v>-3</c:v>
                </c:pt>
                <c:pt idx="88">
                  <c:v>#N/A</c:v>
                </c:pt>
                <c:pt idx="89">
                  <c:v>#N/A</c:v>
                </c:pt>
                <c:pt idx="90">
                  <c:v>#N/A</c:v>
                </c:pt>
                <c:pt idx="91">
                  <c:v>#N/A</c:v>
                </c:pt>
                <c:pt idx="92">
                  <c:v>#N/A</c:v>
                </c:pt>
                <c:pt idx="94">
                  <c:v>#N/A</c:v>
                </c:pt>
                <c:pt idx="95">
                  <c:v>#N/A</c:v>
                </c:pt>
                <c:pt idx="96">
                  <c:v>#N/A</c:v>
                </c:pt>
                <c:pt idx="97">
                  <c:v>#N/A</c:v>
                </c:pt>
                <c:pt idx="98">
                  <c:v>#N/A</c:v>
                </c:pt>
                <c:pt idx="99">
                  <c:v>#N/A</c:v>
                </c:pt>
                <c:pt idx="100">
                  <c:v>#N/A</c:v>
                </c:pt>
                <c:pt idx="101">
                  <c:v>#N/A</c:v>
                </c:pt>
                <c:pt idx="102">
                  <c:v>#N/A</c:v>
                </c:pt>
                <c:pt idx="104">
                  <c:v>#N/A</c:v>
                </c:pt>
                <c:pt idx="105">
                  <c:v>#N/A</c:v>
                </c:pt>
                <c:pt idx="106">
                  <c:v>#N/A</c:v>
                </c:pt>
                <c:pt idx="107">
                  <c:v>#N/A</c:v>
                </c:pt>
                <c:pt idx="108">
                  <c:v>#N/A</c:v>
                </c:pt>
                <c:pt idx="110">
                  <c:v>#N/A</c:v>
                </c:pt>
                <c:pt idx="111">
                  <c:v>#N/A</c:v>
                </c:pt>
                <c:pt idx="112">
                  <c:v>#N/A</c:v>
                </c:pt>
                <c:pt idx="113">
                  <c:v>#N/A</c:v>
                </c:pt>
                <c:pt idx="114">
                  <c:v>#N/A</c:v>
                </c:pt>
                <c:pt idx="115">
                  <c:v>#N/A</c:v>
                </c:pt>
                <c:pt idx="116">
                  <c:v>#N/A</c:v>
                </c:pt>
                <c:pt idx="117">
                  <c:v>#N/A</c:v>
                </c:pt>
                <c:pt idx="118">
                  <c:v>#N/A</c:v>
                </c:pt>
                <c:pt idx="120">
                  <c:v>#N/A</c:v>
                </c:pt>
                <c:pt idx="121">
                  <c:v>#N/A</c:v>
                </c:pt>
                <c:pt idx="122">
                  <c:v>#N/A</c:v>
                </c:pt>
                <c:pt idx="123">
                  <c:v>#N/A</c:v>
                </c:pt>
                <c:pt idx="124">
                  <c:v>#N/A</c:v>
                </c:pt>
                <c:pt idx="126">
                  <c:v>#N/A</c:v>
                </c:pt>
                <c:pt idx="127">
                  <c:v>#N/A</c:v>
                </c:pt>
                <c:pt idx="128">
                  <c:v>#N/A</c:v>
                </c:pt>
                <c:pt idx="129">
                  <c:v>#N/A</c:v>
                </c:pt>
                <c:pt idx="130">
                  <c:v>#N/A</c:v>
                </c:pt>
                <c:pt idx="131">
                  <c:v>#N/A</c:v>
                </c:pt>
                <c:pt idx="132">
                  <c:v>#N/A</c:v>
                </c:pt>
                <c:pt idx="133">
                  <c:v>#N/A</c:v>
                </c:pt>
                <c:pt idx="134">
                  <c:v>#N/A</c:v>
                </c:pt>
                <c:pt idx="136">
                  <c:v>#N/A</c:v>
                </c:pt>
                <c:pt idx="137">
                  <c:v>#N/A</c:v>
                </c:pt>
                <c:pt idx="138">
                  <c:v>#N/A</c:v>
                </c:pt>
                <c:pt idx="139">
                  <c:v>#N/A</c:v>
                </c:pt>
                <c:pt idx="140">
                  <c:v>#N/A</c:v>
                </c:pt>
                <c:pt idx="142">
                  <c:v>#N/A</c:v>
                </c:pt>
                <c:pt idx="143">
                  <c:v>#N/A</c:v>
                </c:pt>
                <c:pt idx="144">
                  <c:v>#N/A</c:v>
                </c:pt>
                <c:pt idx="145">
                  <c:v>#N/A</c:v>
                </c:pt>
                <c:pt idx="146">
                  <c:v>#N/A</c:v>
                </c:pt>
                <c:pt idx="147">
                  <c:v>#N/A</c:v>
                </c:pt>
                <c:pt idx="148">
                  <c:v>#N/A</c:v>
                </c:pt>
                <c:pt idx="149">
                  <c:v>#N/A</c:v>
                </c:pt>
                <c:pt idx="150">
                  <c:v>#N/A</c:v>
                </c:pt>
                <c:pt idx="152">
                  <c:v>#N/A</c:v>
                </c:pt>
                <c:pt idx="153">
                  <c:v>#N/A</c:v>
                </c:pt>
                <c:pt idx="154">
                  <c:v>#N/A</c:v>
                </c:pt>
                <c:pt idx="155">
                  <c:v>#N/A</c:v>
                </c:pt>
                <c:pt idx="156">
                  <c:v>#N/A</c:v>
                </c:pt>
                <c:pt idx="158">
                  <c:v>#N/A</c:v>
                </c:pt>
                <c:pt idx="159">
                  <c:v>#N/A</c:v>
                </c:pt>
                <c:pt idx="160">
                  <c:v>#N/A</c:v>
                </c:pt>
                <c:pt idx="161">
                  <c:v>#N/A</c:v>
                </c:pt>
                <c:pt idx="162">
                  <c:v>#N/A</c:v>
                </c:pt>
                <c:pt idx="163">
                  <c:v>#N/A</c:v>
                </c:pt>
                <c:pt idx="164">
                  <c:v>#N/A</c:v>
                </c:pt>
                <c:pt idx="165">
                  <c:v>#N/A</c:v>
                </c:pt>
                <c:pt idx="166">
                  <c:v>#N/A</c:v>
                </c:pt>
                <c:pt idx="168">
                  <c:v>#N/A</c:v>
                </c:pt>
                <c:pt idx="169">
                  <c:v>#N/A</c:v>
                </c:pt>
                <c:pt idx="170">
                  <c:v>#N/A</c:v>
                </c:pt>
                <c:pt idx="171">
                  <c:v>#N/A</c:v>
                </c:pt>
                <c:pt idx="172">
                  <c:v>#N/A</c:v>
                </c:pt>
                <c:pt idx="174">
                  <c:v>#N/A</c:v>
                </c:pt>
                <c:pt idx="175">
                  <c:v>#N/A</c:v>
                </c:pt>
                <c:pt idx="176">
                  <c:v>#N/A</c:v>
                </c:pt>
                <c:pt idx="177">
                  <c:v>#N/A</c:v>
                </c:pt>
                <c:pt idx="178">
                  <c:v>#N/A</c:v>
                </c:pt>
                <c:pt idx="179">
                  <c:v>#N/A</c:v>
                </c:pt>
                <c:pt idx="180">
                  <c:v>#N/A</c:v>
                </c:pt>
                <c:pt idx="181">
                  <c:v>#N/A</c:v>
                </c:pt>
                <c:pt idx="182">
                  <c:v>#N/A</c:v>
                </c:pt>
                <c:pt idx="184">
                  <c:v>#N/A</c:v>
                </c:pt>
                <c:pt idx="185">
                  <c:v>#N/A</c:v>
                </c:pt>
                <c:pt idx="186">
                  <c:v>#N/A</c:v>
                </c:pt>
                <c:pt idx="187">
                  <c:v>#N/A</c:v>
                </c:pt>
                <c:pt idx="188">
                  <c:v>#N/A</c:v>
                </c:pt>
                <c:pt idx="190">
                  <c:v>#N/A</c:v>
                </c:pt>
                <c:pt idx="191">
                  <c:v>#N/A</c:v>
                </c:pt>
                <c:pt idx="192">
                  <c:v>#N/A</c:v>
                </c:pt>
                <c:pt idx="193">
                  <c:v>#N/A</c:v>
                </c:pt>
                <c:pt idx="194">
                  <c:v>#N/A</c:v>
                </c:pt>
                <c:pt idx="195">
                  <c:v>#N/A</c:v>
                </c:pt>
                <c:pt idx="196">
                  <c:v>#N/A</c:v>
                </c:pt>
                <c:pt idx="197">
                  <c:v>#N/A</c:v>
                </c:pt>
                <c:pt idx="198">
                  <c:v>#N/A</c:v>
                </c:pt>
                <c:pt idx="200">
                  <c:v>#N/A</c:v>
                </c:pt>
                <c:pt idx="201">
                  <c:v>#N/A</c:v>
                </c:pt>
                <c:pt idx="202">
                  <c:v>#N/A</c:v>
                </c:pt>
                <c:pt idx="203">
                  <c:v>#N/A</c:v>
                </c:pt>
                <c:pt idx="204">
                  <c:v>#N/A</c:v>
                </c:pt>
                <c:pt idx="206">
                  <c:v>#N/A</c:v>
                </c:pt>
                <c:pt idx="207">
                  <c:v>#N/A</c:v>
                </c:pt>
                <c:pt idx="208">
                  <c:v>#N/A</c:v>
                </c:pt>
                <c:pt idx="209">
                  <c:v>#N/A</c:v>
                </c:pt>
                <c:pt idx="210">
                  <c:v>#N/A</c:v>
                </c:pt>
                <c:pt idx="211">
                  <c:v>#N/A</c:v>
                </c:pt>
                <c:pt idx="212">
                  <c:v>#N/A</c:v>
                </c:pt>
                <c:pt idx="213">
                  <c:v>#N/A</c:v>
                </c:pt>
                <c:pt idx="214">
                  <c:v>#N/A</c:v>
                </c:pt>
                <c:pt idx="216">
                  <c:v>#N/A</c:v>
                </c:pt>
                <c:pt idx="217">
                  <c:v>#N/A</c:v>
                </c:pt>
                <c:pt idx="218">
                  <c:v>#N/A</c:v>
                </c:pt>
                <c:pt idx="219">
                  <c:v>#N/A</c:v>
                </c:pt>
                <c:pt idx="220">
                  <c:v>#N/A</c:v>
                </c:pt>
                <c:pt idx="222">
                  <c:v>#N/A</c:v>
                </c:pt>
                <c:pt idx="223">
                  <c:v>#N/A</c:v>
                </c:pt>
                <c:pt idx="224">
                  <c:v>#N/A</c:v>
                </c:pt>
                <c:pt idx="225">
                  <c:v>#N/A</c:v>
                </c:pt>
                <c:pt idx="226">
                  <c:v>#N/A</c:v>
                </c:pt>
                <c:pt idx="227">
                  <c:v>#N/A</c:v>
                </c:pt>
                <c:pt idx="228">
                  <c:v>#N/A</c:v>
                </c:pt>
                <c:pt idx="229">
                  <c:v>#N/A</c:v>
                </c:pt>
                <c:pt idx="230">
                  <c:v>#N/A</c:v>
                </c:pt>
                <c:pt idx="232">
                  <c:v>#N/A</c:v>
                </c:pt>
                <c:pt idx="233">
                  <c:v>#N/A</c:v>
                </c:pt>
                <c:pt idx="234">
                  <c:v>#N/A</c:v>
                </c:pt>
                <c:pt idx="235">
                  <c:v>#N/A</c:v>
                </c:pt>
                <c:pt idx="236">
                  <c:v>#N/A</c:v>
                </c:pt>
                <c:pt idx="238">
                  <c:v>#N/A</c:v>
                </c:pt>
                <c:pt idx="239">
                  <c:v>#N/A</c:v>
                </c:pt>
                <c:pt idx="240">
                  <c:v>#N/A</c:v>
                </c:pt>
                <c:pt idx="241">
                  <c:v>#N/A</c:v>
                </c:pt>
                <c:pt idx="242">
                  <c:v>#N/A</c:v>
                </c:pt>
                <c:pt idx="243">
                  <c:v>#N/A</c:v>
                </c:pt>
                <c:pt idx="244">
                  <c:v>#N/A</c:v>
                </c:pt>
                <c:pt idx="245">
                  <c:v>#N/A</c:v>
                </c:pt>
                <c:pt idx="246">
                  <c:v>#N/A</c:v>
                </c:pt>
                <c:pt idx="248">
                  <c:v>#N/A</c:v>
                </c:pt>
                <c:pt idx="249">
                  <c:v>#N/A</c:v>
                </c:pt>
                <c:pt idx="250">
                  <c:v>#N/A</c:v>
                </c:pt>
                <c:pt idx="251">
                  <c:v>#N/A</c:v>
                </c:pt>
                <c:pt idx="252">
                  <c:v>#N/A</c:v>
                </c:pt>
                <c:pt idx="254">
                  <c:v>#N/A</c:v>
                </c:pt>
                <c:pt idx="255">
                  <c:v>#N/A</c:v>
                </c:pt>
                <c:pt idx="256">
                  <c:v>#N/A</c:v>
                </c:pt>
                <c:pt idx="257">
                  <c:v>#N/A</c:v>
                </c:pt>
                <c:pt idx="258">
                  <c:v>#N/A</c:v>
                </c:pt>
                <c:pt idx="259">
                  <c:v>#N/A</c:v>
                </c:pt>
                <c:pt idx="260">
                  <c:v>#N/A</c:v>
                </c:pt>
                <c:pt idx="261">
                  <c:v>#N/A</c:v>
                </c:pt>
                <c:pt idx="262">
                  <c:v>#N/A</c:v>
                </c:pt>
                <c:pt idx="264">
                  <c:v>#N/A</c:v>
                </c:pt>
                <c:pt idx="265">
                  <c:v>#N/A</c:v>
                </c:pt>
                <c:pt idx="266">
                  <c:v>#N/A</c:v>
                </c:pt>
                <c:pt idx="267">
                  <c:v>#N/A</c:v>
                </c:pt>
                <c:pt idx="268">
                  <c:v>#N/A</c:v>
                </c:pt>
                <c:pt idx="270">
                  <c:v>#N/A</c:v>
                </c:pt>
                <c:pt idx="271">
                  <c:v>#N/A</c:v>
                </c:pt>
                <c:pt idx="272">
                  <c:v>#N/A</c:v>
                </c:pt>
                <c:pt idx="273">
                  <c:v>#N/A</c:v>
                </c:pt>
                <c:pt idx="274">
                  <c:v>#N/A</c:v>
                </c:pt>
                <c:pt idx="275">
                  <c:v>#N/A</c:v>
                </c:pt>
                <c:pt idx="276">
                  <c:v>#N/A</c:v>
                </c:pt>
                <c:pt idx="277">
                  <c:v>#N/A</c:v>
                </c:pt>
                <c:pt idx="278">
                  <c:v>#N/A</c:v>
                </c:pt>
                <c:pt idx="280">
                  <c:v>#N/A</c:v>
                </c:pt>
                <c:pt idx="281">
                  <c:v>#N/A</c:v>
                </c:pt>
                <c:pt idx="282">
                  <c:v>#N/A</c:v>
                </c:pt>
                <c:pt idx="283">
                  <c:v>#N/A</c:v>
                </c:pt>
                <c:pt idx="284">
                  <c:v>#N/A</c:v>
                </c:pt>
                <c:pt idx="286">
                  <c:v>#N/A</c:v>
                </c:pt>
                <c:pt idx="287">
                  <c:v>#N/A</c:v>
                </c:pt>
                <c:pt idx="288">
                  <c:v>#N/A</c:v>
                </c:pt>
                <c:pt idx="289">
                  <c:v>#N/A</c:v>
                </c:pt>
                <c:pt idx="290">
                  <c:v>#N/A</c:v>
                </c:pt>
                <c:pt idx="291">
                  <c:v>#N/A</c:v>
                </c:pt>
                <c:pt idx="292">
                  <c:v>#N/A</c:v>
                </c:pt>
                <c:pt idx="293">
                  <c:v>#N/A</c:v>
                </c:pt>
                <c:pt idx="294">
                  <c:v>#N/A</c:v>
                </c:pt>
                <c:pt idx="296">
                  <c:v>#N/A</c:v>
                </c:pt>
                <c:pt idx="297">
                  <c:v>#N/A</c:v>
                </c:pt>
                <c:pt idx="298">
                  <c:v>#N/A</c:v>
                </c:pt>
                <c:pt idx="299">
                  <c:v>#N/A</c:v>
                </c:pt>
                <c:pt idx="300">
                  <c:v>#N/A</c:v>
                </c:pt>
                <c:pt idx="302">
                  <c:v>#N/A</c:v>
                </c:pt>
                <c:pt idx="303">
                  <c:v>#N/A</c:v>
                </c:pt>
                <c:pt idx="304">
                  <c:v>#N/A</c:v>
                </c:pt>
                <c:pt idx="305">
                  <c:v>#N/A</c:v>
                </c:pt>
                <c:pt idx="306">
                  <c:v>#N/A</c:v>
                </c:pt>
                <c:pt idx="307">
                  <c:v>#N/A</c:v>
                </c:pt>
                <c:pt idx="308">
                  <c:v>#N/A</c:v>
                </c:pt>
                <c:pt idx="309">
                  <c:v>#N/A</c:v>
                </c:pt>
                <c:pt idx="310">
                  <c:v>#N/A</c:v>
                </c:pt>
                <c:pt idx="312">
                  <c:v>#N/A</c:v>
                </c:pt>
                <c:pt idx="313">
                  <c:v>#N/A</c:v>
                </c:pt>
                <c:pt idx="314">
                  <c:v>#N/A</c:v>
                </c:pt>
                <c:pt idx="315">
                  <c:v>#N/A</c:v>
                </c:pt>
                <c:pt idx="316">
                  <c:v>#N/A</c:v>
                </c:pt>
                <c:pt idx="318">
                  <c:v>#N/A</c:v>
                </c:pt>
                <c:pt idx="319">
                  <c:v>#N/A</c:v>
                </c:pt>
                <c:pt idx="320">
                  <c:v>#N/A</c:v>
                </c:pt>
                <c:pt idx="321">
                  <c:v>#N/A</c:v>
                </c:pt>
                <c:pt idx="322">
                  <c:v>#N/A</c:v>
                </c:pt>
                <c:pt idx="323">
                  <c:v>#N/A</c:v>
                </c:pt>
                <c:pt idx="324">
                  <c:v>#N/A</c:v>
                </c:pt>
                <c:pt idx="325">
                  <c:v>#N/A</c:v>
                </c:pt>
                <c:pt idx="326">
                  <c:v>#N/A</c:v>
                </c:pt>
                <c:pt idx="328">
                  <c:v>#N/A</c:v>
                </c:pt>
                <c:pt idx="329">
                  <c:v>#N/A</c:v>
                </c:pt>
                <c:pt idx="330">
                  <c:v>#N/A</c:v>
                </c:pt>
                <c:pt idx="331">
                  <c:v>#N/A</c:v>
                </c:pt>
                <c:pt idx="332">
                  <c:v>#N/A</c:v>
                </c:pt>
                <c:pt idx="334">
                  <c:v>#N/A</c:v>
                </c:pt>
                <c:pt idx="335">
                  <c:v>#N/A</c:v>
                </c:pt>
                <c:pt idx="336">
                  <c:v>#N/A</c:v>
                </c:pt>
                <c:pt idx="337">
                  <c:v>#N/A</c:v>
                </c:pt>
                <c:pt idx="338">
                  <c:v>#N/A</c:v>
                </c:pt>
                <c:pt idx="339">
                  <c:v>#N/A</c:v>
                </c:pt>
                <c:pt idx="340">
                  <c:v>#N/A</c:v>
                </c:pt>
                <c:pt idx="341">
                  <c:v>#N/A</c:v>
                </c:pt>
                <c:pt idx="342">
                  <c:v>#N/A</c:v>
                </c:pt>
                <c:pt idx="344">
                  <c:v>#N/A</c:v>
                </c:pt>
                <c:pt idx="345">
                  <c:v>#N/A</c:v>
                </c:pt>
                <c:pt idx="346">
                  <c:v>#N/A</c:v>
                </c:pt>
                <c:pt idx="347">
                  <c:v>#N/A</c:v>
                </c:pt>
                <c:pt idx="348">
                  <c:v>#N/A</c:v>
                </c:pt>
                <c:pt idx="350">
                  <c:v>#N/A</c:v>
                </c:pt>
                <c:pt idx="351">
                  <c:v>#N/A</c:v>
                </c:pt>
                <c:pt idx="352">
                  <c:v>#N/A</c:v>
                </c:pt>
                <c:pt idx="353">
                  <c:v>#N/A</c:v>
                </c:pt>
                <c:pt idx="354">
                  <c:v>#N/A</c:v>
                </c:pt>
                <c:pt idx="355">
                  <c:v>#N/A</c:v>
                </c:pt>
                <c:pt idx="356">
                  <c:v>#N/A</c:v>
                </c:pt>
                <c:pt idx="357">
                  <c:v>#N/A</c:v>
                </c:pt>
                <c:pt idx="358">
                  <c:v>#N/A</c:v>
                </c:pt>
                <c:pt idx="360">
                  <c:v>#N/A</c:v>
                </c:pt>
                <c:pt idx="361">
                  <c:v>#N/A</c:v>
                </c:pt>
                <c:pt idx="362">
                  <c:v>#N/A</c:v>
                </c:pt>
                <c:pt idx="363">
                  <c:v>#N/A</c:v>
                </c:pt>
                <c:pt idx="364">
                  <c:v>#N/A</c:v>
                </c:pt>
                <c:pt idx="366">
                  <c:v>#N/A</c:v>
                </c:pt>
                <c:pt idx="367">
                  <c:v>#N/A</c:v>
                </c:pt>
                <c:pt idx="368">
                  <c:v>#N/A</c:v>
                </c:pt>
                <c:pt idx="369">
                  <c:v>#N/A</c:v>
                </c:pt>
                <c:pt idx="370">
                  <c:v>#N/A</c:v>
                </c:pt>
                <c:pt idx="371">
                  <c:v>#N/A</c:v>
                </c:pt>
                <c:pt idx="372">
                  <c:v>#N/A</c:v>
                </c:pt>
                <c:pt idx="373">
                  <c:v>#N/A</c:v>
                </c:pt>
                <c:pt idx="374">
                  <c:v>#N/A</c:v>
                </c:pt>
                <c:pt idx="376">
                  <c:v>#N/A</c:v>
                </c:pt>
                <c:pt idx="377">
                  <c:v>#N/A</c:v>
                </c:pt>
                <c:pt idx="378">
                  <c:v>#N/A</c:v>
                </c:pt>
                <c:pt idx="379">
                  <c:v>#N/A</c:v>
                </c:pt>
                <c:pt idx="380">
                  <c:v>#N/A</c:v>
                </c:pt>
                <c:pt idx="382">
                  <c:v>#N/A</c:v>
                </c:pt>
                <c:pt idx="383">
                  <c:v>#N/A</c:v>
                </c:pt>
                <c:pt idx="384">
                  <c:v>#N/A</c:v>
                </c:pt>
                <c:pt idx="385">
                  <c:v>#N/A</c:v>
                </c:pt>
                <c:pt idx="386">
                  <c:v>#N/A</c:v>
                </c:pt>
                <c:pt idx="387">
                  <c:v>#N/A</c:v>
                </c:pt>
                <c:pt idx="388">
                  <c:v>#N/A</c:v>
                </c:pt>
                <c:pt idx="389">
                  <c:v>#N/A</c:v>
                </c:pt>
                <c:pt idx="390">
                  <c:v>#N/A</c:v>
                </c:pt>
                <c:pt idx="392">
                  <c:v>#N/A</c:v>
                </c:pt>
                <c:pt idx="393">
                  <c:v>#N/A</c:v>
                </c:pt>
                <c:pt idx="394">
                  <c:v>#N/A</c:v>
                </c:pt>
                <c:pt idx="395">
                  <c:v>#N/A</c:v>
                </c:pt>
                <c:pt idx="396">
                  <c:v>#N/A</c:v>
                </c:pt>
                <c:pt idx="398">
                  <c:v>#N/A</c:v>
                </c:pt>
                <c:pt idx="399">
                  <c:v>#N/A</c:v>
                </c:pt>
                <c:pt idx="400">
                  <c:v>#N/A</c:v>
                </c:pt>
                <c:pt idx="401">
                  <c:v>#N/A</c:v>
                </c:pt>
                <c:pt idx="402">
                  <c:v>#N/A</c:v>
                </c:pt>
                <c:pt idx="403">
                  <c:v>#N/A</c:v>
                </c:pt>
                <c:pt idx="404">
                  <c:v>#N/A</c:v>
                </c:pt>
                <c:pt idx="405">
                  <c:v>#N/A</c:v>
                </c:pt>
                <c:pt idx="406">
                  <c:v>#N/A</c:v>
                </c:pt>
                <c:pt idx="408">
                  <c:v>#N/A</c:v>
                </c:pt>
                <c:pt idx="409">
                  <c:v>#N/A</c:v>
                </c:pt>
                <c:pt idx="410">
                  <c:v>#N/A</c:v>
                </c:pt>
                <c:pt idx="411">
                  <c:v>#N/A</c:v>
                </c:pt>
                <c:pt idx="412">
                  <c:v>#N/A</c:v>
                </c:pt>
                <c:pt idx="414">
                  <c:v>#N/A</c:v>
                </c:pt>
                <c:pt idx="415">
                  <c:v>#N/A</c:v>
                </c:pt>
                <c:pt idx="416">
                  <c:v>#N/A</c:v>
                </c:pt>
                <c:pt idx="417">
                  <c:v>#N/A</c:v>
                </c:pt>
                <c:pt idx="418">
                  <c:v>#N/A</c:v>
                </c:pt>
                <c:pt idx="419">
                  <c:v>#N/A</c:v>
                </c:pt>
                <c:pt idx="420">
                  <c:v>#N/A</c:v>
                </c:pt>
                <c:pt idx="421">
                  <c:v>#N/A</c:v>
                </c:pt>
                <c:pt idx="422">
                  <c:v>#N/A</c:v>
                </c:pt>
                <c:pt idx="424">
                  <c:v>#N/A</c:v>
                </c:pt>
                <c:pt idx="425">
                  <c:v>#N/A</c:v>
                </c:pt>
                <c:pt idx="426">
                  <c:v>#N/A</c:v>
                </c:pt>
                <c:pt idx="427">
                  <c:v>#N/A</c:v>
                </c:pt>
                <c:pt idx="428">
                  <c:v>#N/A</c:v>
                </c:pt>
                <c:pt idx="430">
                  <c:v>#N/A</c:v>
                </c:pt>
                <c:pt idx="431">
                  <c:v>#N/A</c:v>
                </c:pt>
                <c:pt idx="432">
                  <c:v>#N/A</c:v>
                </c:pt>
                <c:pt idx="433">
                  <c:v>#N/A</c:v>
                </c:pt>
                <c:pt idx="434">
                  <c:v>#N/A</c:v>
                </c:pt>
                <c:pt idx="435">
                  <c:v>#N/A</c:v>
                </c:pt>
                <c:pt idx="436">
                  <c:v>#N/A</c:v>
                </c:pt>
                <c:pt idx="437">
                  <c:v>#N/A</c:v>
                </c:pt>
                <c:pt idx="438">
                  <c:v>#N/A</c:v>
                </c:pt>
                <c:pt idx="440">
                  <c:v>#N/A</c:v>
                </c:pt>
                <c:pt idx="441">
                  <c:v>#N/A</c:v>
                </c:pt>
                <c:pt idx="442">
                  <c:v>#N/A</c:v>
                </c:pt>
                <c:pt idx="443">
                  <c:v>#N/A</c:v>
                </c:pt>
                <c:pt idx="444">
                  <c:v>#N/A</c:v>
                </c:pt>
                <c:pt idx="446">
                  <c:v>#N/A</c:v>
                </c:pt>
                <c:pt idx="447">
                  <c:v>#N/A</c:v>
                </c:pt>
                <c:pt idx="448">
                  <c:v>#N/A</c:v>
                </c:pt>
                <c:pt idx="449">
                  <c:v>#N/A</c:v>
                </c:pt>
                <c:pt idx="450">
                  <c:v>#N/A</c:v>
                </c:pt>
                <c:pt idx="451">
                  <c:v>#N/A</c:v>
                </c:pt>
                <c:pt idx="452">
                  <c:v>#N/A</c:v>
                </c:pt>
                <c:pt idx="453">
                  <c:v>#N/A</c:v>
                </c:pt>
                <c:pt idx="454">
                  <c:v>#N/A</c:v>
                </c:pt>
                <c:pt idx="456">
                  <c:v>#N/A</c:v>
                </c:pt>
                <c:pt idx="457">
                  <c:v>#N/A</c:v>
                </c:pt>
                <c:pt idx="458">
                  <c:v>#N/A</c:v>
                </c:pt>
                <c:pt idx="459">
                  <c:v>#N/A</c:v>
                </c:pt>
                <c:pt idx="460">
                  <c:v>#N/A</c:v>
                </c:pt>
                <c:pt idx="462">
                  <c:v>#N/A</c:v>
                </c:pt>
                <c:pt idx="463">
                  <c:v>#N/A</c:v>
                </c:pt>
                <c:pt idx="464">
                  <c:v>#N/A</c:v>
                </c:pt>
                <c:pt idx="465">
                  <c:v>#N/A</c:v>
                </c:pt>
                <c:pt idx="466">
                  <c:v>#N/A</c:v>
                </c:pt>
                <c:pt idx="467">
                  <c:v>#N/A</c:v>
                </c:pt>
                <c:pt idx="468">
                  <c:v>#N/A</c:v>
                </c:pt>
                <c:pt idx="469">
                  <c:v>#N/A</c:v>
                </c:pt>
                <c:pt idx="470">
                  <c:v>#N/A</c:v>
                </c:pt>
                <c:pt idx="472">
                  <c:v>-21</c:v>
                </c:pt>
                <c:pt idx="473">
                  <c:v>-99</c:v>
                </c:pt>
                <c:pt idx="474">
                  <c:v>-99</c:v>
                </c:pt>
                <c:pt idx="475">
                  <c:v>-21</c:v>
                </c:pt>
                <c:pt idx="476">
                  <c:v>-21</c:v>
                </c:pt>
                <c:pt idx="478">
                  <c:v>#N/A</c:v>
                </c:pt>
                <c:pt idx="479">
                  <c:v>#N/A</c:v>
                </c:pt>
                <c:pt idx="480">
                  <c:v>#N/A</c:v>
                </c:pt>
                <c:pt idx="481">
                  <c:v>#N/A</c:v>
                </c:pt>
                <c:pt idx="482">
                  <c:v>#N/A</c:v>
                </c:pt>
                <c:pt idx="484">
                  <c:v>#N/A</c:v>
                </c:pt>
                <c:pt idx="485">
                  <c:v>#N/A</c:v>
                </c:pt>
                <c:pt idx="486">
                  <c:v>#N/A</c:v>
                </c:pt>
                <c:pt idx="487">
                  <c:v>#N/A</c:v>
                </c:pt>
                <c:pt idx="488">
                  <c:v>#N/A</c:v>
                </c:pt>
                <c:pt idx="490">
                  <c:v>#N/A</c:v>
                </c:pt>
                <c:pt idx="491">
                  <c:v>#N/A</c:v>
                </c:pt>
                <c:pt idx="492">
                  <c:v>#N/A</c:v>
                </c:pt>
                <c:pt idx="493">
                  <c:v>#N/A</c:v>
                </c:pt>
                <c:pt idx="494">
                  <c:v>#N/A</c:v>
                </c:pt>
                <c:pt idx="496">
                  <c:v>#N/A</c:v>
                </c:pt>
                <c:pt idx="497">
                  <c:v>#N/A</c:v>
                </c:pt>
                <c:pt idx="498">
                  <c:v>#N/A</c:v>
                </c:pt>
                <c:pt idx="499">
                  <c:v>#N/A</c:v>
                </c:pt>
                <c:pt idx="500">
                  <c:v>#N/A</c:v>
                </c:pt>
                <c:pt idx="502">
                  <c:v>#N/A</c:v>
                </c:pt>
                <c:pt idx="503">
                  <c:v>#N/A</c:v>
                </c:pt>
                <c:pt idx="504">
                  <c:v>#N/A</c:v>
                </c:pt>
                <c:pt idx="505">
                  <c:v>#N/A</c:v>
                </c:pt>
                <c:pt idx="506">
                  <c:v>#N/A</c:v>
                </c:pt>
                <c:pt idx="508">
                  <c:v>#N/A</c:v>
                </c:pt>
                <c:pt idx="509">
                  <c:v>#N/A</c:v>
                </c:pt>
                <c:pt idx="510">
                  <c:v>#N/A</c:v>
                </c:pt>
                <c:pt idx="511">
                  <c:v>#N/A</c:v>
                </c:pt>
                <c:pt idx="512">
                  <c:v>#N/A</c:v>
                </c:pt>
                <c:pt idx="514">
                  <c:v>#N/A</c:v>
                </c:pt>
                <c:pt idx="515">
                  <c:v>#N/A</c:v>
                </c:pt>
                <c:pt idx="516">
                  <c:v>#N/A</c:v>
                </c:pt>
                <c:pt idx="517">
                  <c:v>#N/A</c:v>
                </c:pt>
                <c:pt idx="518">
                  <c:v>#N/A</c:v>
                </c:pt>
                <c:pt idx="520">
                  <c:v>#N/A</c:v>
                </c:pt>
                <c:pt idx="521">
                  <c:v>#N/A</c:v>
                </c:pt>
                <c:pt idx="522">
                  <c:v>#N/A</c:v>
                </c:pt>
                <c:pt idx="523">
                  <c:v>#N/A</c:v>
                </c:pt>
                <c:pt idx="524">
                  <c:v>#N/A</c:v>
                </c:pt>
                <c:pt idx="526">
                  <c:v>#N/A</c:v>
                </c:pt>
                <c:pt idx="527">
                  <c:v>#N/A</c:v>
                </c:pt>
                <c:pt idx="528">
                  <c:v>#N/A</c:v>
                </c:pt>
                <c:pt idx="529">
                  <c:v>#N/A</c:v>
                </c:pt>
                <c:pt idx="530">
                  <c:v>#N/A</c:v>
                </c:pt>
                <c:pt idx="532">
                  <c:v>#N/A</c:v>
                </c:pt>
                <c:pt idx="533">
                  <c:v>#N/A</c:v>
                </c:pt>
                <c:pt idx="534">
                  <c:v>#N/A</c:v>
                </c:pt>
                <c:pt idx="535">
                  <c:v>#N/A</c:v>
                </c:pt>
                <c:pt idx="536">
                  <c:v>#N/A</c:v>
                </c:pt>
                <c:pt idx="538">
                  <c:v>#N/A</c:v>
                </c:pt>
                <c:pt idx="539">
                  <c:v>#N/A</c:v>
                </c:pt>
                <c:pt idx="540">
                  <c:v>#N/A</c:v>
                </c:pt>
                <c:pt idx="541">
                  <c:v>#N/A</c:v>
                </c:pt>
                <c:pt idx="542">
                  <c:v>#N/A</c:v>
                </c:pt>
                <c:pt idx="544">
                  <c:v>#N/A</c:v>
                </c:pt>
                <c:pt idx="545">
                  <c:v>#N/A</c:v>
                </c:pt>
                <c:pt idx="546">
                  <c:v>#N/A</c:v>
                </c:pt>
                <c:pt idx="547">
                  <c:v>#N/A</c:v>
                </c:pt>
                <c:pt idx="548">
                  <c:v>#N/A</c:v>
                </c:pt>
                <c:pt idx="550">
                  <c:v>#N/A</c:v>
                </c:pt>
                <c:pt idx="551">
                  <c:v>#N/A</c:v>
                </c:pt>
                <c:pt idx="552">
                  <c:v>#N/A</c:v>
                </c:pt>
                <c:pt idx="553">
                  <c:v>#N/A</c:v>
                </c:pt>
                <c:pt idx="554">
                  <c:v>#N/A</c:v>
                </c:pt>
                <c:pt idx="556">
                  <c:v>#N/A</c:v>
                </c:pt>
                <c:pt idx="557">
                  <c:v>#N/A</c:v>
                </c:pt>
                <c:pt idx="558">
                  <c:v>#N/A</c:v>
                </c:pt>
                <c:pt idx="559">
                  <c:v>#N/A</c:v>
                </c:pt>
                <c:pt idx="560">
                  <c:v>#N/A</c:v>
                </c:pt>
                <c:pt idx="562">
                  <c:v>#N/A</c:v>
                </c:pt>
                <c:pt idx="563">
                  <c:v>#N/A</c:v>
                </c:pt>
                <c:pt idx="564">
                  <c:v>#N/A</c:v>
                </c:pt>
                <c:pt idx="565">
                  <c:v>#N/A</c:v>
                </c:pt>
                <c:pt idx="566">
                  <c:v>#N/A</c:v>
                </c:pt>
                <c:pt idx="568">
                  <c:v>#N/A</c:v>
                </c:pt>
                <c:pt idx="569">
                  <c:v>#N/A</c:v>
                </c:pt>
                <c:pt idx="570">
                  <c:v>#N/A</c:v>
                </c:pt>
                <c:pt idx="571">
                  <c:v>#N/A</c:v>
                </c:pt>
                <c:pt idx="572">
                  <c:v>#N/A</c:v>
                </c:pt>
                <c:pt idx="574">
                  <c:v>#N/A</c:v>
                </c:pt>
                <c:pt idx="575">
                  <c:v>#N/A</c:v>
                </c:pt>
                <c:pt idx="576">
                  <c:v>#N/A</c:v>
                </c:pt>
                <c:pt idx="577">
                  <c:v>#N/A</c:v>
                </c:pt>
                <c:pt idx="578">
                  <c:v>#N/A</c:v>
                </c:pt>
                <c:pt idx="580">
                  <c:v>#N/A</c:v>
                </c:pt>
                <c:pt idx="581">
                  <c:v>#N/A</c:v>
                </c:pt>
                <c:pt idx="582">
                  <c:v>#N/A</c:v>
                </c:pt>
                <c:pt idx="583">
                  <c:v>#N/A</c:v>
                </c:pt>
                <c:pt idx="584">
                  <c:v>#N/A</c:v>
                </c:pt>
                <c:pt idx="586">
                  <c:v>#N/A</c:v>
                </c:pt>
                <c:pt idx="587">
                  <c:v>#N/A</c:v>
                </c:pt>
                <c:pt idx="588">
                  <c:v>#N/A</c:v>
                </c:pt>
                <c:pt idx="589">
                  <c:v>#N/A</c:v>
                </c:pt>
                <c:pt idx="590">
                  <c:v>#N/A</c:v>
                </c:pt>
                <c:pt idx="592">
                  <c:v>#N/A</c:v>
                </c:pt>
                <c:pt idx="593">
                  <c:v>#N/A</c:v>
                </c:pt>
                <c:pt idx="594">
                  <c:v>#N/A</c:v>
                </c:pt>
                <c:pt idx="595">
                  <c:v>#N/A</c:v>
                </c:pt>
                <c:pt idx="596">
                  <c:v>#N/A</c:v>
                </c:pt>
                <c:pt idx="598">
                  <c:v>#N/A</c:v>
                </c:pt>
                <c:pt idx="599">
                  <c:v>#N/A</c:v>
                </c:pt>
                <c:pt idx="600">
                  <c:v>#N/A</c:v>
                </c:pt>
                <c:pt idx="601">
                  <c:v>#N/A</c:v>
                </c:pt>
                <c:pt idx="602">
                  <c:v>#N/A</c:v>
                </c:pt>
                <c:pt idx="604">
                  <c:v>#N/A</c:v>
                </c:pt>
                <c:pt idx="605">
                  <c:v>#N/A</c:v>
                </c:pt>
                <c:pt idx="606">
                  <c:v>#N/A</c:v>
                </c:pt>
                <c:pt idx="607">
                  <c:v>#N/A</c:v>
                </c:pt>
                <c:pt idx="608">
                  <c:v>#N/A</c:v>
                </c:pt>
                <c:pt idx="610">
                  <c:v>#N/A</c:v>
                </c:pt>
                <c:pt idx="611">
                  <c:v>#N/A</c:v>
                </c:pt>
                <c:pt idx="612">
                  <c:v>#N/A</c:v>
                </c:pt>
                <c:pt idx="613">
                  <c:v>#N/A</c:v>
                </c:pt>
                <c:pt idx="614">
                  <c:v>#N/A</c:v>
                </c:pt>
                <c:pt idx="616">
                  <c:v>#N/A</c:v>
                </c:pt>
                <c:pt idx="617">
                  <c:v>#N/A</c:v>
                </c:pt>
                <c:pt idx="618">
                  <c:v>#N/A</c:v>
                </c:pt>
                <c:pt idx="619">
                  <c:v>#N/A</c:v>
                </c:pt>
                <c:pt idx="620">
                  <c:v>#N/A</c:v>
                </c:pt>
                <c:pt idx="622">
                  <c:v>#N/A</c:v>
                </c:pt>
                <c:pt idx="623">
                  <c:v>#N/A</c:v>
                </c:pt>
                <c:pt idx="624">
                  <c:v>#N/A</c:v>
                </c:pt>
                <c:pt idx="625">
                  <c:v>#N/A</c:v>
                </c:pt>
                <c:pt idx="626">
                  <c:v>#N/A</c:v>
                </c:pt>
                <c:pt idx="628">
                  <c:v>#N/A</c:v>
                </c:pt>
                <c:pt idx="629">
                  <c:v>#N/A</c:v>
                </c:pt>
                <c:pt idx="630">
                  <c:v>#N/A</c:v>
                </c:pt>
                <c:pt idx="631">
                  <c:v>#N/A</c:v>
                </c:pt>
                <c:pt idx="632">
                  <c:v>#N/A</c:v>
                </c:pt>
                <c:pt idx="634">
                  <c:v>#N/A</c:v>
                </c:pt>
                <c:pt idx="635">
                  <c:v>#N/A</c:v>
                </c:pt>
                <c:pt idx="636">
                  <c:v>#N/A</c:v>
                </c:pt>
                <c:pt idx="637">
                  <c:v>#N/A</c:v>
                </c:pt>
                <c:pt idx="638">
                  <c:v>#N/A</c:v>
                </c:pt>
                <c:pt idx="640">
                  <c:v>#N/A</c:v>
                </c:pt>
                <c:pt idx="641">
                  <c:v>#N/A</c:v>
                </c:pt>
                <c:pt idx="642">
                  <c:v>#N/A</c:v>
                </c:pt>
                <c:pt idx="643">
                  <c:v>#N/A</c:v>
                </c:pt>
                <c:pt idx="644">
                  <c:v>#N/A</c:v>
                </c:pt>
                <c:pt idx="646">
                  <c:v>#N/A</c:v>
                </c:pt>
                <c:pt idx="647">
                  <c:v>#N/A</c:v>
                </c:pt>
                <c:pt idx="648">
                  <c:v>#N/A</c:v>
                </c:pt>
                <c:pt idx="649">
                  <c:v>#N/A</c:v>
                </c:pt>
                <c:pt idx="650">
                  <c:v>#N/A</c:v>
                </c:pt>
                <c:pt idx="652">
                  <c:v>#N/A</c:v>
                </c:pt>
                <c:pt idx="653">
                  <c:v>#N/A</c:v>
                </c:pt>
                <c:pt idx="654">
                  <c:v>#N/A</c:v>
                </c:pt>
                <c:pt idx="655">
                  <c:v>#N/A</c:v>
                </c:pt>
                <c:pt idx="656">
                  <c:v>#N/A</c:v>
                </c:pt>
              </c:numCache>
            </c:numRef>
          </c:yVal>
          <c:smooth val="0"/>
          <c:extLst>
            <c:ext xmlns:c16="http://schemas.microsoft.com/office/drawing/2014/chart" uri="{C3380CC4-5D6E-409C-BE32-E72D297353CC}">
              <c16:uniqueId val="{00000003-1ABF-4D65-85BD-2BA437F0E93B}"/>
            </c:ext>
          </c:extLst>
        </c:ser>
        <c:dLbls>
          <c:showLegendKey val="0"/>
          <c:showVal val="0"/>
          <c:showCatName val="0"/>
          <c:showSerName val="0"/>
          <c:showPercent val="0"/>
          <c:showBubbleSize val="0"/>
        </c:dLbls>
        <c:axId val="279638400"/>
        <c:axId val="279639936"/>
      </c:scatterChart>
      <c:valAx>
        <c:axId val="279638400"/>
        <c:scaling>
          <c:orientation val="minMax"/>
        </c:scaling>
        <c:delete val="1"/>
        <c:axPos val="b"/>
        <c:numFmt formatCode="General" sourceLinked="1"/>
        <c:majorTickMark val="out"/>
        <c:minorTickMark val="none"/>
        <c:tickLblPos val="nextTo"/>
        <c:crossAx val="279639936"/>
        <c:crosses val="autoZero"/>
        <c:crossBetween val="midCat"/>
      </c:valAx>
      <c:valAx>
        <c:axId val="279639936"/>
        <c:scaling>
          <c:orientation val="minMax"/>
        </c:scaling>
        <c:delete val="1"/>
        <c:axPos val="l"/>
        <c:numFmt formatCode="General" sourceLinked="1"/>
        <c:majorTickMark val="out"/>
        <c:minorTickMark val="none"/>
        <c:tickLblPos val="nextTo"/>
        <c:crossAx val="279638400"/>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Sketch of Bridge Plan (Not To Scale)</a:t>
            </a:r>
          </a:p>
        </c:rich>
      </c:tx>
      <c:layout>
        <c:manualLayout>
          <c:xMode val="edge"/>
          <c:yMode val="edge"/>
          <c:x val="0.30606105892083768"/>
          <c:y val="1.6286670854970695E-2"/>
        </c:manualLayout>
      </c:layout>
      <c:overlay val="0"/>
      <c:spPr>
        <a:noFill/>
        <a:ln w="25400">
          <a:noFill/>
        </a:ln>
      </c:spPr>
    </c:title>
    <c:autoTitleDeleted val="0"/>
    <c:plotArea>
      <c:layout>
        <c:manualLayout>
          <c:layoutTarget val="inner"/>
          <c:xMode val="edge"/>
          <c:yMode val="edge"/>
          <c:x val="1.8181845084406196E-2"/>
          <c:y val="2.931600753894725E-2"/>
          <c:w val="0.97575901952979927"/>
          <c:h val="0.93811224124631198"/>
        </c:manualLayout>
      </c:layout>
      <c:scatterChart>
        <c:scatterStyle val="lineMarker"/>
        <c:varyColors val="0"/>
        <c:ser>
          <c:idx val="0"/>
          <c:order val="0"/>
          <c:spPr>
            <a:ln w="12700">
              <a:solidFill>
                <a:srgbClr val="000080"/>
              </a:solidFill>
              <a:prstDash val="solid"/>
            </a:ln>
          </c:spPr>
          <c:marker>
            <c:symbol val="square"/>
            <c:size val="5"/>
            <c:spPr>
              <a:noFill/>
              <a:ln w="9525">
                <a:noFill/>
              </a:ln>
            </c:spPr>
          </c:marker>
          <c:dLbls>
            <c:dLbl>
              <c:idx val="4"/>
              <c:layout>
                <c:manualLayout>
                  <c:x val="4.0404533618154008E-3"/>
                  <c:y val="-6.020601012045023E-2"/>
                </c:manualLayout>
              </c:layout>
              <c:tx>
                <c:strRef>
                  <c:f>'Sketch Data'!$A$5</c:f>
                  <c:strCache>
                    <c:ptCount val="1"/>
                    <c:pt idx="0">
                      <c:v>skew = 0 degrees</c:v>
                    </c:pt>
                  </c:strCache>
                </c:strRef>
              </c:tx>
              <c:spPr>
                <a:noFill/>
                <a:ln w="25400">
                  <a:noFill/>
                </a:ln>
              </c:spPr>
              <c:txPr>
                <a:bodyPr/>
                <a:lstStyle/>
                <a:p>
                  <a:pPr>
                    <a:defRPr sz="850" b="0" i="0" u="none" strike="noStrike" baseline="0">
                      <a:solidFill>
                        <a:srgbClr val="000000"/>
                      </a:solidFill>
                      <a:latin typeface="Arial"/>
                      <a:ea typeface="Arial"/>
                      <a:cs typeface="Arial"/>
                    </a:defRPr>
                  </a:pPr>
                  <a:endParaRPr lang="en-US"/>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{0C176A61-0B8A-492C-B93A-041076DC92DE}</c15:txfldGUID>
                      <c15:f>'Sketch Data'!$A$5</c15:f>
                      <c15:dlblFieldTableCache>
                        <c:ptCount val="1"/>
                        <c:pt idx="0">
                          <c:v>skew = 0 degrees</c:v>
                        </c:pt>
                      </c15:dlblFieldTableCache>
                    </c15:dlblFTEntry>
                  </c15:dlblFieldTable>
                  <c15:showDataLabelsRange val="0"/>
                </c:ext>
                <c:ext xmlns:c16="http://schemas.microsoft.com/office/drawing/2014/chart" uri="{C3380CC4-5D6E-409C-BE32-E72D297353CC}">
                  <c16:uniqueId val="{00000000-B839-4087-8AEE-C06524635593}"/>
                </c:ext>
              </c:extLst>
            </c:dLbl>
            <c:dLbl>
              <c:idx val="12"/>
              <c:layout>
                <c:manualLayout>
                  <c:x val="2.2222298446221599E-2"/>
                  <c:y val="-2.3756698213969075E-2"/>
                </c:manualLayout>
              </c:layout>
              <c:tx>
                <c:rich>
                  <a:bodyPr/>
                  <a:lstStyle/>
                  <a:p>
                    <a:pPr>
                      <a:defRPr sz="875" b="0" i="0" u="none" strike="noStrike" baseline="0">
                        <a:solidFill>
                          <a:srgbClr val="000000"/>
                        </a:solidFill>
                        <a:latin typeface="Arial"/>
                        <a:ea typeface="Arial"/>
                        <a:cs typeface="Arial"/>
                      </a:defRPr>
                    </a:pPr>
                    <a:r>
                      <a:rPr lang="en-US"/>
                      <a:t>Length</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B839-4087-8AEE-C06524635593}"/>
                </c:ext>
              </c:extLst>
            </c:dLbl>
            <c:dLbl>
              <c:idx val="14"/>
              <c:layout>
                <c:manualLayout>
                  <c:x val="-8.0807766944553938E-3"/>
                  <c:y val="-2.3756698213969075E-2"/>
                </c:manualLayout>
              </c:layout>
              <c:tx>
                <c:strRef>
                  <c:f>'Sketch Data'!$A$6</c:f>
                  <c:strCache>
                    <c:ptCount val="1"/>
                    <c:pt idx="0">
                      <c:v>= 0 ft</c:v>
                    </c:pt>
                  </c:strCache>
                </c:strRef>
              </c:tx>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{083C3A40-BE3D-49E6-9109-5B9566E508B5}</c15:txfldGUID>
                      <c15:f>'Sketch Data'!$A$6</c15:f>
                      <c15:dlblFieldTableCache>
                        <c:ptCount val="1"/>
                        <c:pt idx="0">
                          <c:v>= 0 ft</c:v>
                        </c:pt>
                      </c15:dlblFieldTableCache>
                    </c15:dlblFTEntry>
                  </c15:dlblFieldTable>
                  <c15:showDataLabelsRange val="0"/>
                </c:ext>
                <c:ext xmlns:c16="http://schemas.microsoft.com/office/drawing/2014/chart" uri="{C3380CC4-5D6E-409C-BE32-E72D297353CC}">
                  <c16:uniqueId val="{00000002-B839-4087-8AEE-C06524635593}"/>
                </c:ext>
              </c:extLst>
            </c:dLbl>
            <c:dLbl>
              <c:idx val="21"/>
              <c:layout>
                <c:manualLayout>
                  <c:x val="-0.96604039283099241"/>
                  <c:y val="-0.19217162277386679"/>
                </c:manualLayout>
              </c:layout>
              <c:tx>
                <c:strRef>
                  <c:f>'Sketch Data'!$A$2</c:f>
                  <c:strCache>
                    <c:ptCount val="1"/>
                  </c:strCache>
                </c:strRef>
              </c:tx>
              <c:spPr>
                <a:noFill/>
                <a:ln w="25400">
                  <a:noFill/>
                </a:ln>
              </c:spPr>
              <c:txPr>
                <a:bodyPr rot="-5400000" vert="horz"/>
                <a:lstStyle/>
                <a:p>
                  <a:pPr algn="ctr">
                    <a:defRPr sz="875" b="0" i="0" u="none" strike="noStrike" baseline="0">
                      <a:solidFill>
                        <a:srgbClr val="000000"/>
                      </a:solidFill>
                      <a:latin typeface="Arial"/>
                      <a:ea typeface="Arial"/>
                      <a:cs typeface="Arial"/>
                    </a:defRPr>
                  </a:pPr>
                  <a:endParaRPr lang="en-US"/>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{193289AD-07F5-44DE-BC1E-BB569A48046D}</c15:txfldGUID>
                      <c15:f>'Sketch Data'!$A$2</c15:f>
                      <c15:dlblFieldTableCache>
                        <c:ptCount val="1"/>
                      </c15:dlblFieldTableCache>
                    </c15:dlblFTEntry>
                  </c15:dlblFieldTable>
                  <c15:showDataLabelsRange val="0"/>
                </c:ext>
                <c:ext xmlns:c16="http://schemas.microsoft.com/office/drawing/2014/chart" uri="{C3380CC4-5D6E-409C-BE32-E72D297353CC}">
                  <c16:uniqueId val="{00000003-B839-4087-8AEE-C06524635593}"/>
                </c:ext>
              </c:extLst>
            </c:dLbl>
            <c:dLbl>
              <c:idx val="23"/>
              <c:layout>
                <c:manualLayout>
                  <c:x val="-0.96604039283099241"/>
                  <c:y val="-0.13353960769597228"/>
                </c:manualLayout>
              </c:layout>
              <c:tx>
                <c:strRef>
                  <c:f>'Sketch Data'!$A$7</c:f>
                  <c:strCache>
                    <c:ptCount val="1"/>
                  </c:strCache>
                </c:strRef>
              </c:tx>
              <c:spPr>
                <a:noFill/>
                <a:ln w="25400">
                  <a:noFill/>
                </a:ln>
              </c:spPr>
              <c:txPr>
                <a:bodyPr rot="-5400000" vert="horz"/>
                <a:lstStyle/>
                <a:p>
                  <a:pPr algn="ctr">
                    <a:defRPr sz="875" b="0" i="0" u="none" strike="noStrike" baseline="0">
                      <a:solidFill>
                        <a:srgbClr val="000000"/>
                      </a:solidFill>
                      <a:latin typeface="Arial"/>
                      <a:ea typeface="Arial"/>
                      <a:cs typeface="Arial"/>
                    </a:defRPr>
                  </a:pPr>
                  <a:endParaRPr lang="en-US"/>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{1C0CD8F8-B677-4752-8F26-D565CB187152}</c15:txfldGUID>
                      <c15:f>'Sketch Data'!$A$7</c15:f>
                      <c15:dlblFieldTableCache>
                        <c:ptCount val="1"/>
                      </c15:dlblFieldTableCache>
                    </c15:dlblFTEntry>
                  </c15:dlblFieldTable>
                  <c15:showDataLabelsRange val="0"/>
                </c:ext>
                <c:ext xmlns:c16="http://schemas.microsoft.com/office/drawing/2014/chart" uri="{C3380CC4-5D6E-409C-BE32-E72D297353CC}">
                  <c16:uniqueId val="{00000004-B839-4087-8AEE-C06524635593}"/>
                </c:ext>
              </c:extLst>
            </c:dLbl>
            <c:dLbl>
              <c:idx val="30"/>
              <c:layout>
                <c:manualLayout>
                  <c:x val="-2.1717160507760045E-2"/>
                  <c:y val="-4.2387656230643569E-2"/>
                </c:manualLayout>
              </c:layout>
              <c:tx>
                <c:rich>
                  <a:bodyPr rot="-5400000" vert="horz"/>
                  <a:lstStyle/>
                  <a:p>
                    <a:pPr algn="ctr">
                      <a:defRPr sz="875" b="0" i="0" u="none" strike="noStrike" baseline="0">
                        <a:solidFill>
                          <a:srgbClr val="000000"/>
                        </a:solidFill>
                        <a:latin typeface="Arial"/>
                        <a:ea typeface="Arial"/>
                        <a:cs typeface="Arial"/>
                      </a:defRPr>
                    </a:pPr>
                    <a:r>
                      <a:rPr lang="en-US"/>
                      <a:t>Out-to-out width</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B839-4087-8AEE-C06524635593}"/>
                </c:ext>
              </c:extLst>
            </c:dLbl>
            <c:dLbl>
              <c:idx val="32"/>
              <c:layout>
                <c:manualLayout>
                  <c:x val="-2.1717160507760045E-2"/>
                  <c:y val="-9.6871534254813998E-2"/>
                </c:manualLayout>
              </c:layout>
              <c:tx>
                <c:strRef>
                  <c:f>'Sketch Data'!$A$8</c:f>
                  <c:strCache>
                    <c:ptCount val="1"/>
                    <c:pt idx="0">
                      <c:v>= 0 ft</c:v>
                    </c:pt>
                  </c:strCache>
                </c:strRef>
              </c:tx>
              <c:spPr>
                <a:noFill/>
                <a:ln w="25400">
                  <a:noFill/>
                </a:ln>
              </c:spPr>
              <c:txPr>
                <a:bodyPr rot="-5400000" vert="horz"/>
                <a:lstStyle/>
                <a:p>
                  <a:pPr algn="ctr">
                    <a:defRPr sz="875" b="0" i="0" u="none" strike="noStrike" baseline="0">
                      <a:solidFill>
                        <a:srgbClr val="000000"/>
                      </a:solidFill>
                      <a:latin typeface="Arial"/>
                      <a:ea typeface="Arial"/>
                      <a:cs typeface="Arial"/>
                    </a:defRPr>
                  </a:pPr>
                  <a:endParaRPr lang="en-US"/>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{CDF8AEE6-191F-48EB-A1B1-DB5D2624593B}</c15:txfldGUID>
                      <c15:f>'Sketch Data'!$A$8</c15:f>
                      <c15:dlblFieldTableCache>
                        <c:ptCount val="1"/>
                        <c:pt idx="0">
                          <c:v>= 0 ft</c:v>
                        </c:pt>
                      </c15:dlblFieldTableCache>
                    </c15:dlblFTEntry>
                  </c15:dlblFieldTable>
                  <c15:showDataLabelsRange val="0"/>
                </c:ext>
                <c:ext xmlns:c16="http://schemas.microsoft.com/office/drawing/2014/chart" uri="{C3380CC4-5D6E-409C-BE32-E72D297353CC}">
                  <c16:uniqueId val="{00000006-B839-4087-8AEE-C06524635593}"/>
                </c:ext>
              </c:extLst>
            </c:dLbl>
            <c:dLbl>
              <c:idx val="43"/>
              <c:layout>
                <c:manualLayout>
                  <c:x val="-1.4141391722590796E-2"/>
                  <c:y val="-3.2354751371709359E-2"/>
                </c:manualLayout>
              </c:layout>
              <c:tx>
                <c:rich>
                  <a:bodyPr/>
                  <a:lstStyle/>
                  <a:p>
                    <a:pPr>
                      <a:defRPr sz="850" b="0" i="0" u="none" strike="noStrike" baseline="0">
                        <a:solidFill>
                          <a:srgbClr val="000000"/>
                        </a:solidFill>
                        <a:latin typeface="Arial"/>
                        <a:ea typeface="Arial"/>
                        <a:cs typeface="Arial"/>
                      </a:defRPr>
                    </a:pPr>
                    <a:r>
                      <a:rPr lang="en-US"/>
                      <a:t>Centerline
Bearing</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B839-4087-8AEE-C06524635593}"/>
                </c:ext>
              </c:extLst>
            </c:dLbl>
            <c:dLbl>
              <c:idx val="49"/>
              <c:layout>
                <c:manualLayout>
                  <c:x val="-1.4141391722590796E-2"/>
                  <c:y val="-3.2354751371709359E-2"/>
                </c:manualLayout>
              </c:layout>
              <c:tx>
                <c:rich>
                  <a:bodyPr/>
                  <a:lstStyle/>
                  <a:p>
                    <a:pPr>
                      <a:defRPr sz="850" b="0" i="0" u="none" strike="noStrike" baseline="0">
                        <a:solidFill>
                          <a:srgbClr val="000000"/>
                        </a:solidFill>
                        <a:latin typeface="Arial"/>
                        <a:ea typeface="Arial"/>
                        <a:cs typeface="Arial"/>
                      </a:defRPr>
                    </a:pPr>
                    <a:r>
                      <a:rPr lang="en-US"/>
                      <a:t>Centerline
Bearing</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B839-4087-8AEE-C0652463559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'Sketch Data'!$E$1:$E$56</c:f>
              <c:numCache>
                <c:formatCode>General</c:formatCode>
                <c:ptCount val="56"/>
                <c:pt idx="0">
                  <c:v>0</c:v>
                </c:pt>
                <c:pt idx="1">
                  <c:v>0</c:v>
                </c:pt>
                <c:pt idx="2">
                  <c:v>0</c:v>
                </c:pt>
                <c:pt idx="3">
                  <c:v>0</c:v>
                </c:pt>
                <c:pt idx="4">
                  <c:v>0</c:v>
                </c:pt>
                <c:pt idx="6">
                  <c:v>#N/A</c:v>
                </c:pt>
                <c:pt idx="7">
                  <c:v>#N/A</c:v>
                </c:pt>
                <c:pt idx="9">
                  <c:v>0</c:v>
                </c:pt>
                <c:pt idx="10">
                  <c:v>0</c:v>
                </c:pt>
                <c:pt idx="12">
                  <c:v>0</c:v>
                </c:pt>
                <c:pt idx="13">
                  <c:v>0</c:v>
                </c:pt>
                <c:pt idx="14">
                  <c:v>0</c:v>
                </c:pt>
                <c:pt idx="15">
                  <c:v>0</c:v>
                </c:pt>
                <c:pt idx="16">
                  <c:v>0</c:v>
                </c:pt>
                <c:pt idx="17">
                  <c:v>0</c:v>
                </c:pt>
                <c:pt idx="18">
                  <c:v>0</c:v>
                </c:pt>
                <c:pt idx="19">
                  <c:v>0</c:v>
                </c:pt>
                <c:pt idx="21">
                  <c:v>#N/A</c:v>
                </c:pt>
                <c:pt idx="22">
                  <c:v>#N/A</c:v>
                </c:pt>
                <c:pt idx="23">
                  <c:v>#N/A</c:v>
                </c:pt>
                <c:pt idx="24">
                  <c:v>0</c:v>
                </c:pt>
                <c:pt idx="25">
                  <c:v>#N/A</c:v>
                </c:pt>
                <c:pt idx="26">
                  <c:v>#N/A</c:v>
                </c:pt>
                <c:pt idx="27">
                  <c:v>#N/A</c:v>
                </c:pt>
                <c:pt idx="28">
                  <c:v>#N/A</c:v>
                </c:pt>
                <c:pt idx="30">
                  <c:v>0</c:v>
                </c:pt>
                <c:pt idx="31">
                  <c:v>0</c:v>
                </c:pt>
                <c:pt idx="32">
                  <c:v>0</c:v>
                </c:pt>
                <c:pt idx="33">
                  <c:v>0</c:v>
                </c:pt>
                <c:pt idx="34">
                  <c:v>0</c:v>
                </c:pt>
                <c:pt idx="35">
                  <c:v>0</c:v>
                </c:pt>
                <c:pt idx="36">
                  <c:v>0</c:v>
                </c:pt>
                <c:pt idx="37">
                  <c:v>0</c:v>
                </c:pt>
                <c:pt idx="39">
                  <c:v>0</c:v>
                </c:pt>
                <c:pt idx="40">
                  <c:v>0</c:v>
                </c:pt>
                <c:pt idx="41">
                  <c:v>0</c:v>
                </c:pt>
                <c:pt idx="42">
                  <c:v>0</c:v>
                </c:pt>
                <c:pt idx="43">
                  <c:v>0</c:v>
                </c:pt>
                <c:pt idx="45">
                  <c:v>0</c:v>
                </c:pt>
                <c:pt idx="46">
                  <c:v>0</c:v>
                </c:pt>
                <c:pt idx="47">
                  <c:v>0</c:v>
                </c:pt>
                <c:pt idx="48">
                  <c:v>0</c:v>
                </c:pt>
                <c:pt idx="49">
                  <c:v>0</c:v>
                </c:pt>
                <c:pt idx="51">
                  <c:v>0</c:v>
                </c:pt>
                <c:pt idx="52">
                  <c:v>0</c:v>
                </c:pt>
                <c:pt idx="54">
                  <c:v>#N/A</c:v>
                </c:pt>
                <c:pt idx="55">
                  <c:v>0</c:v>
                </c:pt>
              </c:numCache>
            </c:numRef>
          </c:xVal>
          <c:yVal>
            <c:numRef>
              <c:f>'Sketch Data'!$F$1:$F$56</c:f>
              <c:numCache>
                <c:formatCode>General</c:formatCode>
                <c:ptCount val="56"/>
                <c:pt idx="0">
                  <c:v>0</c:v>
                </c:pt>
                <c:pt idx="1">
                  <c:v>0</c:v>
                </c:pt>
                <c:pt idx="2">
                  <c:v>0</c:v>
                </c:pt>
                <c:pt idx="3">
                  <c:v>0</c:v>
                </c:pt>
                <c:pt idx="4">
                  <c:v>0</c:v>
                </c:pt>
                <c:pt idx="6">
                  <c:v>0</c:v>
                </c:pt>
                <c:pt idx="7">
                  <c:v>0</c:v>
                </c:pt>
                <c:pt idx="9">
                  <c:v>0</c:v>
                </c:pt>
                <c:pt idx="10">
                  <c:v>0</c:v>
                </c:pt>
                <c:pt idx="12">
                  <c:v>0</c:v>
                </c:pt>
                <c:pt idx="13">
                  <c:v>0</c:v>
                </c:pt>
                <c:pt idx="14">
                  <c:v>0</c:v>
                </c:pt>
                <c:pt idx="15">
                  <c:v>0</c:v>
                </c:pt>
                <c:pt idx="16">
                  <c:v>0</c:v>
                </c:pt>
                <c:pt idx="17">
                  <c:v>0</c:v>
                </c:pt>
                <c:pt idx="18">
                  <c:v>0</c:v>
                </c:pt>
                <c:pt idx="19">
                  <c:v>0</c:v>
                </c:pt>
                <c:pt idx="21">
                  <c:v>0</c:v>
                </c:pt>
                <c:pt idx="22">
                  <c:v>0</c:v>
                </c:pt>
                <c:pt idx="23">
                  <c:v>0</c:v>
                </c:pt>
                <c:pt idx="24">
                  <c:v>0</c:v>
                </c:pt>
                <c:pt idx="25">
                  <c:v>0</c:v>
                </c:pt>
                <c:pt idx="26">
                  <c:v>0</c:v>
                </c:pt>
                <c:pt idx="27">
                  <c:v>0</c:v>
                </c:pt>
                <c:pt idx="28">
                  <c:v>0</c:v>
                </c:pt>
                <c:pt idx="30">
                  <c:v>0</c:v>
                </c:pt>
                <c:pt idx="31">
                  <c:v>0</c:v>
                </c:pt>
                <c:pt idx="32">
                  <c:v>0</c:v>
                </c:pt>
                <c:pt idx="33">
                  <c:v>0</c:v>
                </c:pt>
                <c:pt idx="34">
                  <c:v>0</c:v>
                </c:pt>
                <c:pt idx="35">
                  <c:v>0</c:v>
                </c:pt>
                <c:pt idx="36">
                  <c:v>0</c:v>
                </c:pt>
                <c:pt idx="37">
                  <c:v>0</c:v>
                </c:pt>
                <c:pt idx="39">
                  <c:v>0</c:v>
                </c:pt>
                <c:pt idx="40">
                  <c:v>0</c:v>
                </c:pt>
                <c:pt idx="41">
                  <c:v>0</c:v>
                </c:pt>
                <c:pt idx="42">
                  <c:v>0</c:v>
                </c:pt>
                <c:pt idx="43">
                  <c:v>0</c:v>
                </c:pt>
                <c:pt idx="45">
                  <c:v>0</c:v>
                </c:pt>
                <c:pt idx="46">
                  <c:v>0</c:v>
                </c:pt>
                <c:pt idx="47">
                  <c:v>0</c:v>
                </c:pt>
                <c:pt idx="48">
                  <c:v>0</c:v>
                </c:pt>
                <c:pt idx="49">
                  <c:v>0</c:v>
                </c:pt>
                <c:pt idx="51">
                  <c:v>0</c:v>
                </c:pt>
                <c:pt idx="52">
                  <c:v>0</c:v>
                </c:pt>
                <c:pt idx="54">
                  <c:v>0</c:v>
                </c:pt>
                <c:pt idx="55">
                  <c:v>0</c:v>
                </c:pt>
              </c:numCache>
            </c:numRef>
          </c:yVal>
          <c:smooth val="0"/>
          <c:extLst>
            <c:ext xmlns:c16="http://schemas.microsoft.com/office/drawing/2014/chart" uri="{C3380CC4-5D6E-409C-BE32-E72D297353CC}">
              <c16:uniqueId val="{00000009-B839-4087-8AEE-C06524635593}"/>
            </c:ext>
          </c:extLst>
        </c:ser>
        <c:dLbls>
          <c:showLegendKey val="0"/>
          <c:showVal val="0"/>
          <c:showCatName val="0"/>
          <c:showSerName val="0"/>
          <c:showPercent val="0"/>
          <c:showBubbleSize val="0"/>
        </c:dLbls>
        <c:axId val="281671936"/>
        <c:axId val="283684864"/>
      </c:scatterChart>
      <c:valAx>
        <c:axId val="281671936"/>
        <c:scaling>
          <c:orientation val="minMax"/>
        </c:scaling>
        <c:delete val="1"/>
        <c:axPos val="b"/>
        <c:numFmt formatCode="General" sourceLinked="1"/>
        <c:majorTickMark val="out"/>
        <c:minorTickMark val="none"/>
        <c:tickLblPos val="nextTo"/>
        <c:crossAx val="283684864"/>
        <c:crosses val="autoZero"/>
        <c:crossBetween val="midCat"/>
      </c:valAx>
      <c:valAx>
        <c:axId val="283684864"/>
        <c:scaling>
          <c:orientation val="minMax"/>
        </c:scaling>
        <c:delete val="1"/>
        <c:axPos val="l"/>
        <c:numFmt formatCode="General" sourceLinked="1"/>
        <c:majorTickMark val="out"/>
        <c:minorTickMark val="none"/>
        <c:tickLblPos val="nextTo"/>
        <c:crossAx val="281671936"/>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30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19050</xdr:colOff>
          <xdr:row>5</xdr:row>
          <xdr:rowOff>76200</xdr:rowOff>
        </xdr:from>
        <xdr:to>
          <xdr:col>12</xdr:col>
          <xdr:colOff>590550</xdr:colOff>
          <xdr:row>8</xdr:row>
          <xdr:rowOff>142875</xdr:rowOff>
        </xdr:to>
        <xdr:sp macro="" textlink="">
          <xdr:nvSpPr>
            <xdr:cNvPr id="17430" name="CommandButton1" hidden="1">
              <a:extLst>
                <a:ext uri="{63B3BB69-23CF-44E3-9099-C40C66FF867C}">
                  <a14:compatExt spid="_x0000_s17430"/>
                </a:ext>
                <a:ext uri="{FF2B5EF4-FFF2-40B4-BE49-F238E27FC236}">
                  <a16:creationId xmlns:a16="http://schemas.microsoft.com/office/drawing/2014/main" id="{00000000-0008-0000-0000-00001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590550</xdr:colOff>
          <xdr:row>12</xdr:row>
          <xdr:rowOff>95250</xdr:rowOff>
        </xdr:to>
        <xdr:sp macro="" textlink="">
          <xdr:nvSpPr>
            <xdr:cNvPr id="17431" name="CommandButton2" hidden="1">
              <a:extLst>
                <a:ext uri="{63B3BB69-23CF-44E3-9099-C40C66FF867C}">
                  <a14:compatExt spid="_x0000_s17431"/>
                </a:ext>
                <a:ext uri="{FF2B5EF4-FFF2-40B4-BE49-F238E27FC236}">
                  <a16:creationId xmlns:a16="http://schemas.microsoft.com/office/drawing/2014/main" id="{00000000-0008-0000-0000-00001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1741</xdr:row>
      <xdr:rowOff>114300</xdr:rowOff>
    </xdr:from>
    <xdr:to>
      <xdr:col>12</xdr:col>
      <xdr:colOff>619125</xdr:colOff>
      <xdr:row>1765</xdr:row>
      <xdr:rowOff>28575</xdr:rowOff>
    </xdr:to>
    <xdr:graphicFrame macro="">
      <xdr:nvGraphicFramePr>
        <xdr:cNvPr id="1768" name="Chart 744">
          <a:extLst>
            <a:ext uri="{FF2B5EF4-FFF2-40B4-BE49-F238E27FC236}">
              <a16:creationId xmlns:a16="http://schemas.microsoft.com/office/drawing/2014/main" id="{00000000-0008-0000-0100-0000E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1</xdr:col>
      <xdr:colOff>152400</xdr:colOff>
      <xdr:row>602</xdr:row>
      <xdr:rowOff>38100</xdr:rowOff>
    </xdr:from>
    <xdr:ext cx="733425" cy="361950"/>
    <xdr:sp macro="" textlink="">
      <xdr:nvSpPr>
        <xdr:cNvPr id="1787" name="Text Box 763">
          <a:extLst>
            <a:ext uri="{FF2B5EF4-FFF2-40B4-BE49-F238E27FC236}">
              <a16:creationId xmlns:a16="http://schemas.microsoft.com/office/drawing/2014/main" id="{00000000-0008-0000-0100-0000FB060000}"/>
            </a:ext>
          </a:extLst>
        </xdr:cNvPr>
        <xdr:cNvSpPr txBox="1">
          <a:spLocks noChangeArrowheads="1"/>
        </xdr:cNvSpPr>
      </xdr:nvSpPr>
      <xdr:spPr bwMode="auto">
        <a:xfrm>
          <a:off x="485775" y="99040950"/>
          <a:ext cx="73342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wind force</a:t>
          </a:r>
        </a:p>
        <a:p>
          <a:pPr algn="l" rtl="0">
            <a:defRPr sz="1000"/>
          </a:pPr>
          <a:r>
            <a:rPr lang="en-US" sz="1000" b="0" i="0" u="none" strike="noStrike" baseline="0">
              <a:solidFill>
                <a:srgbClr val="000000"/>
              </a:solidFill>
              <a:latin typeface="Arial"/>
              <a:cs typeface="Arial"/>
            </a:rPr>
            <a:t>on structure</a:t>
          </a:r>
        </a:p>
      </xdr:txBody>
    </xdr:sp>
    <xdr:clientData/>
  </xdr:oneCellAnchor>
  <xdr:twoCellAnchor>
    <xdr:from>
      <xdr:col>9</xdr:col>
      <xdr:colOff>209550</xdr:colOff>
      <xdr:row>752</xdr:row>
      <xdr:rowOff>57150</xdr:rowOff>
    </xdr:from>
    <xdr:to>
      <xdr:col>9</xdr:col>
      <xdr:colOff>419100</xdr:colOff>
      <xdr:row>753</xdr:row>
      <xdr:rowOff>104775</xdr:rowOff>
    </xdr:to>
    <xdr:sp macro="" textlink="">
      <xdr:nvSpPr>
        <xdr:cNvPr id="1421" name="Oval 397">
          <a:extLst>
            <a:ext uri="{FF2B5EF4-FFF2-40B4-BE49-F238E27FC236}">
              <a16:creationId xmlns:a16="http://schemas.microsoft.com/office/drawing/2014/main" id="{00000000-0008-0000-0100-00008D050000}"/>
            </a:ext>
          </a:extLst>
        </xdr:cNvPr>
        <xdr:cNvSpPr>
          <a:spLocks noChangeArrowheads="1"/>
        </xdr:cNvSpPr>
      </xdr:nvSpPr>
      <xdr:spPr bwMode="auto">
        <a:xfrm>
          <a:off x="5295900" y="123996450"/>
          <a:ext cx="209550" cy="2095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57150</xdr:colOff>
      <xdr:row>601</xdr:row>
      <xdr:rowOff>57150</xdr:rowOff>
    </xdr:from>
    <xdr:to>
      <xdr:col>9</xdr:col>
      <xdr:colOff>133350</xdr:colOff>
      <xdr:row>606</xdr:row>
      <xdr:rowOff>19050</xdr:rowOff>
    </xdr:to>
    <xdr:sp macro="" textlink="">
      <xdr:nvSpPr>
        <xdr:cNvPr id="1393" name="Rectangle 369">
          <a:extLst>
            <a:ext uri="{FF2B5EF4-FFF2-40B4-BE49-F238E27FC236}">
              <a16:creationId xmlns:a16="http://schemas.microsoft.com/office/drawing/2014/main" id="{00000000-0008-0000-0100-000071050000}"/>
            </a:ext>
          </a:extLst>
        </xdr:cNvPr>
        <xdr:cNvSpPr>
          <a:spLocks noChangeArrowheads="1"/>
        </xdr:cNvSpPr>
      </xdr:nvSpPr>
      <xdr:spPr bwMode="auto">
        <a:xfrm>
          <a:off x="1714500" y="98898075"/>
          <a:ext cx="3505200" cy="771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590550</xdr:colOff>
      <xdr:row>753</xdr:row>
      <xdr:rowOff>19050</xdr:rowOff>
    </xdr:from>
    <xdr:to>
      <xdr:col>3</xdr:col>
      <xdr:colOff>638175</xdr:colOff>
      <xdr:row>754</xdr:row>
      <xdr:rowOff>85725</xdr:rowOff>
    </xdr:to>
    <xdr:sp macro="" textlink="">
      <xdr:nvSpPr>
        <xdr:cNvPr id="1026" name="Rectangle 2">
          <a:extLst>
            <a:ext uri="{FF2B5EF4-FFF2-40B4-BE49-F238E27FC236}">
              <a16:creationId xmlns:a16="http://schemas.microsoft.com/office/drawing/2014/main" id="{00000000-0008-0000-0100-000002040000}"/>
            </a:ext>
          </a:extLst>
        </xdr:cNvPr>
        <xdr:cNvSpPr>
          <a:spLocks noChangeArrowheads="1"/>
        </xdr:cNvSpPr>
      </xdr:nvSpPr>
      <xdr:spPr bwMode="auto">
        <a:xfrm>
          <a:off x="1619250" y="124120275"/>
          <a:ext cx="381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504825</xdr:colOff>
      <xdr:row>751</xdr:row>
      <xdr:rowOff>95250</xdr:rowOff>
    </xdr:from>
    <xdr:to>
      <xdr:col>4</xdr:col>
      <xdr:colOff>66675</xdr:colOff>
      <xdr:row>754</xdr:row>
      <xdr:rowOff>19050</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1533525" y="123872625"/>
          <a:ext cx="1905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66675</xdr:colOff>
      <xdr:row>751</xdr:row>
      <xdr:rowOff>95250</xdr:rowOff>
    </xdr:from>
    <xdr:to>
      <xdr:col>9</xdr:col>
      <xdr:colOff>485775</xdr:colOff>
      <xdr:row>752</xdr:row>
      <xdr:rowOff>0</xdr:rowOff>
    </xdr:to>
    <xdr:sp macro="" textlink="">
      <xdr:nvSpPr>
        <xdr:cNvPr id="1027" name="Rectangle 3">
          <a:extLst>
            <a:ext uri="{FF2B5EF4-FFF2-40B4-BE49-F238E27FC236}">
              <a16:creationId xmlns:a16="http://schemas.microsoft.com/office/drawing/2014/main" id="{00000000-0008-0000-0100-000003040000}"/>
            </a:ext>
          </a:extLst>
        </xdr:cNvPr>
        <xdr:cNvSpPr>
          <a:spLocks noChangeArrowheads="1"/>
        </xdr:cNvSpPr>
      </xdr:nvSpPr>
      <xdr:spPr bwMode="auto">
        <a:xfrm>
          <a:off x="1724025" y="123872625"/>
          <a:ext cx="3848100" cy="66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428625</xdr:colOff>
      <xdr:row>752</xdr:row>
      <xdr:rowOff>0</xdr:rowOff>
    </xdr:from>
    <xdr:to>
      <xdr:col>9</xdr:col>
      <xdr:colOff>514350</xdr:colOff>
      <xdr:row>752</xdr:row>
      <xdr:rowOff>95250</xdr:rowOff>
    </xdr:to>
    <xdr:sp macro="" textlink="">
      <xdr:nvSpPr>
        <xdr:cNvPr id="1028" name="Oval 4">
          <a:extLst>
            <a:ext uri="{FF2B5EF4-FFF2-40B4-BE49-F238E27FC236}">
              <a16:creationId xmlns:a16="http://schemas.microsoft.com/office/drawing/2014/main" id="{00000000-0008-0000-0100-000004040000}"/>
            </a:ext>
          </a:extLst>
        </xdr:cNvPr>
        <xdr:cNvSpPr>
          <a:spLocks noChangeArrowheads="1"/>
        </xdr:cNvSpPr>
      </xdr:nvSpPr>
      <xdr:spPr bwMode="auto">
        <a:xfrm>
          <a:off x="5514975" y="123939300"/>
          <a:ext cx="85725" cy="952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476250</xdr:colOff>
      <xdr:row>752</xdr:row>
      <xdr:rowOff>123825</xdr:rowOff>
    </xdr:from>
    <xdr:to>
      <xdr:col>9</xdr:col>
      <xdr:colOff>476250</xdr:colOff>
      <xdr:row>754</xdr:row>
      <xdr:rowOff>66675</xdr:rowOff>
    </xdr:to>
    <xdr:sp macro="" textlink="">
      <xdr:nvSpPr>
        <xdr:cNvPr id="1029" name="Line 5">
          <a:extLst>
            <a:ext uri="{FF2B5EF4-FFF2-40B4-BE49-F238E27FC236}">
              <a16:creationId xmlns:a16="http://schemas.microsoft.com/office/drawing/2014/main" id="{00000000-0008-0000-0100-000005040000}"/>
            </a:ext>
          </a:extLst>
        </xdr:cNvPr>
        <xdr:cNvSpPr>
          <a:spLocks noChangeShapeType="1"/>
        </xdr:cNvSpPr>
      </xdr:nvSpPr>
      <xdr:spPr bwMode="auto">
        <a:xfrm>
          <a:off x="5562600" y="124063125"/>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619125</xdr:colOff>
      <xdr:row>754</xdr:row>
      <xdr:rowOff>133350</xdr:rowOff>
    </xdr:from>
    <xdr:to>
      <xdr:col>3</xdr:col>
      <xdr:colOff>619125</xdr:colOff>
      <xdr:row>756</xdr:row>
      <xdr:rowOff>85725</xdr:rowOff>
    </xdr:to>
    <xdr:sp macro="" textlink="">
      <xdr:nvSpPr>
        <xdr:cNvPr id="1030" name="Line 6">
          <a:extLst>
            <a:ext uri="{FF2B5EF4-FFF2-40B4-BE49-F238E27FC236}">
              <a16:creationId xmlns:a16="http://schemas.microsoft.com/office/drawing/2014/main" id="{00000000-0008-0000-0100-000006040000}"/>
            </a:ext>
          </a:extLst>
        </xdr:cNvPr>
        <xdr:cNvSpPr>
          <a:spLocks noChangeShapeType="1"/>
        </xdr:cNvSpPr>
      </xdr:nvSpPr>
      <xdr:spPr bwMode="auto">
        <a:xfrm flipV="1">
          <a:off x="1647825" y="124396500"/>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485775</xdr:colOff>
      <xdr:row>751</xdr:row>
      <xdr:rowOff>133350</xdr:rowOff>
    </xdr:from>
    <xdr:to>
      <xdr:col>10</xdr:col>
      <xdr:colOff>142875</xdr:colOff>
      <xdr:row>751</xdr:row>
      <xdr:rowOff>133350</xdr:rowOff>
    </xdr:to>
    <xdr:sp macro="" textlink="">
      <xdr:nvSpPr>
        <xdr:cNvPr id="1031" name="Line 7">
          <a:extLst>
            <a:ext uri="{FF2B5EF4-FFF2-40B4-BE49-F238E27FC236}">
              <a16:creationId xmlns:a16="http://schemas.microsoft.com/office/drawing/2014/main" id="{00000000-0008-0000-0100-000007040000}"/>
            </a:ext>
          </a:extLst>
        </xdr:cNvPr>
        <xdr:cNvSpPr>
          <a:spLocks noChangeShapeType="1"/>
        </xdr:cNvSpPr>
      </xdr:nvSpPr>
      <xdr:spPr bwMode="auto">
        <a:xfrm flipH="1">
          <a:off x="5572125" y="12391072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753</xdr:row>
      <xdr:rowOff>57150</xdr:rowOff>
    </xdr:from>
    <xdr:to>
      <xdr:col>3</xdr:col>
      <xdr:colOff>504825</xdr:colOff>
      <xdr:row>753</xdr:row>
      <xdr:rowOff>57150</xdr:rowOff>
    </xdr:to>
    <xdr:sp macro="" textlink="">
      <xdr:nvSpPr>
        <xdr:cNvPr id="1032" name="Line 8">
          <a:extLst>
            <a:ext uri="{FF2B5EF4-FFF2-40B4-BE49-F238E27FC236}">
              <a16:creationId xmlns:a16="http://schemas.microsoft.com/office/drawing/2014/main" id="{00000000-0008-0000-0100-000008040000}"/>
            </a:ext>
          </a:extLst>
        </xdr:cNvPr>
        <xdr:cNvSpPr>
          <a:spLocks noChangeShapeType="1"/>
        </xdr:cNvSpPr>
      </xdr:nvSpPr>
      <xdr:spPr bwMode="auto">
        <a:xfrm>
          <a:off x="1209675" y="12415837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xdr:col>
      <xdr:colOff>495300</xdr:colOff>
      <xdr:row>756</xdr:row>
      <xdr:rowOff>76200</xdr:rowOff>
    </xdr:from>
    <xdr:ext cx="266700" cy="276225"/>
    <xdr:sp macro="" textlink="">
      <xdr:nvSpPr>
        <xdr:cNvPr id="1034" name="Text Box 10">
          <a:extLst>
            <a:ext uri="{FF2B5EF4-FFF2-40B4-BE49-F238E27FC236}">
              <a16:creationId xmlns:a16="http://schemas.microsoft.com/office/drawing/2014/main" id="{00000000-0008-0000-0100-00000A040000}"/>
            </a:ext>
          </a:extLst>
        </xdr:cNvPr>
        <xdr:cNvSpPr txBox="1">
          <a:spLocks noChangeArrowheads="1"/>
        </xdr:cNvSpPr>
      </xdr:nvSpPr>
      <xdr:spPr bwMode="auto">
        <a:xfrm>
          <a:off x="1524000" y="124701300"/>
          <a:ext cx="2667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7432" rIns="0" bIns="0" anchor="t" upright="1">
          <a:spAutoFit/>
        </a:bodyPr>
        <a:lstStyle/>
        <a:p>
          <a:pPr algn="l" rtl="0">
            <a:defRPr sz="1000"/>
          </a:pPr>
          <a:r>
            <a:rPr lang="en-US" sz="1200" b="1" i="0" u="none" strike="noStrike" baseline="0">
              <a:solidFill>
                <a:srgbClr val="000000"/>
              </a:solidFill>
              <a:latin typeface="Arial"/>
              <a:cs typeface="Arial"/>
            </a:rPr>
            <a:t>P</a:t>
          </a:r>
          <a:r>
            <a:rPr lang="en-US" sz="1200" b="1" i="0" u="none" strike="noStrike" baseline="-25000">
              <a:solidFill>
                <a:srgbClr val="000000"/>
              </a:solidFill>
              <a:latin typeface="Arial"/>
              <a:cs typeface="Arial"/>
            </a:rPr>
            <a:t>T</a:t>
          </a:r>
        </a:p>
      </xdr:txBody>
    </xdr:sp>
    <xdr:clientData/>
  </xdr:oneCellAnchor>
  <xdr:twoCellAnchor>
    <xdr:from>
      <xdr:col>3</xdr:col>
      <xdr:colOff>647700</xdr:colOff>
      <xdr:row>751</xdr:row>
      <xdr:rowOff>0</xdr:rowOff>
    </xdr:from>
    <xdr:to>
      <xdr:col>9</xdr:col>
      <xdr:colOff>485775</xdr:colOff>
      <xdr:row>751</xdr:row>
      <xdr:rowOff>0</xdr:rowOff>
    </xdr:to>
    <xdr:sp macro="" textlink="">
      <xdr:nvSpPr>
        <xdr:cNvPr id="1037" name="Line 13">
          <a:extLst>
            <a:ext uri="{FF2B5EF4-FFF2-40B4-BE49-F238E27FC236}">
              <a16:creationId xmlns:a16="http://schemas.microsoft.com/office/drawing/2014/main" id="{00000000-0008-0000-0100-00000D040000}"/>
            </a:ext>
          </a:extLst>
        </xdr:cNvPr>
        <xdr:cNvSpPr>
          <a:spLocks noChangeShapeType="1"/>
        </xdr:cNvSpPr>
      </xdr:nvSpPr>
      <xdr:spPr bwMode="auto">
        <a:xfrm>
          <a:off x="1657350" y="123777375"/>
          <a:ext cx="3914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647700</xdr:colOff>
      <xdr:row>750</xdr:row>
      <xdr:rowOff>76200</xdr:rowOff>
    </xdr:from>
    <xdr:to>
      <xdr:col>3</xdr:col>
      <xdr:colOff>647700</xdr:colOff>
      <xdr:row>751</xdr:row>
      <xdr:rowOff>66675</xdr:rowOff>
    </xdr:to>
    <xdr:sp macro="" textlink="">
      <xdr:nvSpPr>
        <xdr:cNvPr id="1038" name="Line 14">
          <a:extLst>
            <a:ext uri="{FF2B5EF4-FFF2-40B4-BE49-F238E27FC236}">
              <a16:creationId xmlns:a16="http://schemas.microsoft.com/office/drawing/2014/main" id="{00000000-0008-0000-0100-00000E040000}"/>
            </a:ext>
          </a:extLst>
        </xdr:cNvPr>
        <xdr:cNvSpPr>
          <a:spLocks noChangeShapeType="1"/>
        </xdr:cNvSpPr>
      </xdr:nvSpPr>
      <xdr:spPr bwMode="auto">
        <a:xfrm>
          <a:off x="1657350" y="1236916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485775</xdr:colOff>
      <xdr:row>750</xdr:row>
      <xdr:rowOff>85725</xdr:rowOff>
    </xdr:from>
    <xdr:to>
      <xdr:col>9</xdr:col>
      <xdr:colOff>485775</xdr:colOff>
      <xdr:row>751</xdr:row>
      <xdr:rowOff>66675</xdr:rowOff>
    </xdr:to>
    <xdr:sp macro="" textlink="">
      <xdr:nvSpPr>
        <xdr:cNvPr id="1042" name="Line 18">
          <a:extLst>
            <a:ext uri="{FF2B5EF4-FFF2-40B4-BE49-F238E27FC236}">
              <a16:creationId xmlns:a16="http://schemas.microsoft.com/office/drawing/2014/main" id="{00000000-0008-0000-0100-000012040000}"/>
            </a:ext>
          </a:extLst>
        </xdr:cNvPr>
        <xdr:cNvSpPr>
          <a:spLocks noChangeShapeType="1"/>
        </xdr:cNvSpPr>
      </xdr:nvSpPr>
      <xdr:spPr bwMode="auto">
        <a:xfrm>
          <a:off x="5572125" y="12370117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533400</xdr:colOff>
      <xdr:row>749</xdr:row>
      <xdr:rowOff>114300</xdr:rowOff>
    </xdr:from>
    <xdr:ext cx="190500" cy="238125"/>
    <xdr:sp macro="" textlink="">
      <xdr:nvSpPr>
        <xdr:cNvPr id="1043" name="Text Box 19">
          <a:extLst>
            <a:ext uri="{FF2B5EF4-FFF2-40B4-BE49-F238E27FC236}">
              <a16:creationId xmlns:a16="http://schemas.microsoft.com/office/drawing/2014/main" id="{00000000-0008-0000-0100-000013040000}"/>
            </a:ext>
          </a:extLst>
        </xdr:cNvPr>
        <xdr:cNvSpPr txBox="1">
          <a:spLocks noChangeArrowheads="1"/>
        </xdr:cNvSpPr>
      </xdr:nvSpPr>
      <xdr:spPr bwMode="auto">
        <a:xfrm>
          <a:off x="3524250" y="123567825"/>
          <a:ext cx="1905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7432" rIns="0" bIns="0" anchor="t" upright="1">
          <a:spAutoFit/>
        </a:bodyPr>
        <a:lstStyle/>
        <a:p>
          <a:pPr algn="l" rtl="0">
            <a:defRPr sz="1000"/>
          </a:pPr>
          <a:r>
            <a:rPr lang="en-US" sz="1200" b="1" i="0" u="none" strike="noStrike" baseline="0">
              <a:solidFill>
                <a:srgbClr val="000000"/>
              </a:solidFill>
              <a:latin typeface="Arial"/>
              <a:cs typeface="Arial"/>
            </a:rPr>
            <a:t>L</a:t>
          </a:r>
        </a:p>
      </xdr:txBody>
    </xdr:sp>
    <xdr:clientData/>
  </xdr:oneCellAnchor>
  <xdr:oneCellAnchor>
    <xdr:from>
      <xdr:col>9</xdr:col>
      <xdr:colOff>533400</xdr:colOff>
      <xdr:row>752</xdr:row>
      <xdr:rowOff>123825</xdr:rowOff>
    </xdr:from>
    <xdr:ext cx="266700" cy="276225"/>
    <xdr:sp macro="" textlink="">
      <xdr:nvSpPr>
        <xdr:cNvPr id="1044" name="Text Box 20">
          <a:extLst>
            <a:ext uri="{FF2B5EF4-FFF2-40B4-BE49-F238E27FC236}">
              <a16:creationId xmlns:a16="http://schemas.microsoft.com/office/drawing/2014/main" id="{00000000-0008-0000-0100-000014040000}"/>
            </a:ext>
          </a:extLst>
        </xdr:cNvPr>
        <xdr:cNvSpPr txBox="1">
          <a:spLocks noChangeArrowheads="1"/>
        </xdr:cNvSpPr>
      </xdr:nvSpPr>
      <xdr:spPr bwMode="auto">
        <a:xfrm>
          <a:off x="5619750" y="124063125"/>
          <a:ext cx="2667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7432" rIns="0" bIns="0" anchor="t" upright="1">
          <a:spAutoFit/>
        </a:bodyPr>
        <a:lstStyle/>
        <a:p>
          <a:pPr algn="l" rtl="0">
            <a:defRPr sz="1000"/>
          </a:pPr>
          <a:r>
            <a:rPr lang="en-US" sz="1200" b="1" i="0" u="none" strike="noStrike" baseline="0">
              <a:solidFill>
                <a:srgbClr val="000000"/>
              </a:solidFill>
              <a:latin typeface="Arial"/>
              <a:cs typeface="Arial"/>
            </a:rPr>
            <a:t>P</a:t>
          </a:r>
          <a:r>
            <a:rPr lang="en-US" sz="1200" b="1" i="0" u="none" strike="noStrike" baseline="-25000">
              <a:solidFill>
                <a:srgbClr val="000000"/>
              </a:solidFill>
              <a:latin typeface="Arial"/>
              <a:cs typeface="Arial"/>
            </a:rPr>
            <a:t>T</a:t>
          </a:r>
        </a:p>
      </xdr:txBody>
    </xdr:sp>
    <xdr:clientData/>
  </xdr:oneCellAnchor>
  <xdr:oneCellAnchor>
    <xdr:from>
      <xdr:col>3</xdr:col>
      <xdr:colOff>152400</xdr:colOff>
      <xdr:row>752</xdr:row>
      <xdr:rowOff>0</xdr:rowOff>
    </xdr:from>
    <xdr:ext cx="190500" cy="238125"/>
    <xdr:sp macro="" textlink="">
      <xdr:nvSpPr>
        <xdr:cNvPr id="1045" name="Text Box 21">
          <a:extLst>
            <a:ext uri="{FF2B5EF4-FFF2-40B4-BE49-F238E27FC236}">
              <a16:creationId xmlns:a16="http://schemas.microsoft.com/office/drawing/2014/main" id="{00000000-0008-0000-0100-000015040000}"/>
            </a:ext>
          </a:extLst>
        </xdr:cNvPr>
        <xdr:cNvSpPr txBox="1">
          <a:spLocks noChangeArrowheads="1"/>
        </xdr:cNvSpPr>
      </xdr:nvSpPr>
      <xdr:spPr bwMode="auto">
        <a:xfrm>
          <a:off x="1181100" y="123939300"/>
          <a:ext cx="1905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7432" rIns="0" bIns="0" anchor="t" upright="1">
          <a:spAutoFit/>
        </a:bodyPr>
        <a:lstStyle/>
        <a:p>
          <a:pPr algn="l" rtl="0">
            <a:defRPr sz="1000"/>
          </a:pPr>
          <a:r>
            <a:rPr lang="en-US" sz="1200" b="1" i="0" u="none" strike="noStrike" baseline="0">
              <a:solidFill>
                <a:srgbClr val="000000"/>
              </a:solidFill>
              <a:latin typeface="Arial"/>
              <a:cs typeface="Arial"/>
            </a:rPr>
            <a:t>F</a:t>
          </a:r>
        </a:p>
      </xdr:txBody>
    </xdr:sp>
    <xdr:clientData/>
  </xdr:oneCellAnchor>
  <xdr:oneCellAnchor>
    <xdr:from>
      <xdr:col>10</xdr:col>
      <xdr:colOff>171450</xdr:colOff>
      <xdr:row>751</xdr:row>
      <xdr:rowOff>66675</xdr:rowOff>
    </xdr:from>
    <xdr:ext cx="276225" cy="276225"/>
    <xdr:sp macro="" textlink="">
      <xdr:nvSpPr>
        <xdr:cNvPr id="1046" name="Text Box 22">
          <a:extLst>
            <a:ext uri="{FF2B5EF4-FFF2-40B4-BE49-F238E27FC236}">
              <a16:creationId xmlns:a16="http://schemas.microsoft.com/office/drawing/2014/main" id="{00000000-0008-0000-0100-000016040000}"/>
            </a:ext>
          </a:extLst>
        </xdr:cNvPr>
        <xdr:cNvSpPr txBox="1">
          <a:spLocks noChangeArrowheads="1"/>
        </xdr:cNvSpPr>
      </xdr:nvSpPr>
      <xdr:spPr bwMode="auto">
        <a:xfrm>
          <a:off x="5905500" y="123844050"/>
          <a:ext cx="2762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7432" rIns="0" bIns="0" anchor="t" upright="1">
          <a:spAutoFit/>
        </a:bodyPr>
        <a:lstStyle/>
        <a:p>
          <a:pPr algn="l" rtl="0">
            <a:defRPr sz="1000"/>
          </a:pPr>
          <a:r>
            <a:rPr lang="en-US" sz="1200" b="1" i="0" u="none" strike="noStrike" baseline="0">
              <a:solidFill>
                <a:srgbClr val="000000"/>
              </a:solidFill>
              <a:latin typeface="Arial"/>
              <a:cs typeface="Arial"/>
            </a:rPr>
            <a:t>H</a:t>
          </a:r>
          <a:r>
            <a:rPr lang="en-US" sz="1200" b="1" i="0" u="none" strike="noStrike" baseline="-25000">
              <a:solidFill>
                <a:srgbClr val="000000"/>
              </a:solidFill>
              <a:latin typeface="Arial"/>
              <a:cs typeface="Arial"/>
            </a:rPr>
            <a:t>P</a:t>
          </a:r>
        </a:p>
      </xdr:txBody>
    </xdr:sp>
    <xdr:clientData/>
  </xdr:oneCellAnchor>
  <xdr:twoCellAnchor>
    <xdr:from>
      <xdr:col>2</xdr:col>
      <xdr:colOff>295275</xdr:colOff>
      <xdr:row>751</xdr:row>
      <xdr:rowOff>104775</xdr:rowOff>
    </xdr:from>
    <xdr:to>
      <xdr:col>2</xdr:col>
      <xdr:colOff>295275</xdr:colOff>
      <xdr:row>754</xdr:row>
      <xdr:rowOff>28575</xdr:rowOff>
    </xdr:to>
    <xdr:sp macro="" textlink="">
      <xdr:nvSpPr>
        <xdr:cNvPr id="1047" name="Line 23">
          <a:extLst>
            <a:ext uri="{FF2B5EF4-FFF2-40B4-BE49-F238E27FC236}">
              <a16:creationId xmlns:a16="http://schemas.microsoft.com/office/drawing/2014/main" id="{00000000-0008-0000-0100-000017040000}"/>
            </a:ext>
          </a:extLst>
        </xdr:cNvPr>
        <xdr:cNvSpPr>
          <a:spLocks noChangeShapeType="1"/>
        </xdr:cNvSpPr>
      </xdr:nvSpPr>
      <xdr:spPr bwMode="auto">
        <a:xfrm>
          <a:off x="942975" y="123882150"/>
          <a:ext cx="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257175</xdr:colOff>
      <xdr:row>751</xdr:row>
      <xdr:rowOff>104775</xdr:rowOff>
    </xdr:from>
    <xdr:to>
      <xdr:col>3</xdr:col>
      <xdr:colOff>447675</xdr:colOff>
      <xdr:row>751</xdr:row>
      <xdr:rowOff>104775</xdr:rowOff>
    </xdr:to>
    <xdr:sp macro="" textlink="">
      <xdr:nvSpPr>
        <xdr:cNvPr id="1048" name="Line 24">
          <a:extLst>
            <a:ext uri="{FF2B5EF4-FFF2-40B4-BE49-F238E27FC236}">
              <a16:creationId xmlns:a16="http://schemas.microsoft.com/office/drawing/2014/main" id="{00000000-0008-0000-0100-000018040000}"/>
            </a:ext>
          </a:extLst>
        </xdr:cNvPr>
        <xdr:cNvSpPr>
          <a:spLocks noChangeShapeType="1"/>
        </xdr:cNvSpPr>
      </xdr:nvSpPr>
      <xdr:spPr bwMode="auto">
        <a:xfrm>
          <a:off x="904875" y="123882150"/>
          <a:ext cx="571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66675</xdr:colOff>
      <xdr:row>752</xdr:row>
      <xdr:rowOff>19050</xdr:rowOff>
    </xdr:from>
    <xdr:ext cx="209550" cy="238125"/>
    <xdr:sp macro="" textlink="">
      <xdr:nvSpPr>
        <xdr:cNvPr id="1049" name="Text Box 25">
          <a:extLst>
            <a:ext uri="{FF2B5EF4-FFF2-40B4-BE49-F238E27FC236}">
              <a16:creationId xmlns:a16="http://schemas.microsoft.com/office/drawing/2014/main" id="{00000000-0008-0000-0100-000019040000}"/>
            </a:ext>
          </a:extLst>
        </xdr:cNvPr>
        <xdr:cNvSpPr txBox="1">
          <a:spLocks noChangeArrowheads="1"/>
        </xdr:cNvSpPr>
      </xdr:nvSpPr>
      <xdr:spPr bwMode="auto">
        <a:xfrm>
          <a:off x="714375" y="123958350"/>
          <a:ext cx="2095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7432" rIns="0" bIns="0" anchor="t" upright="1">
          <a:spAutoFit/>
        </a:bodyPr>
        <a:lstStyle/>
        <a:p>
          <a:pPr algn="l" rtl="0">
            <a:defRPr sz="1000"/>
          </a:pPr>
          <a:r>
            <a:rPr lang="en-US" sz="1200" b="1" i="0" u="none" strike="noStrike" baseline="0">
              <a:solidFill>
                <a:srgbClr val="000000"/>
              </a:solidFill>
              <a:latin typeface="Arial"/>
              <a:cs typeface="Arial"/>
            </a:rPr>
            <a:t>H</a:t>
          </a:r>
        </a:p>
      </xdr:txBody>
    </xdr:sp>
    <xdr:clientData/>
  </xdr:oneCellAnchor>
  <xdr:twoCellAnchor>
    <xdr:from>
      <xdr:col>3</xdr:col>
      <xdr:colOff>400050</xdr:colOff>
      <xdr:row>754</xdr:row>
      <xdr:rowOff>123825</xdr:rowOff>
    </xdr:from>
    <xdr:to>
      <xdr:col>4</xdr:col>
      <xdr:colOff>161925</xdr:colOff>
      <xdr:row>754</xdr:row>
      <xdr:rowOff>123825</xdr:rowOff>
    </xdr:to>
    <xdr:sp macro="" textlink="">
      <xdr:nvSpPr>
        <xdr:cNvPr id="1074" name="Line 50">
          <a:extLst>
            <a:ext uri="{FF2B5EF4-FFF2-40B4-BE49-F238E27FC236}">
              <a16:creationId xmlns:a16="http://schemas.microsoft.com/office/drawing/2014/main" id="{00000000-0008-0000-0100-000032040000}"/>
            </a:ext>
          </a:extLst>
        </xdr:cNvPr>
        <xdr:cNvSpPr>
          <a:spLocks noChangeShapeType="1"/>
        </xdr:cNvSpPr>
      </xdr:nvSpPr>
      <xdr:spPr bwMode="auto">
        <a:xfrm>
          <a:off x="1428750" y="124386975"/>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xdr:col>
      <xdr:colOff>171450</xdr:colOff>
      <xdr:row>754</xdr:row>
      <xdr:rowOff>19050</xdr:rowOff>
    </xdr:from>
    <xdr:ext cx="276225" cy="276225"/>
    <xdr:sp macro="" textlink="">
      <xdr:nvSpPr>
        <xdr:cNvPr id="1075" name="Text Box 51">
          <a:extLst>
            <a:ext uri="{FF2B5EF4-FFF2-40B4-BE49-F238E27FC236}">
              <a16:creationId xmlns:a16="http://schemas.microsoft.com/office/drawing/2014/main" id="{00000000-0008-0000-0100-000033040000}"/>
            </a:ext>
          </a:extLst>
        </xdr:cNvPr>
        <xdr:cNvSpPr txBox="1">
          <a:spLocks noChangeArrowheads="1"/>
        </xdr:cNvSpPr>
      </xdr:nvSpPr>
      <xdr:spPr bwMode="auto">
        <a:xfrm>
          <a:off x="1200150" y="124282200"/>
          <a:ext cx="2762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7432" rIns="0" bIns="0" anchor="t" upright="1">
          <a:spAutoFit/>
        </a:bodyPr>
        <a:lstStyle/>
        <a:p>
          <a:pPr algn="l" rtl="0">
            <a:defRPr sz="1000"/>
          </a:pPr>
          <a:r>
            <a:rPr lang="en-US" sz="1200" b="1" i="0" u="none" strike="noStrike" baseline="0">
              <a:solidFill>
                <a:srgbClr val="000000"/>
              </a:solidFill>
              <a:latin typeface="Arial"/>
              <a:cs typeface="Arial"/>
            </a:rPr>
            <a:t>H</a:t>
          </a:r>
          <a:r>
            <a:rPr lang="en-US" sz="1200" b="1" i="0" u="none" strike="noStrike" baseline="-25000">
              <a:solidFill>
                <a:srgbClr val="000000"/>
              </a:solidFill>
              <a:latin typeface="Arial"/>
              <a:cs typeface="Arial"/>
            </a:rPr>
            <a:t>T</a:t>
          </a:r>
        </a:p>
      </xdr:txBody>
    </xdr:sp>
    <xdr:clientData/>
  </xdr:oneCellAnchor>
  <xdr:twoCellAnchor>
    <xdr:from>
      <xdr:col>3</xdr:col>
      <xdr:colOff>447675</xdr:colOff>
      <xdr:row>754</xdr:row>
      <xdr:rowOff>104775</xdr:rowOff>
    </xdr:from>
    <xdr:to>
      <xdr:col>4</xdr:col>
      <xdr:colOff>66675</xdr:colOff>
      <xdr:row>756</xdr:row>
      <xdr:rowOff>66675</xdr:rowOff>
    </xdr:to>
    <xdr:sp macro="" textlink="">
      <xdr:nvSpPr>
        <xdr:cNvPr id="1076" name="Arc 52">
          <a:extLst>
            <a:ext uri="{FF2B5EF4-FFF2-40B4-BE49-F238E27FC236}">
              <a16:creationId xmlns:a16="http://schemas.microsoft.com/office/drawing/2014/main" id="{00000000-0008-0000-0100-000034040000}"/>
            </a:ext>
          </a:extLst>
        </xdr:cNvPr>
        <xdr:cNvSpPr>
          <a:spLocks/>
        </xdr:cNvSpPr>
      </xdr:nvSpPr>
      <xdr:spPr bwMode="auto">
        <a:xfrm rot="13534099" flipH="1">
          <a:off x="1438275" y="124406025"/>
          <a:ext cx="323850" cy="24765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755</xdr:row>
      <xdr:rowOff>47625</xdr:rowOff>
    </xdr:from>
    <xdr:to>
      <xdr:col>4</xdr:col>
      <xdr:colOff>171450</xdr:colOff>
      <xdr:row>755</xdr:row>
      <xdr:rowOff>133350</xdr:rowOff>
    </xdr:to>
    <xdr:sp macro="" textlink="">
      <xdr:nvSpPr>
        <xdr:cNvPr id="1079" name="Line 55">
          <a:extLst>
            <a:ext uri="{FF2B5EF4-FFF2-40B4-BE49-F238E27FC236}">
              <a16:creationId xmlns:a16="http://schemas.microsoft.com/office/drawing/2014/main" id="{00000000-0008-0000-0100-000037040000}"/>
            </a:ext>
          </a:extLst>
        </xdr:cNvPr>
        <xdr:cNvSpPr>
          <a:spLocks noChangeShapeType="1"/>
        </xdr:cNvSpPr>
      </xdr:nvSpPr>
      <xdr:spPr bwMode="auto">
        <a:xfrm flipV="1">
          <a:off x="1762125" y="124472700"/>
          <a:ext cx="66675"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266700</xdr:colOff>
      <xdr:row>754</xdr:row>
      <xdr:rowOff>19050</xdr:rowOff>
    </xdr:from>
    <xdr:to>
      <xdr:col>3</xdr:col>
      <xdr:colOff>447675</xdr:colOff>
      <xdr:row>754</xdr:row>
      <xdr:rowOff>19050</xdr:rowOff>
    </xdr:to>
    <xdr:sp macro="" textlink="">
      <xdr:nvSpPr>
        <xdr:cNvPr id="1080" name="Line 56">
          <a:extLst>
            <a:ext uri="{FF2B5EF4-FFF2-40B4-BE49-F238E27FC236}">
              <a16:creationId xmlns:a16="http://schemas.microsoft.com/office/drawing/2014/main" id="{00000000-0008-0000-0100-000038040000}"/>
            </a:ext>
          </a:extLst>
        </xdr:cNvPr>
        <xdr:cNvSpPr>
          <a:spLocks noChangeShapeType="1"/>
        </xdr:cNvSpPr>
      </xdr:nvSpPr>
      <xdr:spPr bwMode="auto">
        <a:xfrm flipH="1">
          <a:off x="914400" y="124282200"/>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190500</xdr:colOff>
      <xdr:row>755</xdr:row>
      <xdr:rowOff>38100</xdr:rowOff>
    </xdr:from>
    <xdr:ext cx="285750" cy="276225"/>
    <xdr:sp macro="" textlink="">
      <xdr:nvSpPr>
        <xdr:cNvPr id="1081" name="Text Box 57">
          <a:extLst>
            <a:ext uri="{FF2B5EF4-FFF2-40B4-BE49-F238E27FC236}">
              <a16:creationId xmlns:a16="http://schemas.microsoft.com/office/drawing/2014/main" id="{00000000-0008-0000-0100-000039040000}"/>
            </a:ext>
          </a:extLst>
        </xdr:cNvPr>
        <xdr:cNvSpPr txBox="1">
          <a:spLocks noChangeArrowheads="1"/>
        </xdr:cNvSpPr>
      </xdr:nvSpPr>
      <xdr:spPr bwMode="auto">
        <a:xfrm>
          <a:off x="1847850" y="124463175"/>
          <a:ext cx="28575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7432" rIns="0" bIns="0" anchor="t" upright="1">
          <a:spAutoFit/>
        </a:bodyPr>
        <a:lstStyle/>
        <a:p>
          <a:pPr algn="l" rtl="0">
            <a:defRPr sz="1000"/>
          </a:pPr>
          <a:r>
            <a:rPr lang="en-US" sz="1200" b="1" i="0" u="none" strike="noStrike" baseline="0">
              <a:solidFill>
                <a:srgbClr val="000000"/>
              </a:solidFill>
              <a:latin typeface="Arial"/>
              <a:cs typeface="Arial"/>
            </a:rPr>
            <a:t>M</a:t>
          </a:r>
          <a:r>
            <a:rPr lang="en-US" sz="1200" b="1" i="0" u="none" strike="noStrike" baseline="-25000">
              <a:solidFill>
                <a:srgbClr val="000000"/>
              </a:solidFill>
              <a:latin typeface="Arial"/>
              <a:cs typeface="Arial"/>
            </a:rPr>
            <a:t>T</a:t>
          </a:r>
        </a:p>
      </xdr:txBody>
    </xdr:sp>
    <xdr:clientData/>
  </xdr:oneCellAnchor>
  <xdr:twoCellAnchor>
    <xdr:from>
      <xdr:col>0</xdr:col>
      <xdr:colOff>238125</xdr:colOff>
      <xdr:row>77</xdr:row>
      <xdr:rowOff>0</xdr:rowOff>
    </xdr:from>
    <xdr:to>
      <xdr:col>11</xdr:col>
      <xdr:colOff>657225</xdr:colOff>
      <xdr:row>95</xdr:row>
      <xdr:rowOff>9525</xdr:rowOff>
    </xdr:to>
    <xdr:graphicFrame macro="">
      <xdr:nvGraphicFramePr>
        <xdr:cNvPr id="1117" name="Chart 93">
          <a:extLst>
            <a:ext uri="{FF2B5EF4-FFF2-40B4-BE49-F238E27FC236}">
              <a16:creationId xmlns:a16="http://schemas.microsoft.com/office/drawing/2014/main" id="{00000000-0008-0000-0100-00005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590550</xdr:colOff>
      <xdr:row>147</xdr:row>
      <xdr:rowOff>152400</xdr:rowOff>
    </xdr:from>
    <xdr:to>
      <xdr:col>5</xdr:col>
      <xdr:colOff>0</xdr:colOff>
      <xdr:row>147</xdr:row>
      <xdr:rowOff>152400</xdr:rowOff>
    </xdr:to>
    <xdr:sp macro="" textlink="">
      <xdr:nvSpPr>
        <xdr:cNvPr id="1135" name="Line 111">
          <a:extLst>
            <a:ext uri="{FF2B5EF4-FFF2-40B4-BE49-F238E27FC236}">
              <a16:creationId xmlns:a16="http://schemas.microsoft.com/office/drawing/2014/main" id="{00000000-0008-0000-0100-00006F040000}"/>
            </a:ext>
          </a:extLst>
        </xdr:cNvPr>
        <xdr:cNvSpPr>
          <a:spLocks noChangeShapeType="1"/>
        </xdr:cNvSpPr>
      </xdr:nvSpPr>
      <xdr:spPr bwMode="auto">
        <a:xfrm>
          <a:off x="1619250" y="24412575"/>
          <a:ext cx="657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147</xdr:row>
      <xdr:rowOff>152400</xdr:rowOff>
    </xdr:from>
    <xdr:to>
      <xdr:col>6</xdr:col>
      <xdr:colOff>47625</xdr:colOff>
      <xdr:row>147</xdr:row>
      <xdr:rowOff>152400</xdr:rowOff>
    </xdr:to>
    <xdr:sp macro="" textlink="">
      <xdr:nvSpPr>
        <xdr:cNvPr id="1136" name="Line 112">
          <a:extLst>
            <a:ext uri="{FF2B5EF4-FFF2-40B4-BE49-F238E27FC236}">
              <a16:creationId xmlns:a16="http://schemas.microsoft.com/office/drawing/2014/main" id="{00000000-0008-0000-0100-000070040000}"/>
            </a:ext>
          </a:extLst>
        </xdr:cNvPr>
        <xdr:cNvSpPr>
          <a:spLocks noChangeShapeType="1"/>
        </xdr:cNvSpPr>
      </xdr:nvSpPr>
      <xdr:spPr bwMode="auto">
        <a:xfrm>
          <a:off x="2276475" y="2441257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47625</xdr:colOff>
      <xdr:row>147</xdr:row>
      <xdr:rowOff>152400</xdr:rowOff>
    </xdr:from>
    <xdr:to>
      <xdr:col>6</xdr:col>
      <xdr:colOff>781050</xdr:colOff>
      <xdr:row>147</xdr:row>
      <xdr:rowOff>152400</xdr:rowOff>
    </xdr:to>
    <xdr:sp macro="" textlink="">
      <xdr:nvSpPr>
        <xdr:cNvPr id="1137" name="Line 113">
          <a:extLst>
            <a:ext uri="{FF2B5EF4-FFF2-40B4-BE49-F238E27FC236}">
              <a16:creationId xmlns:a16="http://schemas.microsoft.com/office/drawing/2014/main" id="{00000000-0008-0000-0100-000071040000}"/>
            </a:ext>
          </a:extLst>
        </xdr:cNvPr>
        <xdr:cNvSpPr>
          <a:spLocks noChangeShapeType="1"/>
        </xdr:cNvSpPr>
      </xdr:nvSpPr>
      <xdr:spPr bwMode="auto">
        <a:xfrm>
          <a:off x="3038475" y="24412575"/>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781050</xdr:colOff>
      <xdr:row>147</xdr:row>
      <xdr:rowOff>152400</xdr:rowOff>
    </xdr:from>
    <xdr:to>
      <xdr:col>7</xdr:col>
      <xdr:colOff>600075</xdr:colOff>
      <xdr:row>147</xdr:row>
      <xdr:rowOff>152400</xdr:rowOff>
    </xdr:to>
    <xdr:sp macro="" textlink="">
      <xdr:nvSpPr>
        <xdr:cNvPr id="1138" name="Line 114">
          <a:extLst>
            <a:ext uri="{FF2B5EF4-FFF2-40B4-BE49-F238E27FC236}">
              <a16:creationId xmlns:a16="http://schemas.microsoft.com/office/drawing/2014/main" id="{00000000-0008-0000-0100-000072040000}"/>
            </a:ext>
          </a:extLst>
        </xdr:cNvPr>
        <xdr:cNvSpPr>
          <a:spLocks noChangeShapeType="1"/>
        </xdr:cNvSpPr>
      </xdr:nvSpPr>
      <xdr:spPr bwMode="auto">
        <a:xfrm>
          <a:off x="3771900" y="24412575"/>
          <a:ext cx="695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257175</xdr:colOff>
      <xdr:row>147</xdr:row>
      <xdr:rowOff>152400</xdr:rowOff>
    </xdr:from>
    <xdr:to>
      <xdr:col>3</xdr:col>
      <xdr:colOff>581025</xdr:colOff>
      <xdr:row>147</xdr:row>
      <xdr:rowOff>152400</xdr:rowOff>
    </xdr:to>
    <xdr:sp macro="" textlink="">
      <xdr:nvSpPr>
        <xdr:cNvPr id="1140" name="Line 116">
          <a:extLst>
            <a:ext uri="{FF2B5EF4-FFF2-40B4-BE49-F238E27FC236}">
              <a16:creationId xmlns:a16="http://schemas.microsoft.com/office/drawing/2014/main" id="{00000000-0008-0000-0100-000074040000}"/>
            </a:ext>
          </a:extLst>
        </xdr:cNvPr>
        <xdr:cNvSpPr>
          <a:spLocks noChangeShapeType="1"/>
        </xdr:cNvSpPr>
      </xdr:nvSpPr>
      <xdr:spPr bwMode="auto">
        <a:xfrm>
          <a:off x="1285875" y="2441257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600075</xdr:colOff>
      <xdr:row>147</xdr:row>
      <xdr:rowOff>152400</xdr:rowOff>
    </xdr:from>
    <xdr:to>
      <xdr:col>8</xdr:col>
      <xdr:colOff>133350</xdr:colOff>
      <xdr:row>147</xdr:row>
      <xdr:rowOff>152400</xdr:rowOff>
    </xdr:to>
    <xdr:sp macro="" textlink="">
      <xdr:nvSpPr>
        <xdr:cNvPr id="1141" name="Line 117">
          <a:extLst>
            <a:ext uri="{FF2B5EF4-FFF2-40B4-BE49-F238E27FC236}">
              <a16:creationId xmlns:a16="http://schemas.microsoft.com/office/drawing/2014/main" id="{00000000-0008-0000-0100-000075040000}"/>
            </a:ext>
          </a:extLst>
        </xdr:cNvPr>
        <xdr:cNvSpPr>
          <a:spLocks noChangeShapeType="1"/>
        </xdr:cNvSpPr>
      </xdr:nvSpPr>
      <xdr:spPr bwMode="auto">
        <a:xfrm flipH="1">
          <a:off x="4467225" y="24412575"/>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xdr:col>
      <xdr:colOff>152400</xdr:colOff>
      <xdr:row>146</xdr:row>
      <xdr:rowOff>114300</xdr:rowOff>
    </xdr:from>
    <xdr:ext cx="142875" cy="200025"/>
    <xdr:sp macro="" textlink="">
      <xdr:nvSpPr>
        <xdr:cNvPr id="1142" name="Text Box 118">
          <a:extLst>
            <a:ext uri="{FF2B5EF4-FFF2-40B4-BE49-F238E27FC236}">
              <a16:creationId xmlns:a16="http://schemas.microsoft.com/office/drawing/2014/main" id="{00000000-0008-0000-0100-000076040000}"/>
            </a:ext>
          </a:extLst>
        </xdr:cNvPr>
        <xdr:cNvSpPr txBox="1">
          <a:spLocks noChangeArrowheads="1"/>
        </xdr:cNvSpPr>
      </xdr:nvSpPr>
      <xdr:spPr bwMode="auto">
        <a:xfrm>
          <a:off x="1809750" y="24212550"/>
          <a:ext cx="1428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L</a:t>
          </a:r>
        </a:p>
      </xdr:txBody>
    </xdr:sp>
    <xdr:clientData/>
  </xdr:oneCellAnchor>
  <xdr:oneCellAnchor>
    <xdr:from>
      <xdr:col>5</xdr:col>
      <xdr:colOff>295275</xdr:colOff>
      <xdr:row>146</xdr:row>
      <xdr:rowOff>114300</xdr:rowOff>
    </xdr:from>
    <xdr:ext cx="142875" cy="200025"/>
    <xdr:sp macro="" textlink="">
      <xdr:nvSpPr>
        <xdr:cNvPr id="1143" name="Text Box 119">
          <a:extLst>
            <a:ext uri="{FF2B5EF4-FFF2-40B4-BE49-F238E27FC236}">
              <a16:creationId xmlns:a16="http://schemas.microsoft.com/office/drawing/2014/main" id="{00000000-0008-0000-0100-000077040000}"/>
            </a:ext>
          </a:extLst>
        </xdr:cNvPr>
        <xdr:cNvSpPr txBox="1">
          <a:spLocks noChangeArrowheads="1"/>
        </xdr:cNvSpPr>
      </xdr:nvSpPr>
      <xdr:spPr bwMode="auto">
        <a:xfrm>
          <a:off x="2571750" y="24212550"/>
          <a:ext cx="1428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L</a:t>
          </a:r>
        </a:p>
      </xdr:txBody>
    </xdr:sp>
    <xdr:clientData/>
  </xdr:oneCellAnchor>
  <xdr:oneCellAnchor>
    <xdr:from>
      <xdr:col>6</xdr:col>
      <xdr:colOff>342900</xdr:colOff>
      <xdr:row>146</xdr:row>
      <xdr:rowOff>114300</xdr:rowOff>
    </xdr:from>
    <xdr:ext cx="142875" cy="200025"/>
    <xdr:sp macro="" textlink="">
      <xdr:nvSpPr>
        <xdr:cNvPr id="1144" name="Text Box 120">
          <a:extLst>
            <a:ext uri="{FF2B5EF4-FFF2-40B4-BE49-F238E27FC236}">
              <a16:creationId xmlns:a16="http://schemas.microsoft.com/office/drawing/2014/main" id="{00000000-0008-0000-0100-000078040000}"/>
            </a:ext>
          </a:extLst>
        </xdr:cNvPr>
        <xdr:cNvSpPr txBox="1">
          <a:spLocks noChangeArrowheads="1"/>
        </xdr:cNvSpPr>
      </xdr:nvSpPr>
      <xdr:spPr bwMode="auto">
        <a:xfrm>
          <a:off x="3333750" y="24212550"/>
          <a:ext cx="1428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L</a:t>
          </a:r>
        </a:p>
      </xdr:txBody>
    </xdr:sp>
    <xdr:clientData/>
  </xdr:oneCellAnchor>
  <xdr:oneCellAnchor>
    <xdr:from>
      <xdr:col>7</xdr:col>
      <xdr:colOff>152400</xdr:colOff>
      <xdr:row>146</xdr:row>
      <xdr:rowOff>114300</xdr:rowOff>
    </xdr:from>
    <xdr:ext cx="142875" cy="200025"/>
    <xdr:sp macro="" textlink="">
      <xdr:nvSpPr>
        <xdr:cNvPr id="1145" name="Text Box 121">
          <a:extLst>
            <a:ext uri="{FF2B5EF4-FFF2-40B4-BE49-F238E27FC236}">
              <a16:creationId xmlns:a16="http://schemas.microsoft.com/office/drawing/2014/main" id="{00000000-0008-0000-0100-000079040000}"/>
            </a:ext>
          </a:extLst>
        </xdr:cNvPr>
        <xdr:cNvSpPr txBox="1">
          <a:spLocks noChangeArrowheads="1"/>
        </xdr:cNvSpPr>
      </xdr:nvSpPr>
      <xdr:spPr bwMode="auto">
        <a:xfrm>
          <a:off x="4019550" y="24212550"/>
          <a:ext cx="1428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L</a:t>
          </a:r>
        </a:p>
      </xdr:txBody>
    </xdr:sp>
    <xdr:clientData/>
  </xdr:oneCellAnchor>
  <xdr:twoCellAnchor>
    <xdr:from>
      <xdr:col>3</xdr:col>
      <xdr:colOff>581025</xdr:colOff>
      <xdr:row>147</xdr:row>
      <xdr:rowOff>85725</xdr:rowOff>
    </xdr:from>
    <xdr:to>
      <xdr:col>3</xdr:col>
      <xdr:colOff>581025</xdr:colOff>
      <xdr:row>148</xdr:row>
      <xdr:rowOff>123825</xdr:rowOff>
    </xdr:to>
    <xdr:sp macro="" textlink="">
      <xdr:nvSpPr>
        <xdr:cNvPr id="1146" name="Line 122">
          <a:extLst>
            <a:ext uri="{FF2B5EF4-FFF2-40B4-BE49-F238E27FC236}">
              <a16:creationId xmlns:a16="http://schemas.microsoft.com/office/drawing/2014/main" id="{00000000-0008-0000-0100-00007A040000}"/>
            </a:ext>
          </a:extLst>
        </xdr:cNvPr>
        <xdr:cNvSpPr>
          <a:spLocks noChangeShapeType="1"/>
        </xdr:cNvSpPr>
      </xdr:nvSpPr>
      <xdr:spPr bwMode="auto">
        <a:xfrm>
          <a:off x="1609725" y="243459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600075</xdr:colOff>
      <xdr:row>147</xdr:row>
      <xdr:rowOff>95250</xdr:rowOff>
    </xdr:from>
    <xdr:to>
      <xdr:col>4</xdr:col>
      <xdr:colOff>600075</xdr:colOff>
      <xdr:row>148</xdr:row>
      <xdr:rowOff>133350</xdr:rowOff>
    </xdr:to>
    <xdr:sp macro="" textlink="">
      <xdr:nvSpPr>
        <xdr:cNvPr id="1147" name="Line 123">
          <a:extLst>
            <a:ext uri="{FF2B5EF4-FFF2-40B4-BE49-F238E27FC236}">
              <a16:creationId xmlns:a16="http://schemas.microsoft.com/office/drawing/2014/main" id="{00000000-0008-0000-0100-00007B040000}"/>
            </a:ext>
          </a:extLst>
        </xdr:cNvPr>
        <xdr:cNvSpPr>
          <a:spLocks noChangeShapeType="1"/>
        </xdr:cNvSpPr>
      </xdr:nvSpPr>
      <xdr:spPr bwMode="auto">
        <a:xfrm>
          <a:off x="2257425" y="243554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781050</xdr:colOff>
      <xdr:row>147</xdr:row>
      <xdr:rowOff>95250</xdr:rowOff>
    </xdr:from>
    <xdr:to>
      <xdr:col>6</xdr:col>
      <xdr:colOff>781050</xdr:colOff>
      <xdr:row>148</xdr:row>
      <xdr:rowOff>133350</xdr:rowOff>
    </xdr:to>
    <xdr:sp macro="" textlink="">
      <xdr:nvSpPr>
        <xdr:cNvPr id="1149" name="Line 125">
          <a:extLst>
            <a:ext uri="{FF2B5EF4-FFF2-40B4-BE49-F238E27FC236}">
              <a16:creationId xmlns:a16="http://schemas.microsoft.com/office/drawing/2014/main" id="{00000000-0008-0000-0100-00007D040000}"/>
            </a:ext>
          </a:extLst>
        </xdr:cNvPr>
        <xdr:cNvSpPr>
          <a:spLocks noChangeShapeType="1"/>
        </xdr:cNvSpPr>
      </xdr:nvSpPr>
      <xdr:spPr bwMode="auto">
        <a:xfrm>
          <a:off x="3771900" y="243554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600075</xdr:colOff>
      <xdr:row>147</xdr:row>
      <xdr:rowOff>95250</xdr:rowOff>
    </xdr:from>
    <xdr:to>
      <xdr:col>7</xdr:col>
      <xdr:colOff>600075</xdr:colOff>
      <xdr:row>148</xdr:row>
      <xdr:rowOff>133350</xdr:rowOff>
    </xdr:to>
    <xdr:sp macro="" textlink="">
      <xdr:nvSpPr>
        <xdr:cNvPr id="1150" name="Line 126">
          <a:extLst>
            <a:ext uri="{FF2B5EF4-FFF2-40B4-BE49-F238E27FC236}">
              <a16:creationId xmlns:a16="http://schemas.microsoft.com/office/drawing/2014/main" id="{00000000-0008-0000-0100-00007E040000}"/>
            </a:ext>
          </a:extLst>
        </xdr:cNvPr>
        <xdr:cNvSpPr>
          <a:spLocks noChangeShapeType="1"/>
        </xdr:cNvSpPr>
      </xdr:nvSpPr>
      <xdr:spPr bwMode="auto">
        <a:xfrm>
          <a:off x="4467225" y="243554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145</xdr:row>
      <xdr:rowOff>38100</xdr:rowOff>
    </xdr:from>
    <xdr:to>
      <xdr:col>6</xdr:col>
      <xdr:colOff>47625</xdr:colOff>
      <xdr:row>153</xdr:row>
      <xdr:rowOff>28575</xdr:rowOff>
    </xdr:to>
    <xdr:sp macro="" textlink="">
      <xdr:nvSpPr>
        <xdr:cNvPr id="1151" name="Line 127">
          <a:extLst>
            <a:ext uri="{FF2B5EF4-FFF2-40B4-BE49-F238E27FC236}">
              <a16:creationId xmlns:a16="http://schemas.microsoft.com/office/drawing/2014/main" id="{00000000-0008-0000-0100-00007F040000}"/>
            </a:ext>
          </a:extLst>
        </xdr:cNvPr>
        <xdr:cNvSpPr>
          <a:spLocks noChangeShapeType="1"/>
        </xdr:cNvSpPr>
      </xdr:nvSpPr>
      <xdr:spPr bwMode="auto">
        <a:xfrm>
          <a:off x="3038475" y="23974425"/>
          <a:ext cx="0" cy="12858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600075</xdr:colOff>
      <xdr:row>144</xdr:row>
      <xdr:rowOff>28575</xdr:rowOff>
    </xdr:from>
    <xdr:to>
      <xdr:col>6</xdr:col>
      <xdr:colOff>171450</xdr:colOff>
      <xdr:row>145</xdr:row>
      <xdr:rowOff>66675</xdr:rowOff>
    </xdr:to>
    <xdr:sp macro="" textlink="">
      <xdr:nvSpPr>
        <xdr:cNvPr id="1152" name="Text Box 128">
          <a:extLst>
            <a:ext uri="{FF2B5EF4-FFF2-40B4-BE49-F238E27FC236}">
              <a16:creationId xmlns:a16="http://schemas.microsoft.com/office/drawing/2014/main" id="{00000000-0008-0000-0100-000080040000}"/>
            </a:ext>
          </a:extLst>
        </xdr:cNvPr>
        <xdr:cNvSpPr txBox="1">
          <a:spLocks noChangeArrowheads="1"/>
        </xdr:cNvSpPr>
      </xdr:nvSpPr>
      <xdr:spPr bwMode="auto">
        <a:xfrm>
          <a:off x="2876550" y="23802975"/>
          <a:ext cx="2857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c.g.</a:t>
          </a:r>
        </a:p>
      </xdr:txBody>
    </xdr:sp>
    <xdr:clientData/>
  </xdr:twoCellAnchor>
  <xdr:twoCellAnchor>
    <xdr:from>
      <xdr:col>3</xdr:col>
      <xdr:colOff>200025</xdr:colOff>
      <xdr:row>147</xdr:row>
      <xdr:rowOff>47625</xdr:rowOff>
    </xdr:from>
    <xdr:to>
      <xdr:col>3</xdr:col>
      <xdr:colOff>266700</xdr:colOff>
      <xdr:row>148</xdr:row>
      <xdr:rowOff>114300</xdr:rowOff>
    </xdr:to>
    <xdr:sp macro="" textlink="">
      <xdr:nvSpPr>
        <xdr:cNvPr id="1153" name="Freeform 129">
          <a:extLst>
            <a:ext uri="{FF2B5EF4-FFF2-40B4-BE49-F238E27FC236}">
              <a16:creationId xmlns:a16="http://schemas.microsoft.com/office/drawing/2014/main" id="{00000000-0008-0000-0100-000081040000}"/>
            </a:ext>
          </a:extLst>
        </xdr:cNvPr>
        <xdr:cNvSpPr>
          <a:spLocks/>
        </xdr:cNvSpPr>
      </xdr:nvSpPr>
      <xdr:spPr bwMode="auto">
        <a:xfrm>
          <a:off x="1228725" y="24307800"/>
          <a:ext cx="66675" cy="228600"/>
        </a:xfrm>
        <a:custGeom>
          <a:avLst/>
          <a:gdLst>
            <a:gd name="T0" fmla="*/ 6 w 7"/>
            <a:gd name="T1" fmla="*/ 0 h 24"/>
            <a:gd name="T2" fmla="*/ 0 w 7"/>
            <a:gd name="T3" fmla="*/ 8 h 24"/>
            <a:gd name="T4" fmla="*/ 7 w 7"/>
            <a:gd name="T5" fmla="*/ 15 h 24"/>
            <a:gd name="T6" fmla="*/ 0 w 7"/>
            <a:gd name="T7" fmla="*/ 24 h 24"/>
          </a:gdLst>
          <a:ahLst/>
          <a:cxnLst>
            <a:cxn ang="0">
              <a:pos x="T0" y="T1"/>
            </a:cxn>
            <a:cxn ang="0">
              <a:pos x="T2" y="T3"/>
            </a:cxn>
            <a:cxn ang="0">
              <a:pos x="T4" y="T5"/>
            </a:cxn>
            <a:cxn ang="0">
              <a:pos x="T6" y="T7"/>
            </a:cxn>
          </a:cxnLst>
          <a:rect l="0" t="0" r="r" b="b"/>
          <a:pathLst>
            <a:path w="7" h="24">
              <a:moveTo>
                <a:pt x="6" y="0"/>
              </a:moveTo>
              <a:cubicBezTo>
                <a:pt x="3" y="3"/>
                <a:pt x="0" y="6"/>
                <a:pt x="0" y="8"/>
              </a:cubicBezTo>
              <a:cubicBezTo>
                <a:pt x="0" y="10"/>
                <a:pt x="7" y="12"/>
                <a:pt x="7" y="15"/>
              </a:cubicBezTo>
              <a:cubicBezTo>
                <a:pt x="7" y="18"/>
                <a:pt x="1" y="23"/>
                <a:pt x="0" y="24"/>
              </a:cubicBezTo>
            </a:path>
          </a:pathLst>
        </a:custGeom>
        <a:noFill/>
        <a:ln w="9525" cap="flat">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123825</xdr:colOff>
      <xdr:row>147</xdr:row>
      <xdr:rowOff>57150</xdr:rowOff>
    </xdr:from>
    <xdr:to>
      <xdr:col>8</xdr:col>
      <xdr:colOff>190500</xdr:colOff>
      <xdr:row>148</xdr:row>
      <xdr:rowOff>123825</xdr:rowOff>
    </xdr:to>
    <xdr:sp macro="" textlink="">
      <xdr:nvSpPr>
        <xdr:cNvPr id="1154" name="Freeform 130">
          <a:extLst>
            <a:ext uri="{FF2B5EF4-FFF2-40B4-BE49-F238E27FC236}">
              <a16:creationId xmlns:a16="http://schemas.microsoft.com/office/drawing/2014/main" id="{00000000-0008-0000-0100-000082040000}"/>
            </a:ext>
          </a:extLst>
        </xdr:cNvPr>
        <xdr:cNvSpPr>
          <a:spLocks/>
        </xdr:cNvSpPr>
      </xdr:nvSpPr>
      <xdr:spPr bwMode="auto">
        <a:xfrm>
          <a:off x="4600575" y="24317325"/>
          <a:ext cx="66675" cy="228600"/>
        </a:xfrm>
        <a:custGeom>
          <a:avLst/>
          <a:gdLst>
            <a:gd name="T0" fmla="*/ 6 w 7"/>
            <a:gd name="T1" fmla="*/ 0 h 24"/>
            <a:gd name="T2" fmla="*/ 0 w 7"/>
            <a:gd name="T3" fmla="*/ 8 h 24"/>
            <a:gd name="T4" fmla="*/ 7 w 7"/>
            <a:gd name="T5" fmla="*/ 15 h 24"/>
            <a:gd name="T6" fmla="*/ 0 w 7"/>
            <a:gd name="T7" fmla="*/ 24 h 24"/>
          </a:gdLst>
          <a:ahLst/>
          <a:cxnLst>
            <a:cxn ang="0">
              <a:pos x="T0" y="T1"/>
            </a:cxn>
            <a:cxn ang="0">
              <a:pos x="T2" y="T3"/>
            </a:cxn>
            <a:cxn ang="0">
              <a:pos x="T4" y="T5"/>
            </a:cxn>
            <a:cxn ang="0">
              <a:pos x="T6" y="T7"/>
            </a:cxn>
          </a:cxnLst>
          <a:rect l="0" t="0" r="r" b="b"/>
          <a:pathLst>
            <a:path w="7" h="24">
              <a:moveTo>
                <a:pt x="6" y="0"/>
              </a:moveTo>
              <a:cubicBezTo>
                <a:pt x="3" y="3"/>
                <a:pt x="0" y="6"/>
                <a:pt x="0" y="8"/>
              </a:cubicBezTo>
              <a:cubicBezTo>
                <a:pt x="0" y="10"/>
                <a:pt x="7" y="12"/>
                <a:pt x="7" y="15"/>
              </a:cubicBezTo>
              <a:cubicBezTo>
                <a:pt x="7" y="18"/>
                <a:pt x="1" y="23"/>
                <a:pt x="0" y="24"/>
              </a:cubicBezTo>
            </a:path>
          </a:pathLst>
        </a:custGeom>
        <a:noFill/>
        <a:ln w="9525" cap="flat">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47625</xdr:colOff>
      <xdr:row>152</xdr:row>
      <xdr:rowOff>104775</xdr:rowOff>
    </xdr:from>
    <xdr:to>
      <xdr:col>6</xdr:col>
      <xdr:colOff>523875</xdr:colOff>
      <xdr:row>152</xdr:row>
      <xdr:rowOff>104775</xdr:rowOff>
    </xdr:to>
    <xdr:sp macro="" textlink="">
      <xdr:nvSpPr>
        <xdr:cNvPr id="1155" name="Line 131">
          <a:extLst>
            <a:ext uri="{FF2B5EF4-FFF2-40B4-BE49-F238E27FC236}">
              <a16:creationId xmlns:a16="http://schemas.microsoft.com/office/drawing/2014/main" id="{00000000-0008-0000-0100-000083040000}"/>
            </a:ext>
          </a:extLst>
        </xdr:cNvPr>
        <xdr:cNvSpPr>
          <a:spLocks noChangeShapeType="1"/>
        </xdr:cNvSpPr>
      </xdr:nvSpPr>
      <xdr:spPr bwMode="auto">
        <a:xfrm>
          <a:off x="3038475" y="25174575"/>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523875</xdr:colOff>
      <xdr:row>152</xdr:row>
      <xdr:rowOff>47625</xdr:rowOff>
    </xdr:from>
    <xdr:to>
      <xdr:col>6</xdr:col>
      <xdr:colOff>523875</xdr:colOff>
      <xdr:row>152</xdr:row>
      <xdr:rowOff>152400</xdr:rowOff>
    </xdr:to>
    <xdr:sp macro="" textlink="">
      <xdr:nvSpPr>
        <xdr:cNvPr id="1156" name="Line 132">
          <a:extLst>
            <a:ext uri="{FF2B5EF4-FFF2-40B4-BE49-F238E27FC236}">
              <a16:creationId xmlns:a16="http://schemas.microsoft.com/office/drawing/2014/main" id="{00000000-0008-0000-0100-000084040000}"/>
            </a:ext>
          </a:extLst>
        </xdr:cNvPr>
        <xdr:cNvSpPr>
          <a:spLocks noChangeShapeType="1"/>
        </xdr:cNvSpPr>
      </xdr:nvSpPr>
      <xdr:spPr bwMode="auto">
        <a:xfrm>
          <a:off x="3514725" y="25117425"/>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142875</xdr:colOff>
      <xdr:row>152</xdr:row>
      <xdr:rowOff>104775</xdr:rowOff>
    </xdr:from>
    <xdr:to>
      <xdr:col>6</xdr:col>
      <xdr:colOff>304800</xdr:colOff>
      <xdr:row>154</xdr:row>
      <xdr:rowOff>19050</xdr:rowOff>
    </xdr:to>
    <xdr:sp macro="" textlink="">
      <xdr:nvSpPr>
        <xdr:cNvPr id="1157" name="Text Box 133">
          <a:extLst>
            <a:ext uri="{FF2B5EF4-FFF2-40B4-BE49-F238E27FC236}">
              <a16:creationId xmlns:a16="http://schemas.microsoft.com/office/drawing/2014/main" id="{00000000-0008-0000-0100-000085040000}"/>
            </a:ext>
          </a:extLst>
        </xdr:cNvPr>
        <xdr:cNvSpPr txBox="1">
          <a:spLocks noChangeArrowheads="1"/>
        </xdr:cNvSpPr>
      </xdr:nvSpPr>
      <xdr:spPr bwMode="auto">
        <a:xfrm>
          <a:off x="3133725" y="25174575"/>
          <a:ext cx="1619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d</a:t>
          </a:r>
          <a:r>
            <a:rPr lang="en-US" sz="1000" b="0" i="0" u="none" strike="noStrike" baseline="-25000">
              <a:solidFill>
                <a:srgbClr val="000000"/>
              </a:solidFill>
              <a:latin typeface="Arial"/>
              <a:cs typeface="Arial"/>
            </a:rPr>
            <a:t>i</a:t>
          </a:r>
        </a:p>
      </xdr:txBody>
    </xdr:sp>
    <xdr:clientData/>
  </xdr:twoCellAnchor>
  <xdr:twoCellAnchor>
    <xdr:from>
      <xdr:col>3</xdr:col>
      <xdr:colOff>447675</xdr:colOff>
      <xdr:row>198</xdr:row>
      <xdr:rowOff>47625</xdr:rowOff>
    </xdr:from>
    <xdr:to>
      <xdr:col>7</xdr:col>
      <xdr:colOff>704850</xdr:colOff>
      <xdr:row>201</xdr:row>
      <xdr:rowOff>9525</xdr:rowOff>
    </xdr:to>
    <xdr:sp macro="" textlink="">
      <xdr:nvSpPr>
        <xdr:cNvPr id="1179" name="Freeform 155">
          <a:extLst>
            <a:ext uri="{FF2B5EF4-FFF2-40B4-BE49-F238E27FC236}">
              <a16:creationId xmlns:a16="http://schemas.microsoft.com/office/drawing/2014/main" id="{00000000-0008-0000-0100-00009B040000}"/>
            </a:ext>
          </a:extLst>
        </xdr:cNvPr>
        <xdr:cNvSpPr>
          <a:spLocks/>
        </xdr:cNvSpPr>
      </xdr:nvSpPr>
      <xdr:spPr bwMode="auto">
        <a:xfrm>
          <a:off x="1476375" y="32794575"/>
          <a:ext cx="3000375" cy="447675"/>
        </a:xfrm>
        <a:custGeom>
          <a:avLst/>
          <a:gdLst>
            <a:gd name="T0" fmla="*/ 0 w 334"/>
            <a:gd name="T1" fmla="*/ 47 h 47"/>
            <a:gd name="T2" fmla="*/ 334 w 334"/>
            <a:gd name="T3" fmla="*/ 47 h 47"/>
            <a:gd name="T4" fmla="*/ 334 w 334"/>
            <a:gd name="T5" fmla="*/ 12 h 47"/>
            <a:gd name="T6" fmla="*/ 167 w 334"/>
            <a:gd name="T7" fmla="*/ 0 h 47"/>
            <a:gd name="T8" fmla="*/ 0 w 334"/>
            <a:gd name="T9" fmla="*/ 26 h 47"/>
            <a:gd name="T10" fmla="*/ 0 w 334"/>
            <a:gd name="T11" fmla="*/ 47 h 47"/>
          </a:gdLst>
          <a:ahLst/>
          <a:cxnLst>
            <a:cxn ang="0">
              <a:pos x="T0" y="T1"/>
            </a:cxn>
            <a:cxn ang="0">
              <a:pos x="T2" y="T3"/>
            </a:cxn>
            <a:cxn ang="0">
              <a:pos x="T4" y="T5"/>
            </a:cxn>
            <a:cxn ang="0">
              <a:pos x="T6" y="T7"/>
            </a:cxn>
            <a:cxn ang="0">
              <a:pos x="T8" y="T9"/>
            </a:cxn>
            <a:cxn ang="0">
              <a:pos x="T10" y="T11"/>
            </a:cxn>
          </a:cxnLst>
          <a:rect l="0" t="0" r="r" b="b"/>
          <a:pathLst>
            <a:path w="334" h="47">
              <a:moveTo>
                <a:pt x="0" y="47"/>
              </a:moveTo>
              <a:lnTo>
                <a:pt x="334" y="47"/>
              </a:lnTo>
              <a:lnTo>
                <a:pt x="334" y="12"/>
              </a:lnTo>
              <a:lnTo>
                <a:pt x="167" y="0"/>
              </a:lnTo>
              <a:lnTo>
                <a:pt x="0" y="26"/>
              </a:lnTo>
              <a:lnTo>
                <a:pt x="0" y="47"/>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95250</xdr:colOff>
      <xdr:row>199</xdr:row>
      <xdr:rowOff>0</xdr:rowOff>
    </xdr:from>
    <xdr:to>
      <xdr:col>8</xdr:col>
      <xdr:colOff>95250</xdr:colOff>
      <xdr:row>201</xdr:row>
      <xdr:rowOff>9525</xdr:rowOff>
    </xdr:to>
    <xdr:sp macro="" textlink="">
      <xdr:nvSpPr>
        <xdr:cNvPr id="1180" name="Line 156">
          <a:extLst>
            <a:ext uri="{FF2B5EF4-FFF2-40B4-BE49-F238E27FC236}">
              <a16:creationId xmlns:a16="http://schemas.microsoft.com/office/drawing/2014/main" id="{00000000-0008-0000-0100-00009C040000}"/>
            </a:ext>
          </a:extLst>
        </xdr:cNvPr>
        <xdr:cNvSpPr>
          <a:spLocks noChangeShapeType="1"/>
        </xdr:cNvSpPr>
      </xdr:nvSpPr>
      <xdr:spPr bwMode="auto">
        <a:xfrm>
          <a:off x="4572000" y="32908875"/>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38100</xdr:colOff>
      <xdr:row>198</xdr:row>
      <xdr:rowOff>47625</xdr:rowOff>
    </xdr:from>
    <xdr:to>
      <xdr:col>6</xdr:col>
      <xdr:colOff>38100</xdr:colOff>
      <xdr:row>201</xdr:row>
      <xdr:rowOff>9525</xdr:rowOff>
    </xdr:to>
    <xdr:sp macro="" textlink="">
      <xdr:nvSpPr>
        <xdr:cNvPr id="1181" name="Line 157">
          <a:extLst>
            <a:ext uri="{FF2B5EF4-FFF2-40B4-BE49-F238E27FC236}">
              <a16:creationId xmlns:a16="http://schemas.microsoft.com/office/drawing/2014/main" id="{00000000-0008-0000-0100-00009D040000}"/>
            </a:ext>
          </a:extLst>
        </xdr:cNvPr>
        <xdr:cNvSpPr>
          <a:spLocks noChangeShapeType="1"/>
        </xdr:cNvSpPr>
      </xdr:nvSpPr>
      <xdr:spPr bwMode="auto">
        <a:xfrm>
          <a:off x="3028950" y="327945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333375</xdr:colOff>
      <xdr:row>199</xdr:row>
      <xdr:rowOff>123825</xdr:rowOff>
    </xdr:from>
    <xdr:to>
      <xdr:col>3</xdr:col>
      <xdr:colOff>333375</xdr:colOff>
      <xdr:row>201</xdr:row>
      <xdr:rowOff>9525</xdr:rowOff>
    </xdr:to>
    <xdr:sp macro="" textlink="">
      <xdr:nvSpPr>
        <xdr:cNvPr id="1182" name="Line 158">
          <a:extLst>
            <a:ext uri="{FF2B5EF4-FFF2-40B4-BE49-F238E27FC236}">
              <a16:creationId xmlns:a16="http://schemas.microsoft.com/office/drawing/2014/main" id="{00000000-0008-0000-0100-00009E040000}"/>
            </a:ext>
          </a:extLst>
        </xdr:cNvPr>
        <xdr:cNvSpPr>
          <a:spLocks noChangeShapeType="1"/>
        </xdr:cNvSpPr>
      </xdr:nvSpPr>
      <xdr:spPr bwMode="auto">
        <a:xfrm>
          <a:off x="1362075" y="3303270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oneCellAnchor>
    <xdr:from>
      <xdr:col>3</xdr:col>
      <xdr:colOff>19050</xdr:colOff>
      <xdr:row>199</xdr:row>
      <xdr:rowOff>114300</xdr:rowOff>
    </xdr:from>
    <xdr:ext cx="285750" cy="238125"/>
    <xdr:sp macro="" textlink="">
      <xdr:nvSpPr>
        <xdr:cNvPr id="1183" name="Text Box 159">
          <a:extLst>
            <a:ext uri="{FF2B5EF4-FFF2-40B4-BE49-F238E27FC236}">
              <a16:creationId xmlns:a16="http://schemas.microsoft.com/office/drawing/2014/main" id="{00000000-0008-0000-0100-00009F040000}"/>
            </a:ext>
          </a:extLst>
        </xdr:cNvPr>
        <xdr:cNvSpPr txBox="1">
          <a:spLocks noChangeArrowheads="1"/>
        </xdr:cNvSpPr>
      </xdr:nvSpPr>
      <xdr:spPr bwMode="auto">
        <a:xfrm>
          <a:off x="1047750" y="33023175"/>
          <a:ext cx="2857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d</a:t>
          </a:r>
          <a:r>
            <a:rPr lang="en-US" sz="1000" b="0" i="0" u="none" strike="noStrike" baseline="-25000">
              <a:solidFill>
                <a:srgbClr val="000000"/>
              </a:solidFill>
              <a:latin typeface="Arial"/>
              <a:cs typeface="Arial"/>
            </a:rPr>
            <a:t>pc1</a:t>
          </a:r>
        </a:p>
      </xdr:txBody>
    </xdr:sp>
    <xdr:clientData/>
  </xdr:oneCellAnchor>
  <xdr:oneCellAnchor>
    <xdr:from>
      <xdr:col>8</xdr:col>
      <xdr:colOff>171450</xdr:colOff>
      <xdr:row>199</xdr:row>
      <xdr:rowOff>57150</xdr:rowOff>
    </xdr:from>
    <xdr:ext cx="285750" cy="238125"/>
    <xdr:sp macro="" textlink="">
      <xdr:nvSpPr>
        <xdr:cNvPr id="1184" name="Text Box 160">
          <a:extLst>
            <a:ext uri="{FF2B5EF4-FFF2-40B4-BE49-F238E27FC236}">
              <a16:creationId xmlns:a16="http://schemas.microsoft.com/office/drawing/2014/main" id="{00000000-0008-0000-0100-0000A0040000}"/>
            </a:ext>
          </a:extLst>
        </xdr:cNvPr>
        <xdr:cNvSpPr txBox="1">
          <a:spLocks noChangeArrowheads="1"/>
        </xdr:cNvSpPr>
      </xdr:nvSpPr>
      <xdr:spPr bwMode="auto">
        <a:xfrm>
          <a:off x="4648200" y="32966025"/>
          <a:ext cx="2857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d</a:t>
          </a:r>
          <a:r>
            <a:rPr lang="en-US" sz="1000" b="0" i="0" u="none" strike="noStrike" baseline="-25000">
              <a:solidFill>
                <a:srgbClr val="000000"/>
              </a:solidFill>
              <a:latin typeface="Arial"/>
              <a:cs typeface="Arial"/>
            </a:rPr>
            <a:t>pc2</a:t>
          </a:r>
        </a:p>
      </xdr:txBody>
    </xdr:sp>
    <xdr:clientData/>
  </xdr:oneCellAnchor>
  <xdr:oneCellAnchor>
    <xdr:from>
      <xdr:col>6</xdr:col>
      <xdr:colOff>114300</xdr:colOff>
      <xdr:row>199</xdr:row>
      <xdr:rowOff>0</xdr:rowOff>
    </xdr:from>
    <xdr:ext cx="333375" cy="238125"/>
    <xdr:sp macro="" textlink="">
      <xdr:nvSpPr>
        <xdr:cNvPr id="1185" name="Text Box 161">
          <a:extLst>
            <a:ext uri="{FF2B5EF4-FFF2-40B4-BE49-F238E27FC236}">
              <a16:creationId xmlns:a16="http://schemas.microsoft.com/office/drawing/2014/main" id="{00000000-0008-0000-0100-0000A1040000}"/>
            </a:ext>
          </a:extLst>
        </xdr:cNvPr>
        <xdr:cNvSpPr txBox="1">
          <a:spLocks noChangeArrowheads="1"/>
        </xdr:cNvSpPr>
      </xdr:nvSpPr>
      <xdr:spPr bwMode="auto">
        <a:xfrm>
          <a:off x="3105150" y="32908875"/>
          <a:ext cx="3333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d</a:t>
          </a:r>
          <a:r>
            <a:rPr lang="en-US" sz="1000" b="0" i="0" u="none" strike="noStrike" baseline="-25000">
              <a:solidFill>
                <a:srgbClr val="000000"/>
              </a:solidFill>
              <a:latin typeface="Arial"/>
              <a:cs typeface="Arial"/>
            </a:rPr>
            <a:t>pc,cl</a:t>
          </a:r>
        </a:p>
      </xdr:txBody>
    </xdr:sp>
    <xdr:clientData/>
  </xdr:oneCellAnchor>
  <xdr:twoCellAnchor>
    <xdr:from>
      <xdr:col>2</xdr:col>
      <xdr:colOff>76200</xdr:colOff>
      <xdr:row>220</xdr:row>
      <xdr:rowOff>28575</xdr:rowOff>
    </xdr:from>
    <xdr:to>
      <xdr:col>4</xdr:col>
      <xdr:colOff>114300</xdr:colOff>
      <xdr:row>225</xdr:row>
      <xdr:rowOff>47625</xdr:rowOff>
    </xdr:to>
    <xdr:sp macro="" textlink="">
      <xdr:nvSpPr>
        <xdr:cNvPr id="1186" name="Rectangle 162">
          <a:extLst>
            <a:ext uri="{FF2B5EF4-FFF2-40B4-BE49-F238E27FC236}">
              <a16:creationId xmlns:a16="http://schemas.microsoft.com/office/drawing/2014/main" id="{00000000-0008-0000-0100-0000A2040000}"/>
            </a:ext>
          </a:extLst>
        </xdr:cNvPr>
        <xdr:cNvSpPr>
          <a:spLocks noChangeArrowheads="1"/>
        </xdr:cNvSpPr>
      </xdr:nvSpPr>
      <xdr:spPr bwMode="auto">
        <a:xfrm>
          <a:off x="723900" y="36337875"/>
          <a:ext cx="1047750" cy="828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114300</xdr:colOff>
      <xdr:row>220</xdr:row>
      <xdr:rowOff>28575</xdr:rowOff>
    </xdr:from>
    <xdr:to>
      <xdr:col>4</xdr:col>
      <xdr:colOff>257175</xdr:colOff>
      <xdr:row>220</xdr:row>
      <xdr:rowOff>28575</xdr:rowOff>
    </xdr:to>
    <xdr:sp macro="" textlink="">
      <xdr:nvSpPr>
        <xdr:cNvPr id="1187" name="Line 163">
          <a:extLst>
            <a:ext uri="{FF2B5EF4-FFF2-40B4-BE49-F238E27FC236}">
              <a16:creationId xmlns:a16="http://schemas.microsoft.com/office/drawing/2014/main" id="{00000000-0008-0000-0100-0000A3040000}"/>
            </a:ext>
          </a:extLst>
        </xdr:cNvPr>
        <xdr:cNvSpPr>
          <a:spLocks noChangeShapeType="1"/>
        </xdr:cNvSpPr>
      </xdr:nvSpPr>
      <xdr:spPr bwMode="auto">
        <a:xfrm>
          <a:off x="1771650" y="36337875"/>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114300</xdr:colOff>
      <xdr:row>225</xdr:row>
      <xdr:rowOff>47625</xdr:rowOff>
    </xdr:from>
    <xdr:to>
      <xdr:col>4</xdr:col>
      <xdr:colOff>257175</xdr:colOff>
      <xdr:row>225</xdr:row>
      <xdr:rowOff>47625</xdr:rowOff>
    </xdr:to>
    <xdr:sp macro="" textlink="">
      <xdr:nvSpPr>
        <xdr:cNvPr id="1188" name="Line 164">
          <a:extLst>
            <a:ext uri="{FF2B5EF4-FFF2-40B4-BE49-F238E27FC236}">
              <a16:creationId xmlns:a16="http://schemas.microsoft.com/office/drawing/2014/main" id="{00000000-0008-0000-0100-0000A4040000}"/>
            </a:ext>
          </a:extLst>
        </xdr:cNvPr>
        <xdr:cNvSpPr>
          <a:spLocks noChangeShapeType="1"/>
        </xdr:cNvSpPr>
      </xdr:nvSpPr>
      <xdr:spPr bwMode="auto">
        <a:xfrm>
          <a:off x="1771650" y="371665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238125</xdr:colOff>
      <xdr:row>219</xdr:row>
      <xdr:rowOff>123825</xdr:rowOff>
    </xdr:from>
    <xdr:to>
      <xdr:col>4</xdr:col>
      <xdr:colOff>323850</xdr:colOff>
      <xdr:row>225</xdr:row>
      <xdr:rowOff>133350</xdr:rowOff>
    </xdr:to>
    <xdr:sp macro="" textlink="">
      <xdr:nvSpPr>
        <xdr:cNvPr id="1189" name="Freeform 165">
          <a:extLst>
            <a:ext uri="{FF2B5EF4-FFF2-40B4-BE49-F238E27FC236}">
              <a16:creationId xmlns:a16="http://schemas.microsoft.com/office/drawing/2014/main" id="{00000000-0008-0000-0100-0000A5040000}"/>
            </a:ext>
          </a:extLst>
        </xdr:cNvPr>
        <xdr:cNvSpPr>
          <a:spLocks/>
        </xdr:cNvSpPr>
      </xdr:nvSpPr>
      <xdr:spPr bwMode="auto">
        <a:xfrm>
          <a:off x="1895475" y="36271200"/>
          <a:ext cx="85725" cy="981075"/>
        </a:xfrm>
        <a:custGeom>
          <a:avLst/>
          <a:gdLst>
            <a:gd name="T0" fmla="*/ 7 w 9"/>
            <a:gd name="T1" fmla="*/ 0 h 103"/>
            <a:gd name="T2" fmla="*/ 2 w 9"/>
            <a:gd name="T3" fmla="*/ 8 h 103"/>
            <a:gd name="T4" fmla="*/ 8 w 9"/>
            <a:gd name="T5" fmla="*/ 21 h 103"/>
            <a:gd name="T6" fmla="*/ 2 w 9"/>
            <a:gd name="T7" fmla="*/ 32 h 103"/>
            <a:gd name="T8" fmla="*/ 8 w 9"/>
            <a:gd name="T9" fmla="*/ 48 h 103"/>
            <a:gd name="T10" fmla="*/ 3 w 9"/>
            <a:gd name="T11" fmla="*/ 60 h 103"/>
            <a:gd name="T12" fmla="*/ 9 w 9"/>
            <a:gd name="T13" fmla="*/ 74 h 103"/>
            <a:gd name="T14" fmla="*/ 0 w 9"/>
            <a:gd name="T15" fmla="*/ 88 h 103"/>
            <a:gd name="T16" fmla="*/ 7 w 9"/>
            <a:gd name="T17" fmla="*/ 103 h 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9" h="103">
              <a:moveTo>
                <a:pt x="7" y="0"/>
              </a:moveTo>
              <a:cubicBezTo>
                <a:pt x="4" y="2"/>
                <a:pt x="2" y="5"/>
                <a:pt x="2" y="8"/>
              </a:cubicBezTo>
              <a:cubicBezTo>
                <a:pt x="2" y="11"/>
                <a:pt x="8" y="17"/>
                <a:pt x="8" y="21"/>
              </a:cubicBezTo>
              <a:cubicBezTo>
                <a:pt x="8" y="25"/>
                <a:pt x="2" y="28"/>
                <a:pt x="2" y="32"/>
              </a:cubicBezTo>
              <a:cubicBezTo>
                <a:pt x="2" y="36"/>
                <a:pt x="8" y="43"/>
                <a:pt x="8" y="48"/>
              </a:cubicBezTo>
              <a:cubicBezTo>
                <a:pt x="8" y="53"/>
                <a:pt x="3" y="56"/>
                <a:pt x="3" y="60"/>
              </a:cubicBezTo>
              <a:cubicBezTo>
                <a:pt x="3" y="64"/>
                <a:pt x="9" y="69"/>
                <a:pt x="9" y="74"/>
              </a:cubicBezTo>
              <a:cubicBezTo>
                <a:pt x="9" y="79"/>
                <a:pt x="0" y="83"/>
                <a:pt x="0" y="88"/>
              </a:cubicBezTo>
              <a:cubicBezTo>
                <a:pt x="0" y="93"/>
                <a:pt x="6" y="101"/>
                <a:pt x="7" y="103"/>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390525</xdr:colOff>
      <xdr:row>220</xdr:row>
      <xdr:rowOff>28575</xdr:rowOff>
    </xdr:from>
    <xdr:to>
      <xdr:col>9</xdr:col>
      <xdr:colOff>9525</xdr:colOff>
      <xdr:row>225</xdr:row>
      <xdr:rowOff>47625</xdr:rowOff>
    </xdr:to>
    <xdr:sp macro="" textlink="">
      <xdr:nvSpPr>
        <xdr:cNvPr id="1192" name="Freeform 168">
          <a:extLst>
            <a:ext uri="{FF2B5EF4-FFF2-40B4-BE49-F238E27FC236}">
              <a16:creationId xmlns:a16="http://schemas.microsoft.com/office/drawing/2014/main" id="{00000000-0008-0000-0100-0000A8040000}"/>
            </a:ext>
          </a:extLst>
        </xdr:cNvPr>
        <xdr:cNvSpPr>
          <a:spLocks/>
        </xdr:cNvSpPr>
      </xdr:nvSpPr>
      <xdr:spPr bwMode="auto">
        <a:xfrm>
          <a:off x="3381375" y="36337875"/>
          <a:ext cx="1714500" cy="828675"/>
        </a:xfrm>
        <a:custGeom>
          <a:avLst/>
          <a:gdLst>
            <a:gd name="T0" fmla="*/ 91 w 184"/>
            <a:gd name="T1" fmla="*/ 0 h 87"/>
            <a:gd name="T2" fmla="*/ 184 w 184"/>
            <a:gd name="T3" fmla="*/ 0 h 87"/>
            <a:gd name="T4" fmla="*/ 184 w 184"/>
            <a:gd name="T5" fmla="*/ 87 h 87"/>
            <a:gd name="T6" fmla="*/ 171 w 184"/>
            <a:gd name="T7" fmla="*/ 87 h 87"/>
            <a:gd name="T8" fmla="*/ 0 w 184"/>
            <a:gd name="T9" fmla="*/ 23 h 87"/>
            <a:gd name="T10" fmla="*/ 0 w 184"/>
            <a:gd name="T11" fmla="*/ 0 h 87"/>
            <a:gd name="T12" fmla="*/ 91 w 184"/>
            <a:gd name="T13" fmla="*/ 0 h 87"/>
          </a:gdLst>
          <a:ahLst/>
          <a:cxnLst>
            <a:cxn ang="0">
              <a:pos x="T0" y="T1"/>
            </a:cxn>
            <a:cxn ang="0">
              <a:pos x="T2" y="T3"/>
            </a:cxn>
            <a:cxn ang="0">
              <a:pos x="T4" y="T5"/>
            </a:cxn>
            <a:cxn ang="0">
              <a:pos x="T6" y="T7"/>
            </a:cxn>
            <a:cxn ang="0">
              <a:pos x="T8" y="T9"/>
            </a:cxn>
            <a:cxn ang="0">
              <a:pos x="T10" y="T11"/>
            </a:cxn>
            <a:cxn ang="0">
              <a:pos x="T12" y="T13"/>
            </a:cxn>
          </a:cxnLst>
          <a:rect l="0" t="0" r="r" b="b"/>
          <a:pathLst>
            <a:path w="184" h="87">
              <a:moveTo>
                <a:pt x="91" y="0"/>
              </a:moveTo>
              <a:lnTo>
                <a:pt x="184" y="0"/>
              </a:lnTo>
              <a:lnTo>
                <a:pt x="184" y="87"/>
              </a:lnTo>
              <a:lnTo>
                <a:pt x="171" y="87"/>
              </a:lnTo>
              <a:lnTo>
                <a:pt x="0" y="23"/>
              </a:lnTo>
              <a:lnTo>
                <a:pt x="0" y="0"/>
              </a:lnTo>
              <a:lnTo>
                <a:pt x="91"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9525</xdr:colOff>
      <xdr:row>220</xdr:row>
      <xdr:rowOff>28575</xdr:rowOff>
    </xdr:from>
    <xdr:to>
      <xdr:col>9</xdr:col>
      <xdr:colOff>219075</xdr:colOff>
      <xdr:row>220</xdr:row>
      <xdr:rowOff>28575</xdr:rowOff>
    </xdr:to>
    <xdr:sp macro="" textlink="">
      <xdr:nvSpPr>
        <xdr:cNvPr id="1193" name="Line 169">
          <a:extLst>
            <a:ext uri="{FF2B5EF4-FFF2-40B4-BE49-F238E27FC236}">
              <a16:creationId xmlns:a16="http://schemas.microsoft.com/office/drawing/2014/main" id="{00000000-0008-0000-0100-0000A9040000}"/>
            </a:ext>
          </a:extLst>
        </xdr:cNvPr>
        <xdr:cNvSpPr>
          <a:spLocks noChangeShapeType="1"/>
        </xdr:cNvSpPr>
      </xdr:nvSpPr>
      <xdr:spPr bwMode="auto">
        <a:xfrm>
          <a:off x="5095875" y="36337875"/>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225</xdr:row>
      <xdr:rowOff>47625</xdr:rowOff>
    </xdr:from>
    <xdr:to>
      <xdr:col>9</xdr:col>
      <xdr:colOff>219075</xdr:colOff>
      <xdr:row>225</xdr:row>
      <xdr:rowOff>47625</xdr:rowOff>
    </xdr:to>
    <xdr:sp macro="" textlink="">
      <xdr:nvSpPr>
        <xdr:cNvPr id="1194" name="Line 170">
          <a:extLst>
            <a:ext uri="{FF2B5EF4-FFF2-40B4-BE49-F238E27FC236}">
              <a16:creationId xmlns:a16="http://schemas.microsoft.com/office/drawing/2014/main" id="{00000000-0008-0000-0100-0000AA040000}"/>
            </a:ext>
          </a:extLst>
        </xdr:cNvPr>
        <xdr:cNvSpPr>
          <a:spLocks noChangeShapeType="1"/>
        </xdr:cNvSpPr>
      </xdr:nvSpPr>
      <xdr:spPr bwMode="auto">
        <a:xfrm>
          <a:off x="5095875" y="37166550"/>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200025</xdr:colOff>
      <xdr:row>219</xdr:row>
      <xdr:rowOff>123825</xdr:rowOff>
    </xdr:from>
    <xdr:to>
      <xdr:col>9</xdr:col>
      <xdr:colOff>285750</xdr:colOff>
      <xdr:row>225</xdr:row>
      <xdr:rowOff>133350</xdr:rowOff>
    </xdr:to>
    <xdr:sp macro="" textlink="">
      <xdr:nvSpPr>
        <xdr:cNvPr id="1195" name="Freeform 171">
          <a:extLst>
            <a:ext uri="{FF2B5EF4-FFF2-40B4-BE49-F238E27FC236}">
              <a16:creationId xmlns:a16="http://schemas.microsoft.com/office/drawing/2014/main" id="{00000000-0008-0000-0100-0000AB040000}"/>
            </a:ext>
          </a:extLst>
        </xdr:cNvPr>
        <xdr:cNvSpPr>
          <a:spLocks/>
        </xdr:cNvSpPr>
      </xdr:nvSpPr>
      <xdr:spPr bwMode="auto">
        <a:xfrm>
          <a:off x="5286375" y="36271200"/>
          <a:ext cx="85725" cy="981075"/>
        </a:xfrm>
        <a:custGeom>
          <a:avLst/>
          <a:gdLst>
            <a:gd name="T0" fmla="*/ 7 w 9"/>
            <a:gd name="T1" fmla="*/ 0 h 103"/>
            <a:gd name="T2" fmla="*/ 2 w 9"/>
            <a:gd name="T3" fmla="*/ 8 h 103"/>
            <a:gd name="T4" fmla="*/ 8 w 9"/>
            <a:gd name="T5" fmla="*/ 21 h 103"/>
            <a:gd name="T6" fmla="*/ 2 w 9"/>
            <a:gd name="T7" fmla="*/ 32 h 103"/>
            <a:gd name="T8" fmla="*/ 8 w 9"/>
            <a:gd name="T9" fmla="*/ 48 h 103"/>
            <a:gd name="T10" fmla="*/ 3 w 9"/>
            <a:gd name="T11" fmla="*/ 60 h 103"/>
            <a:gd name="T12" fmla="*/ 9 w 9"/>
            <a:gd name="T13" fmla="*/ 74 h 103"/>
            <a:gd name="T14" fmla="*/ 0 w 9"/>
            <a:gd name="T15" fmla="*/ 88 h 103"/>
            <a:gd name="T16" fmla="*/ 7 w 9"/>
            <a:gd name="T17" fmla="*/ 103 h 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9" h="103">
              <a:moveTo>
                <a:pt x="7" y="0"/>
              </a:moveTo>
              <a:cubicBezTo>
                <a:pt x="4" y="2"/>
                <a:pt x="2" y="5"/>
                <a:pt x="2" y="8"/>
              </a:cubicBezTo>
              <a:cubicBezTo>
                <a:pt x="2" y="11"/>
                <a:pt x="8" y="17"/>
                <a:pt x="8" y="21"/>
              </a:cubicBezTo>
              <a:cubicBezTo>
                <a:pt x="8" y="25"/>
                <a:pt x="2" y="28"/>
                <a:pt x="2" y="32"/>
              </a:cubicBezTo>
              <a:cubicBezTo>
                <a:pt x="2" y="36"/>
                <a:pt x="8" y="43"/>
                <a:pt x="8" y="48"/>
              </a:cubicBezTo>
              <a:cubicBezTo>
                <a:pt x="8" y="53"/>
                <a:pt x="3" y="56"/>
                <a:pt x="3" y="60"/>
              </a:cubicBezTo>
              <a:cubicBezTo>
                <a:pt x="3" y="64"/>
                <a:pt x="9" y="69"/>
                <a:pt x="9" y="74"/>
              </a:cubicBezTo>
              <a:cubicBezTo>
                <a:pt x="9" y="79"/>
                <a:pt x="0" y="83"/>
                <a:pt x="0" y="88"/>
              </a:cubicBezTo>
              <a:cubicBezTo>
                <a:pt x="0" y="93"/>
                <a:pt x="6" y="101"/>
                <a:pt x="7" y="103"/>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2</xdr:col>
      <xdr:colOff>76200</xdr:colOff>
      <xdr:row>226</xdr:row>
      <xdr:rowOff>66675</xdr:rowOff>
    </xdr:from>
    <xdr:ext cx="1229952" cy="170560"/>
    <xdr:sp macro="" textlink="">
      <xdr:nvSpPr>
        <xdr:cNvPr id="1197" name="Text Box 173">
          <a:extLst>
            <a:ext uri="{FF2B5EF4-FFF2-40B4-BE49-F238E27FC236}">
              <a16:creationId xmlns:a16="http://schemas.microsoft.com/office/drawing/2014/main" id="{00000000-0008-0000-0100-0000AD040000}"/>
            </a:ext>
          </a:extLst>
        </xdr:cNvPr>
        <xdr:cNvSpPr txBox="1">
          <a:spLocks noChangeArrowheads="1"/>
        </xdr:cNvSpPr>
      </xdr:nvSpPr>
      <xdr:spPr bwMode="auto">
        <a:xfrm>
          <a:off x="723900" y="37347525"/>
          <a:ext cx="1229952" cy="170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Rectangular wingwall</a:t>
          </a:r>
        </a:p>
      </xdr:txBody>
    </xdr:sp>
    <xdr:clientData/>
  </xdr:oneCellAnchor>
  <xdr:oneCellAnchor>
    <xdr:from>
      <xdr:col>7</xdr:col>
      <xdr:colOff>0</xdr:colOff>
      <xdr:row>226</xdr:row>
      <xdr:rowOff>76200</xdr:rowOff>
    </xdr:from>
    <xdr:ext cx="1016176" cy="170560"/>
    <xdr:sp macro="" textlink="">
      <xdr:nvSpPr>
        <xdr:cNvPr id="1198" name="Text Box 174">
          <a:extLst>
            <a:ext uri="{FF2B5EF4-FFF2-40B4-BE49-F238E27FC236}">
              <a16:creationId xmlns:a16="http://schemas.microsoft.com/office/drawing/2014/main" id="{00000000-0008-0000-0100-0000AE040000}"/>
            </a:ext>
          </a:extLst>
        </xdr:cNvPr>
        <xdr:cNvSpPr txBox="1">
          <a:spLocks noChangeArrowheads="1"/>
        </xdr:cNvSpPr>
      </xdr:nvSpPr>
      <xdr:spPr bwMode="auto">
        <a:xfrm>
          <a:off x="3867150" y="37357050"/>
          <a:ext cx="1016176" cy="170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Tapered wingwall</a:t>
          </a:r>
        </a:p>
      </xdr:txBody>
    </xdr:sp>
    <xdr:clientData/>
  </xdr:oneCellAnchor>
  <xdr:twoCellAnchor>
    <xdr:from>
      <xdr:col>2</xdr:col>
      <xdr:colOff>76200</xdr:colOff>
      <xdr:row>222</xdr:row>
      <xdr:rowOff>133350</xdr:rowOff>
    </xdr:from>
    <xdr:to>
      <xdr:col>4</xdr:col>
      <xdr:colOff>114300</xdr:colOff>
      <xdr:row>222</xdr:row>
      <xdr:rowOff>133350</xdr:rowOff>
    </xdr:to>
    <xdr:sp macro="" textlink="">
      <xdr:nvSpPr>
        <xdr:cNvPr id="1202" name="Line 178">
          <a:extLst>
            <a:ext uri="{FF2B5EF4-FFF2-40B4-BE49-F238E27FC236}">
              <a16:creationId xmlns:a16="http://schemas.microsoft.com/office/drawing/2014/main" id="{00000000-0008-0000-0100-0000B2040000}"/>
            </a:ext>
          </a:extLst>
        </xdr:cNvPr>
        <xdr:cNvSpPr>
          <a:spLocks noChangeShapeType="1"/>
        </xdr:cNvSpPr>
      </xdr:nvSpPr>
      <xdr:spPr bwMode="auto">
        <a:xfrm>
          <a:off x="723900" y="36766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115614</xdr:colOff>
      <xdr:row>221</xdr:row>
      <xdr:rowOff>107731</xdr:rowOff>
    </xdr:from>
    <xdr:ext cx="896006" cy="170560"/>
    <xdr:sp macro="" textlink="">
      <xdr:nvSpPr>
        <xdr:cNvPr id="1204" name="Text Box 180">
          <a:extLst>
            <a:ext uri="{FF2B5EF4-FFF2-40B4-BE49-F238E27FC236}">
              <a16:creationId xmlns:a16="http://schemas.microsoft.com/office/drawing/2014/main" id="{00000000-0008-0000-0100-0000B4040000}"/>
            </a:ext>
          </a:extLst>
        </xdr:cNvPr>
        <xdr:cNvSpPr txBox="1">
          <a:spLocks noChangeArrowheads="1"/>
        </xdr:cNvSpPr>
      </xdr:nvSpPr>
      <xdr:spPr bwMode="auto">
        <a:xfrm>
          <a:off x="765942" y="36966197"/>
          <a:ext cx="896006" cy="170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22860" rIns="0" bIns="0" anchor="t" upright="1">
          <a:spAutoFit/>
        </a:bodyPr>
        <a:lstStyle/>
        <a:p>
          <a:pPr algn="l" rtl="0">
            <a:defRPr sz="1000"/>
          </a:pPr>
          <a:r>
            <a:rPr lang="en-US" sz="1000" b="0" i="0" u="none" strike="noStrike" baseline="0">
              <a:solidFill>
                <a:srgbClr val="000000"/>
              </a:solidFill>
              <a:latin typeface="Arial"/>
              <a:cs typeface="Arial"/>
            </a:rPr>
            <a:t>    up to 15' - 6"</a:t>
          </a:r>
        </a:p>
      </xdr:txBody>
    </xdr:sp>
    <xdr:clientData/>
  </xdr:oneCellAnchor>
  <xdr:twoCellAnchor>
    <xdr:from>
      <xdr:col>6</xdr:col>
      <xdr:colOff>390525</xdr:colOff>
      <xdr:row>220</xdr:row>
      <xdr:rowOff>133350</xdr:rowOff>
    </xdr:from>
    <xdr:to>
      <xdr:col>9</xdr:col>
      <xdr:colOff>9525</xdr:colOff>
      <xdr:row>220</xdr:row>
      <xdr:rowOff>133350</xdr:rowOff>
    </xdr:to>
    <xdr:sp macro="" textlink="">
      <xdr:nvSpPr>
        <xdr:cNvPr id="1205" name="Line 181">
          <a:extLst>
            <a:ext uri="{FF2B5EF4-FFF2-40B4-BE49-F238E27FC236}">
              <a16:creationId xmlns:a16="http://schemas.microsoft.com/office/drawing/2014/main" id="{00000000-0008-0000-0100-0000B5040000}"/>
            </a:ext>
          </a:extLst>
        </xdr:cNvPr>
        <xdr:cNvSpPr>
          <a:spLocks noChangeShapeType="1"/>
        </xdr:cNvSpPr>
      </xdr:nvSpPr>
      <xdr:spPr bwMode="auto">
        <a:xfrm>
          <a:off x="3381375" y="36442650"/>
          <a:ext cx="1714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oneCellAnchor>
    <xdr:from>
      <xdr:col>7</xdr:col>
      <xdr:colOff>0</xdr:colOff>
      <xdr:row>221</xdr:row>
      <xdr:rowOff>0</xdr:rowOff>
    </xdr:from>
    <xdr:ext cx="771525" cy="200025"/>
    <xdr:sp macro="" textlink="">
      <xdr:nvSpPr>
        <xdr:cNvPr id="1206" name="Text Box 182">
          <a:extLst>
            <a:ext uri="{FF2B5EF4-FFF2-40B4-BE49-F238E27FC236}">
              <a16:creationId xmlns:a16="http://schemas.microsoft.com/office/drawing/2014/main" id="{00000000-0008-0000-0100-0000B6040000}"/>
            </a:ext>
          </a:extLst>
        </xdr:cNvPr>
        <xdr:cNvSpPr txBox="1">
          <a:spLocks noChangeArrowheads="1"/>
        </xdr:cNvSpPr>
      </xdr:nvSpPr>
      <xdr:spPr bwMode="auto">
        <a:xfrm>
          <a:off x="3867150" y="36471225"/>
          <a:ext cx="7715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up to 16' - 7"</a:t>
          </a:r>
        </a:p>
      </xdr:txBody>
    </xdr:sp>
    <xdr:clientData/>
  </xdr:oneCellAnchor>
  <xdr:twoCellAnchor>
    <xdr:from>
      <xdr:col>7</xdr:col>
      <xdr:colOff>600075</xdr:colOff>
      <xdr:row>229</xdr:row>
      <xdr:rowOff>123825</xdr:rowOff>
    </xdr:from>
    <xdr:to>
      <xdr:col>9</xdr:col>
      <xdr:colOff>9525</xdr:colOff>
      <xdr:row>233</xdr:row>
      <xdr:rowOff>95250</xdr:rowOff>
    </xdr:to>
    <xdr:sp macro="" textlink="">
      <xdr:nvSpPr>
        <xdr:cNvPr id="1211" name="Freeform 187">
          <a:extLst>
            <a:ext uri="{FF2B5EF4-FFF2-40B4-BE49-F238E27FC236}">
              <a16:creationId xmlns:a16="http://schemas.microsoft.com/office/drawing/2014/main" id="{00000000-0008-0000-0100-0000BB040000}"/>
            </a:ext>
          </a:extLst>
        </xdr:cNvPr>
        <xdr:cNvSpPr>
          <a:spLocks/>
        </xdr:cNvSpPr>
      </xdr:nvSpPr>
      <xdr:spPr bwMode="auto">
        <a:xfrm>
          <a:off x="4467225" y="37890450"/>
          <a:ext cx="628650" cy="619125"/>
        </a:xfrm>
        <a:custGeom>
          <a:avLst/>
          <a:gdLst>
            <a:gd name="T0" fmla="*/ 66 w 66"/>
            <a:gd name="T1" fmla="*/ 0 h 65"/>
            <a:gd name="T2" fmla="*/ 66 w 66"/>
            <a:gd name="T3" fmla="*/ 49 h 65"/>
            <a:gd name="T4" fmla="*/ 50 w 66"/>
            <a:gd name="T5" fmla="*/ 65 h 65"/>
            <a:gd name="T6" fmla="*/ 0 w 66"/>
            <a:gd name="T7" fmla="*/ 65 h 65"/>
          </a:gdLst>
          <a:ahLst/>
          <a:cxnLst>
            <a:cxn ang="0">
              <a:pos x="T0" y="T1"/>
            </a:cxn>
            <a:cxn ang="0">
              <a:pos x="T2" y="T3"/>
            </a:cxn>
            <a:cxn ang="0">
              <a:pos x="T4" y="T5"/>
            </a:cxn>
            <a:cxn ang="0">
              <a:pos x="T6" y="T7"/>
            </a:cxn>
          </a:cxnLst>
          <a:rect l="0" t="0" r="r" b="b"/>
          <a:pathLst>
            <a:path w="66" h="65">
              <a:moveTo>
                <a:pt x="66" y="0"/>
              </a:moveTo>
              <a:lnTo>
                <a:pt x="66" y="49"/>
              </a:lnTo>
              <a:lnTo>
                <a:pt x="50" y="65"/>
              </a:lnTo>
              <a:lnTo>
                <a:pt x="0" y="65"/>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19050</xdr:colOff>
      <xdr:row>234</xdr:row>
      <xdr:rowOff>123825</xdr:rowOff>
    </xdr:from>
    <xdr:to>
      <xdr:col>9</xdr:col>
      <xdr:colOff>523875</xdr:colOff>
      <xdr:row>234</xdr:row>
      <xdr:rowOff>123825</xdr:rowOff>
    </xdr:to>
    <xdr:sp macro="" textlink="">
      <xdr:nvSpPr>
        <xdr:cNvPr id="1213" name="Line 189">
          <a:extLst>
            <a:ext uri="{FF2B5EF4-FFF2-40B4-BE49-F238E27FC236}">
              <a16:creationId xmlns:a16="http://schemas.microsoft.com/office/drawing/2014/main" id="{00000000-0008-0000-0100-0000BD040000}"/>
            </a:ext>
          </a:extLst>
        </xdr:cNvPr>
        <xdr:cNvSpPr>
          <a:spLocks noChangeShapeType="1"/>
        </xdr:cNvSpPr>
      </xdr:nvSpPr>
      <xdr:spPr bwMode="auto">
        <a:xfrm>
          <a:off x="4495800" y="38700075"/>
          <a:ext cx="1114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581025</xdr:colOff>
      <xdr:row>233</xdr:row>
      <xdr:rowOff>28575</xdr:rowOff>
    </xdr:from>
    <xdr:to>
      <xdr:col>8</xdr:col>
      <xdr:colOff>38100</xdr:colOff>
      <xdr:row>235</xdr:row>
      <xdr:rowOff>114300</xdr:rowOff>
    </xdr:to>
    <xdr:sp macro="" textlink="">
      <xdr:nvSpPr>
        <xdr:cNvPr id="1214" name="Freeform 190">
          <a:extLst>
            <a:ext uri="{FF2B5EF4-FFF2-40B4-BE49-F238E27FC236}">
              <a16:creationId xmlns:a16="http://schemas.microsoft.com/office/drawing/2014/main" id="{00000000-0008-0000-0100-0000BE040000}"/>
            </a:ext>
          </a:extLst>
        </xdr:cNvPr>
        <xdr:cNvSpPr>
          <a:spLocks/>
        </xdr:cNvSpPr>
      </xdr:nvSpPr>
      <xdr:spPr bwMode="auto">
        <a:xfrm>
          <a:off x="4448175" y="38442900"/>
          <a:ext cx="66675" cy="409575"/>
        </a:xfrm>
        <a:custGeom>
          <a:avLst/>
          <a:gdLst>
            <a:gd name="T0" fmla="*/ 5 w 7"/>
            <a:gd name="T1" fmla="*/ 0 h 43"/>
            <a:gd name="T2" fmla="*/ 0 w 7"/>
            <a:gd name="T3" fmla="*/ 10 h 43"/>
            <a:gd name="T4" fmla="*/ 7 w 7"/>
            <a:gd name="T5" fmla="*/ 23 h 43"/>
            <a:gd name="T6" fmla="*/ 1 w 7"/>
            <a:gd name="T7" fmla="*/ 36 h 43"/>
            <a:gd name="T8" fmla="*/ 6 w 7"/>
            <a:gd name="T9" fmla="*/ 43 h 43"/>
          </a:gdLst>
          <a:ahLst/>
          <a:cxnLst>
            <a:cxn ang="0">
              <a:pos x="T0" y="T1"/>
            </a:cxn>
            <a:cxn ang="0">
              <a:pos x="T2" y="T3"/>
            </a:cxn>
            <a:cxn ang="0">
              <a:pos x="T4" y="T5"/>
            </a:cxn>
            <a:cxn ang="0">
              <a:pos x="T6" y="T7"/>
            </a:cxn>
            <a:cxn ang="0">
              <a:pos x="T8" y="T9"/>
            </a:cxn>
          </a:cxnLst>
          <a:rect l="0" t="0" r="r" b="b"/>
          <a:pathLst>
            <a:path w="7" h="43">
              <a:moveTo>
                <a:pt x="5" y="0"/>
              </a:moveTo>
              <a:cubicBezTo>
                <a:pt x="2" y="3"/>
                <a:pt x="0" y="6"/>
                <a:pt x="0" y="10"/>
              </a:cubicBezTo>
              <a:cubicBezTo>
                <a:pt x="0" y="14"/>
                <a:pt x="7" y="19"/>
                <a:pt x="7" y="23"/>
              </a:cubicBezTo>
              <a:cubicBezTo>
                <a:pt x="7" y="27"/>
                <a:pt x="1" y="33"/>
                <a:pt x="1" y="36"/>
              </a:cubicBezTo>
              <a:cubicBezTo>
                <a:pt x="1" y="39"/>
                <a:pt x="5" y="42"/>
                <a:pt x="6" y="43"/>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428625</xdr:colOff>
      <xdr:row>228</xdr:row>
      <xdr:rowOff>85725</xdr:rowOff>
    </xdr:from>
    <xdr:to>
      <xdr:col>9</xdr:col>
      <xdr:colOff>581025</xdr:colOff>
      <xdr:row>235</xdr:row>
      <xdr:rowOff>123825</xdr:rowOff>
    </xdr:to>
    <xdr:sp macro="" textlink="">
      <xdr:nvSpPr>
        <xdr:cNvPr id="1217" name="Freeform 193">
          <a:extLst>
            <a:ext uri="{FF2B5EF4-FFF2-40B4-BE49-F238E27FC236}">
              <a16:creationId xmlns:a16="http://schemas.microsoft.com/office/drawing/2014/main" id="{00000000-0008-0000-0100-0000C1040000}"/>
            </a:ext>
          </a:extLst>
        </xdr:cNvPr>
        <xdr:cNvSpPr>
          <a:spLocks/>
        </xdr:cNvSpPr>
      </xdr:nvSpPr>
      <xdr:spPr bwMode="auto">
        <a:xfrm rot="146666">
          <a:off x="5514975" y="37690425"/>
          <a:ext cx="152400" cy="1171575"/>
        </a:xfrm>
        <a:custGeom>
          <a:avLst/>
          <a:gdLst>
            <a:gd name="T0" fmla="*/ 5 w 16"/>
            <a:gd name="T1" fmla="*/ 0 h 137"/>
            <a:gd name="T2" fmla="*/ 0 w 16"/>
            <a:gd name="T3" fmla="*/ 14 h 137"/>
            <a:gd name="T4" fmla="*/ 8 w 16"/>
            <a:gd name="T5" fmla="*/ 28 h 137"/>
            <a:gd name="T6" fmla="*/ 1 w 16"/>
            <a:gd name="T7" fmla="*/ 42 h 137"/>
            <a:gd name="T8" fmla="*/ 9 w 16"/>
            <a:gd name="T9" fmla="*/ 54 h 137"/>
            <a:gd name="T10" fmla="*/ 3 w 16"/>
            <a:gd name="T11" fmla="*/ 69 h 137"/>
            <a:gd name="T12" fmla="*/ 13 w 16"/>
            <a:gd name="T13" fmla="*/ 84 h 137"/>
            <a:gd name="T14" fmla="*/ 6 w 16"/>
            <a:gd name="T15" fmla="*/ 99 h 137"/>
            <a:gd name="T16" fmla="*/ 16 w 16"/>
            <a:gd name="T17" fmla="*/ 112 h 137"/>
            <a:gd name="T18" fmla="*/ 7 w 16"/>
            <a:gd name="T19" fmla="*/ 126 h 137"/>
            <a:gd name="T20" fmla="*/ 14 w 16"/>
            <a:gd name="T21" fmla="*/ 137 h 1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6" h="137">
              <a:moveTo>
                <a:pt x="5" y="0"/>
              </a:moveTo>
              <a:cubicBezTo>
                <a:pt x="2" y="4"/>
                <a:pt x="0" y="9"/>
                <a:pt x="0" y="14"/>
              </a:cubicBezTo>
              <a:cubicBezTo>
                <a:pt x="0" y="19"/>
                <a:pt x="8" y="23"/>
                <a:pt x="8" y="28"/>
              </a:cubicBezTo>
              <a:cubicBezTo>
                <a:pt x="8" y="33"/>
                <a:pt x="1" y="38"/>
                <a:pt x="1" y="42"/>
              </a:cubicBezTo>
              <a:cubicBezTo>
                <a:pt x="1" y="46"/>
                <a:pt x="9" y="50"/>
                <a:pt x="9" y="54"/>
              </a:cubicBezTo>
              <a:cubicBezTo>
                <a:pt x="9" y="58"/>
                <a:pt x="2" y="64"/>
                <a:pt x="3" y="69"/>
              </a:cubicBezTo>
              <a:cubicBezTo>
                <a:pt x="4" y="74"/>
                <a:pt x="12" y="79"/>
                <a:pt x="13" y="84"/>
              </a:cubicBezTo>
              <a:cubicBezTo>
                <a:pt x="14" y="89"/>
                <a:pt x="6" y="94"/>
                <a:pt x="6" y="99"/>
              </a:cubicBezTo>
              <a:cubicBezTo>
                <a:pt x="6" y="104"/>
                <a:pt x="16" y="108"/>
                <a:pt x="16" y="112"/>
              </a:cubicBezTo>
              <a:cubicBezTo>
                <a:pt x="16" y="116"/>
                <a:pt x="7" y="122"/>
                <a:pt x="7" y="126"/>
              </a:cubicBezTo>
              <a:cubicBezTo>
                <a:pt x="7" y="130"/>
                <a:pt x="10" y="133"/>
                <a:pt x="14" y="137"/>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447675</xdr:colOff>
      <xdr:row>229</xdr:row>
      <xdr:rowOff>85725</xdr:rowOff>
    </xdr:from>
    <xdr:to>
      <xdr:col>10</xdr:col>
      <xdr:colOff>66675</xdr:colOff>
      <xdr:row>230</xdr:row>
      <xdr:rowOff>19050</xdr:rowOff>
    </xdr:to>
    <xdr:sp macro="" textlink="">
      <xdr:nvSpPr>
        <xdr:cNvPr id="1218" name="Freeform 194">
          <a:extLst>
            <a:ext uri="{FF2B5EF4-FFF2-40B4-BE49-F238E27FC236}">
              <a16:creationId xmlns:a16="http://schemas.microsoft.com/office/drawing/2014/main" id="{00000000-0008-0000-0100-0000C2040000}"/>
            </a:ext>
          </a:extLst>
        </xdr:cNvPr>
        <xdr:cNvSpPr>
          <a:spLocks/>
        </xdr:cNvSpPr>
      </xdr:nvSpPr>
      <xdr:spPr bwMode="auto">
        <a:xfrm>
          <a:off x="4924425" y="37852350"/>
          <a:ext cx="876300" cy="95250"/>
        </a:xfrm>
        <a:custGeom>
          <a:avLst/>
          <a:gdLst>
            <a:gd name="T0" fmla="*/ 0 w 92"/>
            <a:gd name="T1" fmla="*/ 8 h 10"/>
            <a:gd name="T2" fmla="*/ 12 w 92"/>
            <a:gd name="T3" fmla="*/ 0 h 10"/>
            <a:gd name="T4" fmla="*/ 28 w 92"/>
            <a:gd name="T5" fmla="*/ 8 h 10"/>
            <a:gd name="T6" fmla="*/ 40 w 92"/>
            <a:gd name="T7" fmla="*/ 0 h 10"/>
            <a:gd name="T8" fmla="*/ 54 w 92"/>
            <a:gd name="T9" fmla="*/ 8 h 10"/>
            <a:gd name="T10" fmla="*/ 67 w 92"/>
            <a:gd name="T11" fmla="*/ 1 h 10"/>
            <a:gd name="T12" fmla="*/ 82 w 92"/>
            <a:gd name="T13" fmla="*/ 10 h 10"/>
            <a:gd name="T14" fmla="*/ 92 w 92"/>
            <a:gd name="T15" fmla="*/ 3 h 1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2" h="10">
              <a:moveTo>
                <a:pt x="0" y="8"/>
              </a:moveTo>
              <a:cubicBezTo>
                <a:pt x="3" y="4"/>
                <a:pt x="7" y="0"/>
                <a:pt x="12" y="0"/>
              </a:cubicBezTo>
              <a:cubicBezTo>
                <a:pt x="17" y="0"/>
                <a:pt x="23" y="8"/>
                <a:pt x="28" y="8"/>
              </a:cubicBezTo>
              <a:cubicBezTo>
                <a:pt x="33" y="8"/>
                <a:pt x="36" y="0"/>
                <a:pt x="40" y="0"/>
              </a:cubicBezTo>
              <a:cubicBezTo>
                <a:pt x="44" y="0"/>
                <a:pt x="50" y="8"/>
                <a:pt x="54" y="8"/>
              </a:cubicBezTo>
              <a:cubicBezTo>
                <a:pt x="58" y="8"/>
                <a:pt x="62" y="1"/>
                <a:pt x="67" y="1"/>
              </a:cubicBezTo>
              <a:cubicBezTo>
                <a:pt x="72" y="1"/>
                <a:pt x="78" y="10"/>
                <a:pt x="82" y="10"/>
              </a:cubicBezTo>
              <a:cubicBezTo>
                <a:pt x="86" y="10"/>
                <a:pt x="89" y="6"/>
                <a:pt x="92" y="3"/>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7</xdr:col>
      <xdr:colOff>304800</xdr:colOff>
      <xdr:row>231</xdr:row>
      <xdr:rowOff>0</xdr:rowOff>
    </xdr:from>
    <xdr:ext cx="561975" cy="361950"/>
    <xdr:sp macro="" textlink="">
      <xdr:nvSpPr>
        <xdr:cNvPr id="1219" name="Text Box 195">
          <a:extLst>
            <a:ext uri="{FF2B5EF4-FFF2-40B4-BE49-F238E27FC236}">
              <a16:creationId xmlns:a16="http://schemas.microsoft.com/office/drawing/2014/main" id="{00000000-0008-0000-0100-0000C3040000}"/>
            </a:ext>
          </a:extLst>
        </xdr:cNvPr>
        <xdr:cNvSpPr txBox="1">
          <a:spLocks noChangeArrowheads="1"/>
        </xdr:cNvSpPr>
      </xdr:nvSpPr>
      <xdr:spPr bwMode="auto">
        <a:xfrm>
          <a:off x="4171950" y="38090475"/>
          <a:ext cx="56197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1 ft x 1 ft</a:t>
          </a:r>
        </a:p>
        <a:p>
          <a:pPr algn="l" rtl="0">
            <a:defRPr sz="1000"/>
          </a:pPr>
          <a:r>
            <a:rPr lang="en-US" sz="1000" b="0" i="0" u="none" strike="noStrike" baseline="0">
              <a:solidFill>
                <a:srgbClr val="000000"/>
              </a:solidFill>
              <a:latin typeface="Arial"/>
              <a:cs typeface="Arial"/>
            </a:rPr>
            <a:t>chamfer</a:t>
          </a:r>
        </a:p>
      </xdr:txBody>
    </xdr:sp>
    <xdr:clientData/>
  </xdr:oneCellAnchor>
  <xdr:oneCellAnchor>
    <xdr:from>
      <xdr:col>7</xdr:col>
      <xdr:colOff>570978</xdr:colOff>
      <xdr:row>236</xdr:row>
      <xdr:rowOff>0</xdr:rowOff>
    </xdr:from>
    <xdr:ext cx="1105944" cy="318036"/>
    <xdr:sp macro="" textlink="">
      <xdr:nvSpPr>
        <xdr:cNvPr id="1220" name="Text Box 196">
          <a:extLst>
            <a:ext uri="{FF2B5EF4-FFF2-40B4-BE49-F238E27FC236}">
              <a16:creationId xmlns:a16="http://schemas.microsoft.com/office/drawing/2014/main" id="{00000000-0008-0000-0100-0000C4040000}"/>
            </a:ext>
          </a:extLst>
        </xdr:cNvPr>
        <xdr:cNvSpPr txBox="1">
          <a:spLocks noChangeArrowheads="1"/>
        </xdr:cNvSpPr>
      </xdr:nvSpPr>
      <xdr:spPr bwMode="auto">
        <a:xfrm>
          <a:off x="4438128" y="38900100"/>
          <a:ext cx="1105944" cy="318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18288" bIns="0" anchor="t" upright="1">
          <a:spAutoFit/>
        </a:bodyPr>
        <a:lstStyle/>
        <a:p>
          <a:pPr algn="ctr" rtl="0">
            <a:lnSpc>
              <a:spcPts val="1000"/>
            </a:lnSpc>
            <a:defRPr sz="1000"/>
          </a:pPr>
          <a:r>
            <a:rPr lang="en-US" sz="1000" b="0" i="0" u="none" strike="noStrike" baseline="0">
              <a:solidFill>
                <a:srgbClr val="000000"/>
              </a:solidFill>
              <a:latin typeface="Arial"/>
              <a:cs typeface="Arial"/>
            </a:rPr>
            <a:t>Abutment/wingwall</a:t>
          </a:r>
        </a:p>
        <a:p>
          <a:pPr algn="ctr" rtl="0">
            <a:lnSpc>
              <a:spcPts val="1000"/>
            </a:lnSpc>
            <a:defRPr sz="1000"/>
          </a:pPr>
          <a:r>
            <a:rPr lang="en-US" sz="1000" b="0" i="0" u="none" strike="noStrike" baseline="0">
              <a:solidFill>
                <a:srgbClr val="000000"/>
              </a:solidFill>
              <a:latin typeface="Arial"/>
              <a:cs typeface="Arial"/>
            </a:rPr>
            <a:t>corner chamfer</a:t>
          </a:r>
        </a:p>
      </xdr:txBody>
    </xdr:sp>
    <xdr:clientData/>
  </xdr:oneCellAnchor>
  <xdr:twoCellAnchor>
    <xdr:from>
      <xdr:col>3</xdr:col>
      <xdr:colOff>504825</xdr:colOff>
      <xdr:row>149</xdr:row>
      <xdr:rowOff>57150</xdr:rowOff>
    </xdr:from>
    <xdr:to>
      <xdr:col>4</xdr:col>
      <xdr:colOff>38100</xdr:colOff>
      <xdr:row>149</xdr:row>
      <xdr:rowOff>57150</xdr:rowOff>
    </xdr:to>
    <xdr:sp macro="" textlink="">
      <xdr:nvSpPr>
        <xdr:cNvPr id="1224" name="Line 200">
          <a:extLst>
            <a:ext uri="{FF2B5EF4-FFF2-40B4-BE49-F238E27FC236}">
              <a16:creationId xmlns:a16="http://schemas.microsoft.com/office/drawing/2014/main" id="{00000000-0008-0000-0100-0000C8040000}"/>
            </a:ext>
          </a:extLst>
        </xdr:cNvPr>
        <xdr:cNvSpPr>
          <a:spLocks noChangeShapeType="1"/>
        </xdr:cNvSpPr>
      </xdr:nvSpPr>
      <xdr:spPr bwMode="auto">
        <a:xfrm>
          <a:off x="1533525" y="24641175"/>
          <a:ext cx="16192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151</xdr:row>
      <xdr:rowOff>114300</xdr:rowOff>
    </xdr:from>
    <xdr:to>
      <xdr:col>4</xdr:col>
      <xdr:colOff>38100</xdr:colOff>
      <xdr:row>151</xdr:row>
      <xdr:rowOff>114300</xdr:rowOff>
    </xdr:to>
    <xdr:sp macro="" textlink="">
      <xdr:nvSpPr>
        <xdr:cNvPr id="1225" name="Line 201">
          <a:extLst>
            <a:ext uri="{FF2B5EF4-FFF2-40B4-BE49-F238E27FC236}">
              <a16:creationId xmlns:a16="http://schemas.microsoft.com/office/drawing/2014/main" id="{00000000-0008-0000-0100-0000C9040000}"/>
            </a:ext>
          </a:extLst>
        </xdr:cNvPr>
        <xdr:cNvSpPr>
          <a:spLocks noChangeShapeType="1"/>
        </xdr:cNvSpPr>
      </xdr:nvSpPr>
      <xdr:spPr bwMode="auto">
        <a:xfrm>
          <a:off x="1533525" y="25022175"/>
          <a:ext cx="16192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590550</xdr:colOff>
      <xdr:row>149</xdr:row>
      <xdr:rowOff>57150</xdr:rowOff>
    </xdr:from>
    <xdr:to>
      <xdr:col>3</xdr:col>
      <xdr:colOff>590550</xdr:colOff>
      <xdr:row>151</xdr:row>
      <xdr:rowOff>114300</xdr:rowOff>
    </xdr:to>
    <xdr:sp macro="" textlink="">
      <xdr:nvSpPr>
        <xdr:cNvPr id="1227" name="Line 203">
          <a:extLst>
            <a:ext uri="{FF2B5EF4-FFF2-40B4-BE49-F238E27FC236}">
              <a16:creationId xmlns:a16="http://schemas.microsoft.com/office/drawing/2014/main" id="{00000000-0008-0000-0100-0000CB040000}"/>
            </a:ext>
          </a:extLst>
        </xdr:cNvPr>
        <xdr:cNvSpPr>
          <a:spLocks noChangeShapeType="1"/>
        </xdr:cNvSpPr>
      </xdr:nvSpPr>
      <xdr:spPr bwMode="auto">
        <a:xfrm>
          <a:off x="1619250" y="24641175"/>
          <a:ext cx="0" cy="3810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514350</xdr:colOff>
      <xdr:row>149</xdr:row>
      <xdr:rowOff>57150</xdr:rowOff>
    </xdr:from>
    <xdr:to>
      <xdr:col>5</xdr:col>
      <xdr:colOff>85725</xdr:colOff>
      <xdr:row>149</xdr:row>
      <xdr:rowOff>57150</xdr:rowOff>
    </xdr:to>
    <xdr:sp macro="" textlink="">
      <xdr:nvSpPr>
        <xdr:cNvPr id="1228" name="Line 204">
          <a:extLst>
            <a:ext uri="{FF2B5EF4-FFF2-40B4-BE49-F238E27FC236}">
              <a16:creationId xmlns:a16="http://schemas.microsoft.com/office/drawing/2014/main" id="{00000000-0008-0000-0100-0000CC040000}"/>
            </a:ext>
          </a:extLst>
        </xdr:cNvPr>
        <xdr:cNvSpPr>
          <a:spLocks noChangeShapeType="1"/>
        </xdr:cNvSpPr>
      </xdr:nvSpPr>
      <xdr:spPr bwMode="auto">
        <a:xfrm>
          <a:off x="2171700" y="24641175"/>
          <a:ext cx="190500"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514350</xdr:colOff>
      <xdr:row>151</xdr:row>
      <xdr:rowOff>114300</xdr:rowOff>
    </xdr:from>
    <xdr:to>
      <xdr:col>5</xdr:col>
      <xdr:colOff>85725</xdr:colOff>
      <xdr:row>151</xdr:row>
      <xdr:rowOff>114300</xdr:rowOff>
    </xdr:to>
    <xdr:sp macro="" textlink="">
      <xdr:nvSpPr>
        <xdr:cNvPr id="1229" name="Line 205">
          <a:extLst>
            <a:ext uri="{FF2B5EF4-FFF2-40B4-BE49-F238E27FC236}">
              <a16:creationId xmlns:a16="http://schemas.microsoft.com/office/drawing/2014/main" id="{00000000-0008-0000-0100-0000CD040000}"/>
            </a:ext>
          </a:extLst>
        </xdr:cNvPr>
        <xdr:cNvSpPr>
          <a:spLocks noChangeShapeType="1"/>
        </xdr:cNvSpPr>
      </xdr:nvSpPr>
      <xdr:spPr bwMode="auto">
        <a:xfrm>
          <a:off x="2171700" y="25022175"/>
          <a:ext cx="190500"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600075</xdr:colOff>
      <xdr:row>149</xdr:row>
      <xdr:rowOff>57150</xdr:rowOff>
    </xdr:from>
    <xdr:to>
      <xdr:col>4</xdr:col>
      <xdr:colOff>600075</xdr:colOff>
      <xdr:row>151</xdr:row>
      <xdr:rowOff>114300</xdr:rowOff>
    </xdr:to>
    <xdr:sp macro="" textlink="">
      <xdr:nvSpPr>
        <xdr:cNvPr id="1230" name="Line 206">
          <a:extLst>
            <a:ext uri="{FF2B5EF4-FFF2-40B4-BE49-F238E27FC236}">
              <a16:creationId xmlns:a16="http://schemas.microsoft.com/office/drawing/2014/main" id="{00000000-0008-0000-0100-0000CE040000}"/>
            </a:ext>
          </a:extLst>
        </xdr:cNvPr>
        <xdr:cNvSpPr>
          <a:spLocks noChangeShapeType="1"/>
        </xdr:cNvSpPr>
      </xdr:nvSpPr>
      <xdr:spPr bwMode="auto">
        <a:xfrm>
          <a:off x="2257425" y="24641175"/>
          <a:ext cx="0" cy="3810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647700</xdr:colOff>
      <xdr:row>149</xdr:row>
      <xdr:rowOff>57150</xdr:rowOff>
    </xdr:from>
    <xdr:to>
      <xdr:col>6</xdr:col>
      <xdr:colOff>142875</xdr:colOff>
      <xdr:row>149</xdr:row>
      <xdr:rowOff>57150</xdr:rowOff>
    </xdr:to>
    <xdr:sp macro="" textlink="">
      <xdr:nvSpPr>
        <xdr:cNvPr id="1231" name="Line 207">
          <a:extLst>
            <a:ext uri="{FF2B5EF4-FFF2-40B4-BE49-F238E27FC236}">
              <a16:creationId xmlns:a16="http://schemas.microsoft.com/office/drawing/2014/main" id="{00000000-0008-0000-0100-0000CF040000}"/>
            </a:ext>
          </a:extLst>
        </xdr:cNvPr>
        <xdr:cNvSpPr>
          <a:spLocks noChangeShapeType="1"/>
        </xdr:cNvSpPr>
      </xdr:nvSpPr>
      <xdr:spPr bwMode="auto">
        <a:xfrm>
          <a:off x="2924175" y="24641175"/>
          <a:ext cx="209550"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151</xdr:row>
      <xdr:rowOff>114300</xdr:rowOff>
    </xdr:from>
    <xdr:to>
      <xdr:col>6</xdr:col>
      <xdr:colOff>133350</xdr:colOff>
      <xdr:row>151</xdr:row>
      <xdr:rowOff>114300</xdr:rowOff>
    </xdr:to>
    <xdr:sp macro="" textlink="">
      <xdr:nvSpPr>
        <xdr:cNvPr id="1232" name="Line 208">
          <a:extLst>
            <a:ext uri="{FF2B5EF4-FFF2-40B4-BE49-F238E27FC236}">
              <a16:creationId xmlns:a16="http://schemas.microsoft.com/office/drawing/2014/main" id="{00000000-0008-0000-0100-0000D0040000}"/>
            </a:ext>
          </a:extLst>
        </xdr:cNvPr>
        <xdr:cNvSpPr>
          <a:spLocks noChangeShapeType="1"/>
        </xdr:cNvSpPr>
      </xdr:nvSpPr>
      <xdr:spPr bwMode="auto">
        <a:xfrm>
          <a:off x="2914650" y="25022175"/>
          <a:ext cx="209550"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149</xdr:row>
      <xdr:rowOff>57150</xdr:rowOff>
    </xdr:from>
    <xdr:to>
      <xdr:col>6</xdr:col>
      <xdr:colOff>47625</xdr:colOff>
      <xdr:row>151</xdr:row>
      <xdr:rowOff>114300</xdr:rowOff>
    </xdr:to>
    <xdr:sp macro="" textlink="">
      <xdr:nvSpPr>
        <xdr:cNvPr id="1233" name="Line 209">
          <a:extLst>
            <a:ext uri="{FF2B5EF4-FFF2-40B4-BE49-F238E27FC236}">
              <a16:creationId xmlns:a16="http://schemas.microsoft.com/office/drawing/2014/main" id="{00000000-0008-0000-0100-0000D1040000}"/>
            </a:ext>
          </a:extLst>
        </xdr:cNvPr>
        <xdr:cNvSpPr>
          <a:spLocks noChangeShapeType="1"/>
        </xdr:cNvSpPr>
      </xdr:nvSpPr>
      <xdr:spPr bwMode="auto">
        <a:xfrm>
          <a:off x="3038475" y="24641175"/>
          <a:ext cx="0" cy="3810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704850</xdr:colOff>
      <xdr:row>149</xdr:row>
      <xdr:rowOff>57150</xdr:rowOff>
    </xdr:from>
    <xdr:to>
      <xdr:col>6</xdr:col>
      <xdr:colOff>876300</xdr:colOff>
      <xdr:row>149</xdr:row>
      <xdr:rowOff>57150</xdr:rowOff>
    </xdr:to>
    <xdr:sp macro="" textlink="">
      <xdr:nvSpPr>
        <xdr:cNvPr id="1234" name="Line 210">
          <a:extLst>
            <a:ext uri="{FF2B5EF4-FFF2-40B4-BE49-F238E27FC236}">
              <a16:creationId xmlns:a16="http://schemas.microsoft.com/office/drawing/2014/main" id="{00000000-0008-0000-0100-0000D2040000}"/>
            </a:ext>
          </a:extLst>
        </xdr:cNvPr>
        <xdr:cNvSpPr>
          <a:spLocks noChangeShapeType="1"/>
        </xdr:cNvSpPr>
      </xdr:nvSpPr>
      <xdr:spPr bwMode="auto">
        <a:xfrm>
          <a:off x="3695700" y="24641175"/>
          <a:ext cx="171450"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704850</xdr:colOff>
      <xdr:row>151</xdr:row>
      <xdr:rowOff>114300</xdr:rowOff>
    </xdr:from>
    <xdr:to>
      <xdr:col>6</xdr:col>
      <xdr:colOff>876300</xdr:colOff>
      <xdr:row>151</xdr:row>
      <xdr:rowOff>114300</xdr:rowOff>
    </xdr:to>
    <xdr:sp macro="" textlink="">
      <xdr:nvSpPr>
        <xdr:cNvPr id="1235" name="Line 211">
          <a:extLst>
            <a:ext uri="{FF2B5EF4-FFF2-40B4-BE49-F238E27FC236}">
              <a16:creationId xmlns:a16="http://schemas.microsoft.com/office/drawing/2014/main" id="{00000000-0008-0000-0100-0000D3040000}"/>
            </a:ext>
          </a:extLst>
        </xdr:cNvPr>
        <xdr:cNvSpPr>
          <a:spLocks noChangeShapeType="1"/>
        </xdr:cNvSpPr>
      </xdr:nvSpPr>
      <xdr:spPr bwMode="auto">
        <a:xfrm>
          <a:off x="3695700" y="25022175"/>
          <a:ext cx="171450"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790575</xdr:colOff>
      <xdr:row>149</xdr:row>
      <xdr:rowOff>57150</xdr:rowOff>
    </xdr:from>
    <xdr:to>
      <xdr:col>6</xdr:col>
      <xdr:colOff>790575</xdr:colOff>
      <xdr:row>151</xdr:row>
      <xdr:rowOff>114300</xdr:rowOff>
    </xdr:to>
    <xdr:sp macro="" textlink="">
      <xdr:nvSpPr>
        <xdr:cNvPr id="1236" name="Line 212">
          <a:extLst>
            <a:ext uri="{FF2B5EF4-FFF2-40B4-BE49-F238E27FC236}">
              <a16:creationId xmlns:a16="http://schemas.microsoft.com/office/drawing/2014/main" id="{00000000-0008-0000-0100-0000D4040000}"/>
            </a:ext>
          </a:extLst>
        </xdr:cNvPr>
        <xdr:cNvSpPr>
          <a:spLocks noChangeShapeType="1"/>
        </xdr:cNvSpPr>
      </xdr:nvSpPr>
      <xdr:spPr bwMode="auto">
        <a:xfrm>
          <a:off x="3781425" y="24641175"/>
          <a:ext cx="0" cy="3810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514350</xdr:colOff>
      <xdr:row>149</xdr:row>
      <xdr:rowOff>57150</xdr:rowOff>
    </xdr:from>
    <xdr:to>
      <xdr:col>8</xdr:col>
      <xdr:colOff>85725</xdr:colOff>
      <xdr:row>149</xdr:row>
      <xdr:rowOff>57150</xdr:rowOff>
    </xdr:to>
    <xdr:sp macro="" textlink="">
      <xdr:nvSpPr>
        <xdr:cNvPr id="1237" name="Line 213">
          <a:extLst>
            <a:ext uri="{FF2B5EF4-FFF2-40B4-BE49-F238E27FC236}">
              <a16:creationId xmlns:a16="http://schemas.microsoft.com/office/drawing/2014/main" id="{00000000-0008-0000-0100-0000D5040000}"/>
            </a:ext>
          </a:extLst>
        </xdr:cNvPr>
        <xdr:cNvSpPr>
          <a:spLocks noChangeShapeType="1"/>
        </xdr:cNvSpPr>
      </xdr:nvSpPr>
      <xdr:spPr bwMode="auto">
        <a:xfrm>
          <a:off x="4381500" y="24641175"/>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514350</xdr:colOff>
      <xdr:row>151</xdr:row>
      <xdr:rowOff>114300</xdr:rowOff>
    </xdr:from>
    <xdr:to>
      <xdr:col>8</xdr:col>
      <xdr:colOff>85725</xdr:colOff>
      <xdr:row>151</xdr:row>
      <xdr:rowOff>114300</xdr:rowOff>
    </xdr:to>
    <xdr:sp macro="" textlink="">
      <xdr:nvSpPr>
        <xdr:cNvPr id="1238" name="Line 214">
          <a:extLst>
            <a:ext uri="{FF2B5EF4-FFF2-40B4-BE49-F238E27FC236}">
              <a16:creationId xmlns:a16="http://schemas.microsoft.com/office/drawing/2014/main" id="{00000000-0008-0000-0100-0000D6040000}"/>
            </a:ext>
          </a:extLst>
        </xdr:cNvPr>
        <xdr:cNvSpPr>
          <a:spLocks noChangeShapeType="1"/>
        </xdr:cNvSpPr>
      </xdr:nvSpPr>
      <xdr:spPr bwMode="auto">
        <a:xfrm>
          <a:off x="4381500" y="25022175"/>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600075</xdr:colOff>
      <xdr:row>149</xdr:row>
      <xdr:rowOff>57150</xdr:rowOff>
    </xdr:from>
    <xdr:to>
      <xdr:col>7</xdr:col>
      <xdr:colOff>600075</xdr:colOff>
      <xdr:row>151</xdr:row>
      <xdr:rowOff>114300</xdr:rowOff>
    </xdr:to>
    <xdr:sp macro="" textlink="">
      <xdr:nvSpPr>
        <xdr:cNvPr id="1239" name="Line 215">
          <a:extLst>
            <a:ext uri="{FF2B5EF4-FFF2-40B4-BE49-F238E27FC236}">
              <a16:creationId xmlns:a16="http://schemas.microsoft.com/office/drawing/2014/main" id="{00000000-0008-0000-0100-0000D7040000}"/>
            </a:ext>
          </a:extLst>
        </xdr:cNvPr>
        <xdr:cNvSpPr>
          <a:spLocks noChangeShapeType="1"/>
        </xdr:cNvSpPr>
      </xdr:nvSpPr>
      <xdr:spPr bwMode="auto">
        <a:xfrm>
          <a:off x="4467225" y="24641175"/>
          <a:ext cx="0" cy="3810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447675</xdr:colOff>
      <xdr:row>223</xdr:row>
      <xdr:rowOff>114300</xdr:rowOff>
    </xdr:from>
    <xdr:ext cx="762000" cy="361950"/>
    <xdr:sp macro="" textlink="">
      <xdr:nvSpPr>
        <xdr:cNvPr id="1243" name="Text Box 219">
          <a:extLst>
            <a:ext uri="{FF2B5EF4-FFF2-40B4-BE49-F238E27FC236}">
              <a16:creationId xmlns:a16="http://schemas.microsoft.com/office/drawing/2014/main" id="{00000000-0008-0000-0100-0000DB040000}"/>
            </a:ext>
          </a:extLst>
        </xdr:cNvPr>
        <xdr:cNvSpPr txBox="1">
          <a:spLocks noChangeArrowheads="1"/>
        </xdr:cNvSpPr>
      </xdr:nvSpPr>
      <xdr:spPr bwMode="auto">
        <a:xfrm>
          <a:off x="2105025" y="36909375"/>
          <a:ext cx="7620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Back face of</a:t>
          </a:r>
        </a:p>
        <a:p>
          <a:pPr algn="l" rtl="0">
            <a:defRPr sz="1000"/>
          </a:pPr>
          <a:r>
            <a:rPr lang="en-US" sz="1000" b="0" i="0" u="none" strike="noStrike" baseline="0">
              <a:solidFill>
                <a:srgbClr val="000000"/>
              </a:solidFill>
              <a:latin typeface="Arial"/>
              <a:cs typeface="Arial"/>
            </a:rPr>
            <a:t>abutment</a:t>
          </a:r>
        </a:p>
      </xdr:txBody>
    </xdr:sp>
    <xdr:clientData/>
  </xdr:oneCellAnchor>
  <xdr:twoCellAnchor>
    <xdr:from>
      <xdr:col>4</xdr:col>
      <xdr:colOff>114300</xdr:colOff>
      <xdr:row>224</xdr:row>
      <xdr:rowOff>28575</xdr:rowOff>
    </xdr:from>
    <xdr:to>
      <xdr:col>4</xdr:col>
      <xdr:colOff>457200</xdr:colOff>
      <xdr:row>224</xdr:row>
      <xdr:rowOff>28575</xdr:rowOff>
    </xdr:to>
    <xdr:sp macro="" textlink="">
      <xdr:nvSpPr>
        <xdr:cNvPr id="1245" name="Line 221">
          <a:extLst>
            <a:ext uri="{FF2B5EF4-FFF2-40B4-BE49-F238E27FC236}">
              <a16:creationId xmlns:a16="http://schemas.microsoft.com/office/drawing/2014/main" id="{00000000-0008-0000-0100-0000DD040000}"/>
            </a:ext>
          </a:extLst>
        </xdr:cNvPr>
        <xdr:cNvSpPr>
          <a:spLocks noChangeShapeType="1"/>
        </xdr:cNvSpPr>
      </xdr:nvSpPr>
      <xdr:spPr bwMode="auto">
        <a:xfrm flipH="1">
          <a:off x="1771650" y="36985575"/>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9</xdr:col>
      <xdr:colOff>342900</xdr:colOff>
      <xdr:row>222</xdr:row>
      <xdr:rowOff>57150</xdr:rowOff>
    </xdr:from>
    <xdr:ext cx="762000" cy="361950"/>
    <xdr:sp macro="" textlink="">
      <xdr:nvSpPr>
        <xdr:cNvPr id="1247" name="Text Box 223">
          <a:extLst>
            <a:ext uri="{FF2B5EF4-FFF2-40B4-BE49-F238E27FC236}">
              <a16:creationId xmlns:a16="http://schemas.microsoft.com/office/drawing/2014/main" id="{00000000-0008-0000-0100-0000DF040000}"/>
            </a:ext>
          </a:extLst>
        </xdr:cNvPr>
        <xdr:cNvSpPr txBox="1">
          <a:spLocks noChangeArrowheads="1"/>
        </xdr:cNvSpPr>
      </xdr:nvSpPr>
      <xdr:spPr bwMode="auto">
        <a:xfrm>
          <a:off x="5429250" y="36690300"/>
          <a:ext cx="7620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Back face of</a:t>
          </a:r>
        </a:p>
        <a:p>
          <a:pPr algn="l" rtl="0">
            <a:defRPr sz="1000"/>
          </a:pPr>
          <a:r>
            <a:rPr lang="en-US" sz="1000" b="0" i="0" u="none" strike="noStrike" baseline="0">
              <a:solidFill>
                <a:srgbClr val="000000"/>
              </a:solidFill>
              <a:latin typeface="Arial"/>
              <a:cs typeface="Arial"/>
            </a:rPr>
            <a:t>abutment</a:t>
          </a:r>
        </a:p>
      </xdr:txBody>
    </xdr:sp>
    <xdr:clientData/>
  </xdr:oneCellAnchor>
  <xdr:twoCellAnchor>
    <xdr:from>
      <xdr:col>9</xdr:col>
      <xdr:colOff>9525</xdr:colOff>
      <xdr:row>222</xdr:row>
      <xdr:rowOff>123825</xdr:rowOff>
    </xdr:from>
    <xdr:to>
      <xdr:col>9</xdr:col>
      <xdr:colOff>352425</xdr:colOff>
      <xdr:row>222</xdr:row>
      <xdr:rowOff>123825</xdr:rowOff>
    </xdr:to>
    <xdr:sp macro="" textlink="">
      <xdr:nvSpPr>
        <xdr:cNvPr id="1248" name="Line 224">
          <a:extLst>
            <a:ext uri="{FF2B5EF4-FFF2-40B4-BE49-F238E27FC236}">
              <a16:creationId xmlns:a16="http://schemas.microsoft.com/office/drawing/2014/main" id="{00000000-0008-0000-0100-0000E0040000}"/>
            </a:ext>
          </a:extLst>
        </xdr:cNvPr>
        <xdr:cNvSpPr>
          <a:spLocks noChangeShapeType="1"/>
        </xdr:cNvSpPr>
      </xdr:nvSpPr>
      <xdr:spPr bwMode="auto">
        <a:xfrm flipH="1">
          <a:off x="5095875" y="36756975"/>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7</xdr:col>
      <xdr:colOff>66675</xdr:colOff>
      <xdr:row>229</xdr:row>
      <xdr:rowOff>0</xdr:rowOff>
    </xdr:from>
    <xdr:ext cx="762000" cy="361950"/>
    <xdr:sp macro="" textlink="">
      <xdr:nvSpPr>
        <xdr:cNvPr id="1249" name="Text Box 225">
          <a:extLst>
            <a:ext uri="{FF2B5EF4-FFF2-40B4-BE49-F238E27FC236}">
              <a16:creationId xmlns:a16="http://schemas.microsoft.com/office/drawing/2014/main" id="{00000000-0008-0000-0100-0000E1040000}"/>
            </a:ext>
          </a:extLst>
        </xdr:cNvPr>
        <xdr:cNvSpPr txBox="1">
          <a:spLocks noChangeArrowheads="1"/>
        </xdr:cNvSpPr>
      </xdr:nvSpPr>
      <xdr:spPr bwMode="auto">
        <a:xfrm>
          <a:off x="3933825" y="37766625"/>
          <a:ext cx="7620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Back face of</a:t>
          </a:r>
        </a:p>
        <a:p>
          <a:pPr algn="l" rtl="0">
            <a:defRPr sz="1000"/>
          </a:pPr>
          <a:r>
            <a:rPr lang="en-US" sz="1000" b="0" i="0" u="none" strike="noStrike" baseline="0">
              <a:solidFill>
                <a:srgbClr val="000000"/>
              </a:solidFill>
              <a:latin typeface="Arial"/>
              <a:cs typeface="Arial"/>
            </a:rPr>
            <a:t>abutment</a:t>
          </a:r>
        </a:p>
      </xdr:txBody>
    </xdr:sp>
    <xdr:clientData/>
  </xdr:oneCellAnchor>
  <xdr:twoCellAnchor>
    <xdr:from>
      <xdr:col>8</xdr:col>
      <xdr:colOff>9525</xdr:colOff>
      <xdr:row>230</xdr:row>
      <xdr:rowOff>66675</xdr:rowOff>
    </xdr:from>
    <xdr:to>
      <xdr:col>9</xdr:col>
      <xdr:colOff>9525</xdr:colOff>
      <xdr:row>230</xdr:row>
      <xdr:rowOff>66675</xdr:rowOff>
    </xdr:to>
    <xdr:sp macro="" textlink="">
      <xdr:nvSpPr>
        <xdr:cNvPr id="1250" name="Line 226">
          <a:extLst>
            <a:ext uri="{FF2B5EF4-FFF2-40B4-BE49-F238E27FC236}">
              <a16:creationId xmlns:a16="http://schemas.microsoft.com/office/drawing/2014/main" id="{00000000-0008-0000-0100-0000E2040000}"/>
            </a:ext>
          </a:extLst>
        </xdr:cNvPr>
        <xdr:cNvSpPr>
          <a:spLocks noChangeShapeType="1"/>
        </xdr:cNvSpPr>
      </xdr:nvSpPr>
      <xdr:spPr bwMode="auto">
        <a:xfrm>
          <a:off x="4486275" y="37995225"/>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180975</xdr:colOff>
      <xdr:row>232</xdr:row>
      <xdr:rowOff>95250</xdr:rowOff>
    </xdr:from>
    <xdr:to>
      <xdr:col>8</xdr:col>
      <xdr:colOff>552450</xdr:colOff>
      <xdr:row>233</xdr:row>
      <xdr:rowOff>9525</xdr:rowOff>
    </xdr:to>
    <xdr:sp macro="" textlink="">
      <xdr:nvSpPr>
        <xdr:cNvPr id="1251" name="Line 227">
          <a:extLst>
            <a:ext uri="{FF2B5EF4-FFF2-40B4-BE49-F238E27FC236}">
              <a16:creationId xmlns:a16="http://schemas.microsoft.com/office/drawing/2014/main" id="{00000000-0008-0000-0100-0000E3040000}"/>
            </a:ext>
          </a:extLst>
        </xdr:cNvPr>
        <xdr:cNvSpPr>
          <a:spLocks noChangeShapeType="1"/>
        </xdr:cNvSpPr>
      </xdr:nvSpPr>
      <xdr:spPr bwMode="auto">
        <a:xfrm>
          <a:off x="4657725" y="38347650"/>
          <a:ext cx="371475" cy="7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114300</xdr:colOff>
      <xdr:row>220</xdr:row>
      <xdr:rowOff>47625</xdr:rowOff>
    </xdr:from>
    <xdr:to>
      <xdr:col>4</xdr:col>
      <xdr:colOff>114300</xdr:colOff>
      <xdr:row>225</xdr:row>
      <xdr:rowOff>38100</xdr:rowOff>
    </xdr:to>
    <xdr:sp macro="" textlink="">
      <xdr:nvSpPr>
        <xdr:cNvPr id="1252" name="Line 228">
          <a:extLst>
            <a:ext uri="{FF2B5EF4-FFF2-40B4-BE49-F238E27FC236}">
              <a16:creationId xmlns:a16="http://schemas.microsoft.com/office/drawing/2014/main" id="{00000000-0008-0000-0100-0000E4040000}"/>
            </a:ext>
          </a:extLst>
        </xdr:cNvPr>
        <xdr:cNvSpPr>
          <a:spLocks noChangeShapeType="1"/>
        </xdr:cNvSpPr>
      </xdr:nvSpPr>
      <xdr:spPr bwMode="auto">
        <a:xfrm>
          <a:off x="1771650" y="36356925"/>
          <a:ext cx="0" cy="80010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220</xdr:row>
      <xdr:rowOff>38100</xdr:rowOff>
    </xdr:from>
    <xdr:to>
      <xdr:col>9</xdr:col>
      <xdr:colOff>9525</xdr:colOff>
      <xdr:row>225</xdr:row>
      <xdr:rowOff>38100</xdr:rowOff>
    </xdr:to>
    <xdr:sp macro="" textlink="">
      <xdr:nvSpPr>
        <xdr:cNvPr id="1253" name="Line 229">
          <a:extLst>
            <a:ext uri="{FF2B5EF4-FFF2-40B4-BE49-F238E27FC236}">
              <a16:creationId xmlns:a16="http://schemas.microsoft.com/office/drawing/2014/main" id="{00000000-0008-0000-0100-0000E5040000}"/>
            </a:ext>
          </a:extLst>
        </xdr:cNvPr>
        <xdr:cNvSpPr>
          <a:spLocks noChangeShapeType="1"/>
        </xdr:cNvSpPr>
      </xdr:nvSpPr>
      <xdr:spPr bwMode="auto">
        <a:xfrm>
          <a:off x="5095875" y="36347400"/>
          <a:ext cx="0" cy="809625"/>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114300</xdr:colOff>
      <xdr:row>220</xdr:row>
      <xdr:rowOff>66675</xdr:rowOff>
    </xdr:from>
    <xdr:to>
      <xdr:col>4</xdr:col>
      <xdr:colOff>114300</xdr:colOff>
      <xdr:row>225</xdr:row>
      <xdr:rowOff>57150</xdr:rowOff>
    </xdr:to>
    <xdr:sp macro="" textlink="">
      <xdr:nvSpPr>
        <xdr:cNvPr id="1254" name="Line 230">
          <a:extLst>
            <a:ext uri="{FF2B5EF4-FFF2-40B4-BE49-F238E27FC236}">
              <a16:creationId xmlns:a16="http://schemas.microsoft.com/office/drawing/2014/main" id="{00000000-0008-0000-0100-0000E6040000}"/>
            </a:ext>
          </a:extLst>
        </xdr:cNvPr>
        <xdr:cNvSpPr>
          <a:spLocks noChangeShapeType="1"/>
        </xdr:cNvSpPr>
      </xdr:nvSpPr>
      <xdr:spPr bwMode="auto">
        <a:xfrm>
          <a:off x="1771650" y="36375975"/>
          <a:ext cx="0" cy="8001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220</xdr:row>
      <xdr:rowOff>38100</xdr:rowOff>
    </xdr:from>
    <xdr:to>
      <xdr:col>9</xdr:col>
      <xdr:colOff>9525</xdr:colOff>
      <xdr:row>225</xdr:row>
      <xdr:rowOff>38100</xdr:rowOff>
    </xdr:to>
    <xdr:sp macro="" textlink="">
      <xdr:nvSpPr>
        <xdr:cNvPr id="1255" name="Line 231">
          <a:extLst>
            <a:ext uri="{FF2B5EF4-FFF2-40B4-BE49-F238E27FC236}">
              <a16:creationId xmlns:a16="http://schemas.microsoft.com/office/drawing/2014/main" id="{00000000-0008-0000-0100-0000E7040000}"/>
            </a:ext>
          </a:extLst>
        </xdr:cNvPr>
        <xdr:cNvSpPr>
          <a:spLocks noChangeShapeType="1"/>
        </xdr:cNvSpPr>
      </xdr:nvSpPr>
      <xdr:spPr bwMode="auto">
        <a:xfrm>
          <a:off x="5095875" y="36347400"/>
          <a:ext cx="0" cy="8096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381000</xdr:colOff>
      <xdr:row>501</xdr:row>
      <xdr:rowOff>28575</xdr:rowOff>
    </xdr:from>
    <xdr:to>
      <xdr:col>4</xdr:col>
      <xdr:colOff>561975</xdr:colOff>
      <xdr:row>501</xdr:row>
      <xdr:rowOff>28575</xdr:rowOff>
    </xdr:to>
    <xdr:sp macro="" textlink="">
      <xdr:nvSpPr>
        <xdr:cNvPr id="1324" name="Line 300">
          <a:extLst>
            <a:ext uri="{FF2B5EF4-FFF2-40B4-BE49-F238E27FC236}">
              <a16:creationId xmlns:a16="http://schemas.microsoft.com/office/drawing/2014/main" id="{00000000-0008-0000-0100-00002C050000}"/>
            </a:ext>
          </a:extLst>
        </xdr:cNvPr>
        <xdr:cNvSpPr>
          <a:spLocks noChangeShapeType="1"/>
        </xdr:cNvSpPr>
      </xdr:nvSpPr>
      <xdr:spPr bwMode="auto">
        <a:xfrm>
          <a:off x="2038350" y="82210275"/>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381000</xdr:colOff>
      <xdr:row>503</xdr:row>
      <xdr:rowOff>85725</xdr:rowOff>
    </xdr:from>
    <xdr:to>
      <xdr:col>4</xdr:col>
      <xdr:colOff>561975</xdr:colOff>
      <xdr:row>503</xdr:row>
      <xdr:rowOff>85725</xdr:rowOff>
    </xdr:to>
    <xdr:sp macro="" textlink="">
      <xdr:nvSpPr>
        <xdr:cNvPr id="1325" name="Line 301">
          <a:extLst>
            <a:ext uri="{FF2B5EF4-FFF2-40B4-BE49-F238E27FC236}">
              <a16:creationId xmlns:a16="http://schemas.microsoft.com/office/drawing/2014/main" id="{00000000-0008-0000-0100-00002D050000}"/>
            </a:ext>
          </a:extLst>
        </xdr:cNvPr>
        <xdr:cNvSpPr>
          <a:spLocks noChangeShapeType="1"/>
        </xdr:cNvSpPr>
      </xdr:nvSpPr>
      <xdr:spPr bwMode="auto">
        <a:xfrm>
          <a:off x="2038350" y="82591275"/>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501</xdr:row>
      <xdr:rowOff>28575</xdr:rowOff>
    </xdr:from>
    <xdr:to>
      <xdr:col>4</xdr:col>
      <xdr:colOff>466725</xdr:colOff>
      <xdr:row>503</xdr:row>
      <xdr:rowOff>85725</xdr:rowOff>
    </xdr:to>
    <xdr:sp macro="" textlink="">
      <xdr:nvSpPr>
        <xdr:cNvPr id="1326" name="Line 302">
          <a:extLst>
            <a:ext uri="{FF2B5EF4-FFF2-40B4-BE49-F238E27FC236}">
              <a16:creationId xmlns:a16="http://schemas.microsoft.com/office/drawing/2014/main" id="{00000000-0008-0000-0100-00002E050000}"/>
            </a:ext>
          </a:extLst>
        </xdr:cNvPr>
        <xdr:cNvSpPr>
          <a:spLocks noChangeShapeType="1"/>
        </xdr:cNvSpPr>
      </xdr:nvSpPr>
      <xdr:spPr bwMode="auto">
        <a:xfrm>
          <a:off x="2124075" y="82210275"/>
          <a:ext cx="0" cy="3810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504825</xdr:colOff>
      <xdr:row>501</xdr:row>
      <xdr:rowOff>28575</xdr:rowOff>
    </xdr:from>
    <xdr:to>
      <xdr:col>6</xdr:col>
      <xdr:colOff>0</xdr:colOff>
      <xdr:row>501</xdr:row>
      <xdr:rowOff>28575</xdr:rowOff>
    </xdr:to>
    <xdr:sp macro="" textlink="">
      <xdr:nvSpPr>
        <xdr:cNvPr id="1327" name="Line 303">
          <a:extLst>
            <a:ext uri="{FF2B5EF4-FFF2-40B4-BE49-F238E27FC236}">
              <a16:creationId xmlns:a16="http://schemas.microsoft.com/office/drawing/2014/main" id="{00000000-0008-0000-0100-00002F050000}"/>
            </a:ext>
          </a:extLst>
        </xdr:cNvPr>
        <xdr:cNvSpPr>
          <a:spLocks noChangeShapeType="1"/>
        </xdr:cNvSpPr>
      </xdr:nvSpPr>
      <xdr:spPr bwMode="auto">
        <a:xfrm>
          <a:off x="2781300" y="82210275"/>
          <a:ext cx="209550"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504825</xdr:colOff>
      <xdr:row>503</xdr:row>
      <xdr:rowOff>85725</xdr:rowOff>
    </xdr:from>
    <xdr:to>
      <xdr:col>6</xdr:col>
      <xdr:colOff>0</xdr:colOff>
      <xdr:row>503</xdr:row>
      <xdr:rowOff>85725</xdr:rowOff>
    </xdr:to>
    <xdr:sp macro="" textlink="">
      <xdr:nvSpPr>
        <xdr:cNvPr id="1328" name="Line 304">
          <a:extLst>
            <a:ext uri="{FF2B5EF4-FFF2-40B4-BE49-F238E27FC236}">
              <a16:creationId xmlns:a16="http://schemas.microsoft.com/office/drawing/2014/main" id="{00000000-0008-0000-0100-000030050000}"/>
            </a:ext>
          </a:extLst>
        </xdr:cNvPr>
        <xdr:cNvSpPr>
          <a:spLocks noChangeShapeType="1"/>
        </xdr:cNvSpPr>
      </xdr:nvSpPr>
      <xdr:spPr bwMode="auto">
        <a:xfrm>
          <a:off x="2781300" y="82591275"/>
          <a:ext cx="209550"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590550</xdr:colOff>
      <xdr:row>501</xdr:row>
      <xdr:rowOff>28575</xdr:rowOff>
    </xdr:from>
    <xdr:to>
      <xdr:col>5</xdr:col>
      <xdr:colOff>590550</xdr:colOff>
      <xdr:row>503</xdr:row>
      <xdr:rowOff>85725</xdr:rowOff>
    </xdr:to>
    <xdr:sp macro="" textlink="">
      <xdr:nvSpPr>
        <xdr:cNvPr id="1329" name="Line 305">
          <a:extLst>
            <a:ext uri="{FF2B5EF4-FFF2-40B4-BE49-F238E27FC236}">
              <a16:creationId xmlns:a16="http://schemas.microsoft.com/office/drawing/2014/main" id="{00000000-0008-0000-0100-000031050000}"/>
            </a:ext>
          </a:extLst>
        </xdr:cNvPr>
        <xdr:cNvSpPr>
          <a:spLocks noChangeShapeType="1"/>
        </xdr:cNvSpPr>
      </xdr:nvSpPr>
      <xdr:spPr bwMode="auto">
        <a:xfrm>
          <a:off x="2867025" y="82210275"/>
          <a:ext cx="0" cy="3810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561975</xdr:colOff>
      <xdr:row>501</xdr:row>
      <xdr:rowOff>28575</xdr:rowOff>
    </xdr:from>
    <xdr:to>
      <xdr:col>6</xdr:col>
      <xdr:colOff>742950</xdr:colOff>
      <xdr:row>501</xdr:row>
      <xdr:rowOff>28575</xdr:rowOff>
    </xdr:to>
    <xdr:sp macro="" textlink="">
      <xdr:nvSpPr>
        <xdr:cNvPr id="1330" name="Line 306">
          <a:extLst>
            <a:ext uri="{FF2B5EF4-FFF2-40B4-BE49-F238E27FC236}">
              <a16:creationId xmlns:a16="http://schemas.microsoft.com/office/drawing/2014/main" id="{00000000-0008-0000-0100-000032050000}"/>
            </a:ext>
          </a:extLst>
        </xdr:cNvPr>
        <xdr:cNvSpPr>
          <a:spLocks noChangeShapeType="1"/>
        </xdr:cNvSpPr>
      </xdr:nvSpPr>
      <xdr:spPr bwMode="auto">
        <a:xfrm>
          <a:off x="3552825" y="82210275"/>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552450</xdr:colOff>
      <xdr:row>503</xdr:row>
      <xdr:rowOff>85725</xdr:rowOff>
    </xdr:from>
    <xdr:to>
      <xdr:col>6</xdr:col>
      <xdr:colOff>733425</xdr:colOff>
      <xdr:row>503</xdr:row>
      <xdr:rowOff>85725</xdr:rowOff>
    </xdr:to>
    <xdr:sp macro="" textlink="">
      <xdr:nvSpPr>
        <xdr:cNvPr id="1331" name="Line 307">
          <a:extLst>
            <a:ext uri="{FF2B5EF4-FFF2-40B4-BE49-F238E27FC236}">
              <a16:creationId xmlns:a16="http://schemas.microsoft.com/office/drawing/2014/main" id="{00000000-0008-0000-0100-000033050000}"/>
            </a:ext>
          </a:extLst>
        </xdr:cNvPr>
        <xdr:cNvSpPr>
          <a:spLocks noChangeShapeType="1"/>
        </xdr:cNvSpPr>
      </xdr:nvSpPr>
      <xdr:spPr bwMode="auto">
        <a:xfrm>
          <a:off x="3543300" y="82591275"/>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647700</xdr:colOff>
      <xdr:row>501</xdr:row>
      <xdr:rowOff>28575</xdr:rowOff>
    </xdr:from>
    <xdr:to>
      <xdr:col>6</xdr:col>
      <xdr:colOff>647700</xdr:colOff>
      <xdr:row>503</xdr:row>
      <xdr:rowOff>85725</xdr:rowOff>
    </xdr:to>
    <xdr:sp macro="" textlink="">
      <xdr:nvSpPr>
        <xdr:cNvPr id="1332" name="Line 308">
          <a:extLst>
            <a:ext uri="{FF2B5EF4-FFF2-40B4-BE49-F238E27FC236}">
              <a16:creationId xmlns:a16="http://schemas.microsoft.com/office/drawing/2014/main" id="{00000000-0008-0000-0100-000034050000}"/>
            </a:ext>
          </a:extLst>
        </xdr:cNvPr>
        <xdr:cNvSpPr>
          <a:spLocks noChangeShapeType="1"/>
        </xdr:cNvSpPr>
      </xdr:nvSpPr>
      <xdr:spPr bwMode="auto">
        <a:xfrm>
          <a:off x="3638550" y="82210275"/>
          <a:ext cx="0" cy="3810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501</xdr:row>
      <xdr:rowOff>28575</xdr:rowOff>
    </xdr:from>
    <xdr:to>
      <xdr:col>7</xdr:col>
      <xdr:colOff>571500</xdr:colOff>
      <xdr:row>501</xdr:row>
      <xdr:rowOff>28575</xdr:rowOff>
    </xdr:to>
    <xdr:sp macro="" textlink="">
      <xdr:nvSpPr>
        <xdr:cNvPr id="1333" name="Line 309">
          <a:extLst>
            <a:ext uri="{FF2B5EF4-FFF2-40B4-BE49-F238E27FC236}">
              <a16:creationId xmlns:a16="http://schemas.microsoft.com/office/drawing/2014/main" id="{00000000-0008-0000-0100-000035050000}"/>
            </a:ext>
          </a:extLst>
        </xdr:cNvPr>
        <xdr:cNvSpPr>
          <a:spLocks noChangeShapeType="1"/>
        </xdr:cNvSpPr>
      </xdr:nvSpPr>
      <xdr:spPr bwMode="auto">
        <a:xfrm>
          <a:off x="4257675" y="82210275"/>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503</xdr:row>
      <xdr:rowOff>85725</xdr:rowOff>
    </xdr:from>
    <xdr:to>
      <xdr:col>7</xdr:col>
      <xdr:colOff>571500</xdr:colOff>
      <xdr:row>503</xdr:row>
      <xdr:rowOff>85725</xdr:rowOff>
    </xdr:to>
    <xdr:sp macro="" textlink="">
      <xdr:nvSpPr>
        <xdr:cNvPr id="1334" name="Line 310">
          <a:extLst>
            <a:ext uri="{FF2B5EF4-FFF2-40B4-BE49-F238E27FC236}">
              <a16:creationId xmlns:a16="http://schemas.microsoft.com/office/drawing/2014/main" id="{00000000-0008-0000-0100-000036050000}"/>
            </a:ext>
          </a:extLst>
        </xdr:cNvPr>
        <xdr:cNvSpPr>
          <a:spLocks noChangeShapeType="1"/>
        </xdr:cNvSpPr>
      </xdr:nvSpPr>
      <xdr:spPr bwMode="auto">
        <a:xfrm>
          <a:off x="4257675" y="82591275"/>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476250</xdr:colOff>
      <xdr:row>501</xdr:row>
      <xdr:rowOff>28575</xdr:rowOff>
    </xdr:from>
    <xdr:to>
      <xdr:col>7</xdr:col>
      <xdr:colOff>476250</xdr:colOff>
      <xdr:row>503</xdr:row>
      <xdr:rowOff>85725</xdr:rowOff>
    </xdr:to>
    <xdr:sp macro="" textlink="">
      <xdr:nvSpPr>
        <xdr:cNvPr id="1335" name="Line 311">
          <a:extLst>
            <a:ext uri="{FF2B5EF4-FFF2-40B4-BE49-F238E27FC236}">
              <a16:creationId xmlns:a16="http://schemas.microsoft.com/office/drawing/2014/main" id="{00000000-0008-0000-0100-000037050000}"/>
            </a:ext>
          </a:extLst>
        </xdr:cNvPr>
        <xdr:cNvSpPr>
          <a:spLocks noChangeShapeType="1"/>
        </xdr:cNvSpPr>
      </xdr:nvSpPr>
      <xdr:spPr bwMode="auto">
        <a:xfrm>
          <a:off x="4343400" y="82210275"/>
          <a:ext cx="0" cy="3810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504825</xdr:colOff>
      <xdr:row>501</xdr:row>
      <xdr:rowOff>28575</xdr:rowOff>
    </xdr:from>
    <xdr:to>
      <xdr:col>9</xdr:col>
      <xdr:colOff>76200</xdr:colOff>
      <xdr:row>501</xdr:row>
      <xdr:rowOff>28575</xdr:rowOff>
    </xdr:to>
    <xdr:sp macro="" textlink="">
      <xdr:nvSpPr>
        <xdr:cNvPr id="1336" name="Line 312">
          <a:extLst>
            <a:ext uri="{FF2B5EF4-FFF2-40B4-BE49-F238E27FC236}">
              <a16:creationId xmlns:a16="http://schemas.microsoft.com/office/drawing/2014/main" id="{00000000-0008-0000-0100-000038050000}"/>
            </a:ext>
          </a:extLst>
        </xdr:cNvPr>
        <xdr:cNvSpPr>
          <a:spLocks noChangeShapeType="1"/>
        </xdr:cNvSpPr>
      </xdr:nvSpPr>
      <xdr:spPr bwMode="auto">
        <a:xfrm>
          <a:off x="4981575" y="82210275"/>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504825</xdr:colOff>
      <xdr:row>503</xdr:row>
      <xdr:rowOff>85725</xdr:rowOff>
    </xdr:from>
    <xdr:to>
      <xdr:col>9</xdr:col>
      <xdr:colOff>76200</xdr:colOff>
      <xdr:row>503</xdr:row>
      <xdr:rowOff>85725</xdr:rowOff>
    </xdr:to>
    <xdr:sp macro="" textlink="">
      <xdr:nvSpPr>
        <xdr:cNvPr id="1337" name="Line 313">
          <a:extLst>
            <a:ext uri="{FF2B5EF4-FFF2-40B4-BE49-F238E27FC236}">
              <a16:creationId xmlns:a16="http://schemas.microsoft.com/office/drawing/2014/main" id="{00000000-0008-0000-0100-000039050000}"/>
            </a:ext>
          </a:extLst>
        </xdr:cNvPr>
        <xdr:cNvSpPr>
          <a:spLocks noChangeShapeType="1"/>
        </xdr:cNvSpPr>
      </xdr:nvSpPr>
      <xdr:spPr bwMode="auto">
        <a:xfrm>
          <a:off x="4981575" y="82591275"/>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590550</xdr:colOff>
      <xdr:row>501</xdr:row>
      <xdr:rowOff>28575</xdr:rowOff>
    </xdr:from>
    <xdr:to>
      <xdr:col>8</xdr:col>
      <xdr:colOff>590550</xdr:colOff>
      <xdr:row>503</xdr:row>
      <xdr:rowOff>85725</xdr:rowOff>
    </xdr:to>
    <xdr:sp macro="" textlink="">
      <xdr:nvSpPr>
        <xdr:cNvPr id="1338" name="Line 314">
          <a:extLst>
            <a:ext uri="{FF2B5EF4-FFF2-40B4-BE49-F238E27FC236}">
              <a16:creationId xmlns:a16="http://schemas.microsoft.com/office/drawing/2014/main" id="{00000000-0008-0000-0100-00003A050000}"/>
            </a:ext>
          </a:extLst>
        </xdr:cNvPr>
        <xdr:cNvSpPr>
          <a:spLocks noChangeShapeType="1"/>
        </xdr:cNvSpPr>
      </xdr:nvSpPr>
      <xdr:spPr bwMode="auto">
        <a:xfrm>
          <a:off x="5067300" y="82210275"/>
          <a:ext cx="0" cy="3810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190500</xdr:colOff>
      <xdr:row>500</xdr:row>
      <xdr:rowOff>66675</xdr:rowOff>
    </xdr:from>
    <xdr:to>
      <xdr:col>9</xdr:col>
      <xdr:colOff>266700</xdr:colOff>
      <xdr:row>500</xdr:row>
      <xdr:rowOff>142875</xdr:rowOff>
    </xdr:to>
    <xdr:sp macro="" textlink="">
      <xdr:nvSpPr>
        <xdr:cNvPr id="1339" name="Rectangle 315">
          <a:extLst>
            <a:ext uri="{FF2B5EF4-FFF2-40B4-BE49-F238E27FC236}">
              <a16:creationId xmlns:a16="http://schemas.microsoft.com/office/drawing/2014/main" id="{00000000-0008-0000-0100-00003B050000}"/>
            </a:ext>
          </a:extLst>
        </xdr:cNvPr>
        <xdr:cNvSpPr>
          <a:spLocks noChangeArrowheads="1"/>
        </xdr:cNvSpPr>
      </xdr:nvSpPr>
      <xdr:spPr bwMode="auto">
        <a:xfrm>
          <a:off x="1847850" y="82086450"/>
          <a:ext cx="3505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190500</xdr:colOff>
      <xdr:row>498</xdr:row>
      <xdr:rowOff>76200</xdr:rowOff>
    </xdr:from>
    <xdr:to>
      <xdr:col>4</xdr:col>
      <xdr:colOff>266700</xdr:colOff>
      <xdr:row>500</xdr:row>
      <xdr:rowOff>66675</xdr:rowOff>
    </xdr:to>
    <xdr:sp macro="" textlink="">
      <xdr:nvSpPr>
        <xdr:cNvPr id="1340" name="Rectangle 316">
          <a:extLst>
            <a:ext uri="{FF2B5EF4-FFF2-40B4-BE49-F238E27FC236}">
              <a16:creationId xmlns:a16="http://schemas.microsoft.com/office/drawing/2014/main" id="{00000000-0008-0000-0100-00003C050000}"/>
            </a:ext>
          </a:extLst>
        </xdr:cNvPr>
        <xdr:cNvSpPr>
          <a:spLocks noChangeArrowheads="1"/>
        </xdr:cNvSpPr>
      </xdr:nvSpPr>
      <xdr:spPr bwMode="auto">
        <a:xfrm>
          <a:off x="1847850" y="81772125"/>
          <a:ext cx="7620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190500</xdr:colOff>
      <xdr:row>498</xdr:row>
      <xdr:rowOff>76200</xdr:rowOff>
    </xdr:from>
    <xdr:to>
      <xdr:col>9</xdr:col>
      <xdr:colOff>266700</xdr:colOff>
      <xdr:row>500</xdr:row>
      <xdr:rowOff>66675</xdr:rowOff>
    </xdr:to>
    <xdr:sp macro="" textlink="">
      <xdr:nvSpPr>
        <xdr:cNvPr id="1341" name="Rectangle 317">
          <a:extLst>
            <a:ext uri="{FF2B5EF4-FFF2-40B4-BE49-F238E27FC236}">
              <a16:creationId xmlns:a16="http://schemas.microsoft.com/office/drawing/2014/main" id="{00000000-0008-0000-0100-00003D050000}"/>
            </a:ext>
          </a:extLst>
        </xdr:cNvPr>
        <xdr:cNvSpPr>
          <a:spLocks noChangeArrowheads="1"/>
        </xdr:cNvSpPr>
      </xdr:nvSpPr>
      <xdr:spPr bwMode="auto">
        <a:xfrm>
          <a:off x="5276850" y="81772125"/>
          <a:ext cx="7620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381000</xdr:colOff>
      <xdr:row>498</xdr:row>
      <xdr:rowOff>76200</xdr:rowOff>
    </xdr:from>
    <xdr:to>
      <xdr:col>4</xdr:col>
      <xdr:colOff>0</xdr:colOff>
      <xdr:row>498</xdr:row>
      <xdr:rowOff>76200</xdr:rowOff>
    </xdr:to>
    <xdr:sp macro="" textlink="">
      <xdr:nvSpPr>
        <xdr:cNvPr id="1342" name="Line 318">
          <a:extLst>
            <a:ext uri="{FF2B5EF4-FFF2-40B4-BE49-F238E27FC236}">
              <a16:creationId xmlns:a16="http://schemas.microsoft.com/office/drawing/2014/main" id="{00000000-0008-0000-0100-00003E050000}"/>
            </a:ext>
          </a:extLst>
        </xdr:cNvPr>
        <xdr:cNvSpPr>
          <a:spLocks noChangeShapeType="1"/>
        </xdr:cNvSpPr>
      </xdr:nvSpPr>
      <xdr:spPr bwMode="auto">
        <a:xfrm>
          <a:off x="1409700" y="81772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381000</xdr:colOff>
      <xdr:row>499</xdr:row>
      <xdr:rowOff>57150</xdr:rowOff>
    </xdr:from>
    <xdr:to>
      <xdr:col>4</xdr:col>
      <xdr:colOff>0</xdr:colOff>
      <xdr:row>499</xdr:row>
      <xdr:rowOff>57150</xdr:rowOff>
    </xdr:to>
    <xdr:sp macro="" textlink="">
      <xdr:nvSpPr>
        <xdr:cNvPr id="1343" name="Line 319">
          <a:extLst>
            <a:ext uri="{FF2B5EF4-FFF2-40B4-BE49-F238E27FC236}">
              <a16:creationId xmlns:a16="http://schemas.microsoft.com/office/drawing/2014/main" id="{00000000-0008-0000-0100-00003F050000}"/>
            </a:ext>
          </a:extLst>
        </xdr:cNvPr>
        <xdr:cNvSpPr>
          <a:spLocks noChangeShapeType="1"/>
        </xdr:cNvSpPr>
      </xdr:nvSpPr>
      <xdr:spPr bwMode="auto">
        <a:xfrm>
          <a:off x="1409700" y="819150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381000</xdr:colOff>
      <xdr:row>500</xdr:row>
      <xdr:rowOff>38100</xdr:rowOff>
    </xdr:from>
    <xdr:to>
      <xdr:col>4</xdr:col>
      <xdr:colOff>0</xdr:colOff>
      <xdr:row>500</xdr:row>
      <xdr:rowOff>38100</xdr:rowOff>
    </xdr:to>
    <xdr:sp macro="" textlink="">
      <xdr:nvSpPr>
        <xdr:cNvPr id="1344" name="Line 320">
          <a:extLst>
            <a:ext uri="{FF2B5EF4-FFF2-40B4-BE49-F238E27FC236}">
              <a16:creationId xmlns:a16="http://schemas.microsoft.com/office/drawing/2014/main" id="{00000000-0008-0000-0100-000040050000}"/>
            </a:ext>
          </a:extLst>
        </xdr:cNvPr>
        <xdr:cNvSpPr>
          <a:spLocks noChangeShapeType="1"/>
        </xdr:cNvSpPr>
      </xdr:nvSpPr>
      <xdr:spPr bwMode="auto">
        <a:xfrm>
          <a:off x="1409700" y="8205787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381000</xdr:colOff>
      <xdr:row>501</xdr:row>
      <xdr:rowOff>19050</xdr:rowOff>
    </xdr:from>
    <xdr:to>
      <xdr:col>4</xdr:col>
      <xdr:colOff>0</xdr:colOff>
      <xdr:row>501</xdr:row>
      <xdr:rowOff>19050</xdr:rowOff>
    </xdr:to>
    <xdr:sp macro="" textlink="">
      <xdr:nvSpPr>
        <xdr:cNvPr id="1345" name="Line 321">
          <a:extLst>
            <a:ext uri="{FF2B5EF4-FFF2-40B4-BE49-F238E27FC236}">
              <a16:creationId xmlns:a16="http://schemas.microsoft.com/office/drawing/2014/main" id="{00000000-0008-0000-0100-000041050000}"/>
            </a:ext>
          </a:extLst>
        </xdr:cNvPr>
        <xdr:cNvSpPr>
          <a:spLocks noChangeShapeType="1"/>
        </xdr:cNvSpPr>
      </xdr:nvSpPr>
      <xdr:spPr bwMode="auto">
        <a:xfrm>
          <a:off x="1409700" y="8220075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381000</xdr:colOff>
      <xdr:row>502</xdr:row>
      <xdr:rowOff>0</xdr:rowOff>
    </xdr:from>
    <xdr:to>
      <xdr:col>4</xdr:col>
      <xdr:colOff>0</xdr:colOff>
      <xdr:row>502</xdr:row>
      <xdr:rowOff>0</xdr:rowOff>
    </xdr:to>
    <xdr:sp macro="" textlink="">
      <xdr:nvSpPr>
        <xdr:cNvPr id="1346" name="Line 322">
          <a:extLst>
            <a:ext uri="{FF2B5EF4-FFF2-40B4-BE49-F238E27FC236}">
              <a16:creationId xmlns:a16="http://schemas.microsoft.com/office/drawing/2014/main" id="{00000000-0008-0000-0100-000042050000}"/>
            </a:ext>
          </a:extLst>
        </xdr:cNvPr>
        <xdr:cNvSpPr>
          <a:spLocks noChangeShapeType="1"/>
        </xdr:cNvSpPr>
      </xdr:nvSpPr>
      <xdr:spPr bwMode="auto">
        <a:xfrm>
          <a:off x="1409700" y="823436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381000</xdr:colOff>
      <xdr:row>502</xdr:row>
      <xdr:rowOff>142875</xdr:rowOff>
    </xdr:from>
    <xdr:to>
      <xdr:col>4</xdr:col>
      <xdr:colOff>0</xdr:colOff>
      <xdr:row>502</xdr:row>
      <xdr:rowOff>142875</xdr:rowOff>
    </xdr:to>
    <xdr:sp macro="" textlink="">
      <xdr:nvSpPr>
        <xdr:cNvPr id="1347" name="Line 323">
          <a:extLst>
            <a:ext uri="{FF2B5EF4-FFF2-40B4-BE49-F238E27FC236}">
              <a16:creationId xmlns:a16="http://schemas.microsoft.com/office/drawing/2014/main" id="{00000000-0008-0000-0100-000043050000}"/>
            </a:ext>
          </a:extLst>
        </xdr:cNvPr>
        <xdr:cNvSpPr>
          <a:spLocks noChangeShapeType="1"/>
        </xdr:cNvSpPr>
      </xdr:nvSpPr>
      <xdr:spPr bwMode="auto">
        <a:xfrm>
          <a:off x="1409700" y="824865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381000</xdr:colOff>
      <xdr:row>503</xdr:row>
      <xdr:rowOff>123825</xdr:rowOff>
    </xdr:from>
    <xdr:to>
      <xdr:col>4</xdr:col>
      <xdr:colOff>0</xdr:colOff>
      <xdr:row>503</xdr:row>
      <xdr:rowOff>123825</xdr:rowOff>
    </xdr:to>
    <xdr:sp macro="" textlink="">
      <xdr:nvSpPr>
        <xdr:cNvPr id="1348" name="Line 324">
          <a:extLst>
            <a:ext uri="{FF2B5EF4-FFF2-40B4-BE49-F238E27FC236}">
              <a16:creationId xmlns:a16="http://schemas.microsoft.com/office/drawing/2014/main" id="{00000000-0008-0000-0100-000044050000}"/>
            </a:ext>
          </a:extLst>
        </xdr:cNvPr>
        <xdr:cNvSpPr>
          <a:spLocks noChangeShapeType="1"/>
        </xdr:cNvSpPr>
      </xdr:nvSpPr>
      <xdr:spPr bwMode="auto">
        <a:xfrm>
          <a:off x="1409700" y="8262937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381000</xdr:colOff>
      <xdr:row>498</xdr:row>
      <xdr:rowOff>76200</xdr:rowOff>
    </xdr:from>
    <xdr:to>
      <xdr:col>3</xdr:col>
      <xdr:colOff>381000</xdr:colOff>
      <xdr:row>503</xdr:row>
      <xdr:rowOff>123825</xdr:rowOff>
    </xdr:to>
    <xdr:sp macro="" textlink="">
      <xdr:nvSpPr>
        <xdr:cNvPr id="1350" name="Line 326">
          <a:extLst>
            <a:ext uri="{FF2B5EF4-FFF2-40B4-BE49-F238E27FC236}">
              <a16:creationId xmlns:a16="http://schemas.microsoft.com/office/drawing/2014/main" id="{00000000-0008-0000-0100-000046050000}"/>
            </a:ext>
          </a:extLst>
        </xdr:cNvPr>
        <xdr:cNvSpPr>
          <a:spLocks noChangeShapeType="1"/>
        </xdr:cNvSpPr>
      </xdr:nvSpPr>
      <xdr:spPr bwMode="auto">
        <a:xfrm>
          <a:off x="1409700" y="81772125"/>
          <a:ext cx="0" cy="857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19050</xdr:colOff>
      <xdr:row>501</xdr:row>
      <xdr:rowOff>114300</xdr:rowOff>
    </xdr:from>
    <xdr:ext cx="733425" cy="361950"/>
    <xdr:sp macro="" textlink="">
      <xdr:nvSpPr>
        <xdr:cNvPr id="1351" name="Text Box 327">
          <a:extLst>
            <a:ext uri="{FF2B5EF4-FFF2-40B4-BE49-F238E27FC236}">
              <a16:creationId xmlns:a16="http://schemas.microsoft.com/office/drawing/2014/main" id="{00000000-0008-0000-0100-000047050000}"/>
            </a:ext>
          </a:extLst>
        </xdr:cNvPr>
        <xdr:cNvSpPr txBox="1">
          <a:spLocks noChangeArrowheads="1"/>
        </xdr:cNvSpPr>
      </xdr:nvSpPr>
      <xdr:spPr bwMode="auto">
        <a:xfrm>
          <a:off x="666750" y="82296000"/>
          <a:ext cx="73342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wind force</a:t>
          </a:r>
        </a:p>
        <a:p>
          <a:pPr algn="l" rtl="0">
            <a:defRPr sz="1000"/>
          </a:pPr>
          <a:r>
            <a:rPr lang="en-US" sz="1000" b="0" i="0" u="none" strike="noStrike" baseline="0">
              <a:solidFill>
                <a:srgbClr val="000000"/>
              </a:solidFill>
              <a:latin typeface="Arial"/>
              <a:cs typeface="Arial"/>
            </a:rPr>
            <a:t>on structure</a:t>
          </a:r>
        </a:p>
      </xdr:txBody>
    </xdr:sp>
    <xdr:clientData/>
  </xdr:oneCellAnchor>
  <xdr:twoCellAnchor>
    <xdr:from>
      <xdr:col>4</xdr:col>
      <xdr:colOff>466725</xdr:colOff>
      <xdr:row>503</xdr:row>
      <xdr:rowOff>123825</xdr:rowOff>
    </xdr:from>
    <xdr:to>
      <xdr:col>4</xdr:col>
      <xdr:colOff>466725</xdr:colOff>
      <xdr:row>507</xdr:row>
      <xdr:rowOff>123825</xdr:rowOff>
    </xdr:to>
    <xdr:sp macro="" textlink="">
      <xdr:nvSpPr>
        <xdr:cNvPr id="1354" name="Line 330">
          <a:extLst>
            <a:ext uri="{FF2B5EF4-FFF2-40B4-BE49-F238E27FC236}">
              <a16:creationId xmlns:a16="http://schemas.microsoft.com/office/drawing/2014/main" id="{00000000-0008-0000-0100-00004A050000}"/>
            </a:ext>
          </a:extLst>
        </xdr:cNvPr>
        <xdr:cNvSpPr>
          <a:spLocks noChangeShapeType="1"/>
        </xdr:cNvSpPr>
      </xdr:nvSpPr>
      <xdr:spPr bwMode="auto">
        <a:xfrm>
          <a:off x="2124075" y="82629375"/>
          <a:ext cx="0" cy="64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590550</xdr:colOff>
      <xdr:row>503</xdr:row>
      <xdr:rowOff>123825</xdr:rowOff>
    </xdr:from>
    <xdr:to>
      <xdr:col>5</xdr:col>
      <xdr:colOff>590550</xdr:colOff>
      <xdr:row>505</xdr:row>
      <xdr:rowOff>123825</xdr:rowOff>
    </xdr:to>
    <xdr:sp macro="" textlink="">
      <xdr:nvSpPr>
        <xdr:cNvPr id="1355" name="Line 331">
          <a:extLst>
            <a:ext uri="{FF2B5EF4-FFF2-40B4-BE49-F238E27FC236}">
              <a16:creationId xmlns:a16="http://schemas.microsoft.com/office/drawing/2014/main" id="{00000000-0008-0000-0100-00004B050000}"/>
            </a:ext>
          </a:extLst>
        </xdr:cNvPr>
        <xdr:cNvSpPr>
          <a:spLocks noChangeShapeType="1"/>
        </xdr:cNvSpPr>
      </xdr:nvSpPr>
      <xdr:spPr bwMode="auto">
        <a:xfrm>
          <a:off x="2867025" y="826293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590550</xdr:colOff>
      <xdr:row>503</xdr:row>
      <xdr:rowOff>114300</xdr:rowOff>
    </xdr:from>
    <xdr:to>
      <xdr:col>8</xdr:col>
      <xdr:colOff>590550</xdr:colOff>
      <xdr:row>507</xdr:row>
      <xdr:rowOff>133350</xdr:rowOff>
    </xdr:to>
    <xdr:sp macro="" textlink="">
      <xdr:nvSpPr>
        <xdr:cNvPr id="1356" name="Line 332">
          <a:extLst>
            <a:ext uri="{FF2B5EF4-FFF2-40B4-BE49-F238E27FC236}">
              <a16:creationId xmlns:a16="http://schemas.microsoft.com/office/drawing/2014/main" id="{00000000-0008-0000-0100-00004C050000}"/>
            </a:ext>
          </a:extLst>
        </xdr:cNvPr>
        <xdr:cNvSpPr>
          <a:spLocks noChangeShapeType="1"/>
        </xdr:cNvSpPr>
      </xdr:nvSpPr>
      <xdr:spPr bwMode="auto">
        <a:xfrm flipH="1" flipV="1">
          <a:off x="5067300" y="82619850"/>
          <a:ext cx="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476250</xdr:colOff>
      <xdr:row>503</xdr:row>
      <xdr:rowOff>114300</xdr:rowOff>
    </xdr:from>
    <xdr:to>
      <xdr:col>7</xdr:col>
      <xdr:colOff>476250</xdr:colOff>
      <xdr:row>505</xdr:row>
      <xdr:rowOff>114300</xdr:rowOff>
    </xdr:to>
    <xdr:sp macro="" textlink="">
      <xdr:nvSpPr>
        <xdr:cNvPr id="1357" name="Line 333">
          <a:extLst>
            <a:ext uri="{FF2B5EF4-FFF2-40B4-BE49-F238E27FC236}">
              <a16:creationId xmlns:a16="http://schemas.microsoft.com/office/drawing/2014/main" id="{00000000-0008-0000-0100-00004D050000}"/>
            </a:ext>
          </a:extLst>
        </xdr:cNvPr>
        <xdr:cNvSpPr>
          <a:spLocks noChangeShapeType="1"/>
        </xdr:cNvSpPr>
      </xdr:nvSpPr>
      <xdr:spPr bwMode="auto">
        <a:xfrm flipH="1" flipV="1">
          <a:off x="4343400" y="8261985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247650</xdr:colOff>
      <xdr:row>601</xdr:row>
      <xdr:rowOff>104775</xdr:rowOff>
    </xdr:from>
    <xdr:to>
      <xdr:col>4</xdr:col>
      <xdr:colOff>428625</xdr:colOff>
      <xdr:row>601</xdr:row>
      <xdr:rowOff>104775</xdr:rowOff>
    </xdr:to>
    <xdr:sp macro="" textlink="">
      <xdr:nvSpPr>
        <xdr:cNvPr id="1362" name="Line 338">
          <a:extLst>
            <a:ext uri="{FF2B5EF4-FFF2-40B4-BE49-F238E27FC236}">
              <a16:creationId xmlns:a16="http://schemas.microsoft.com/office/drawing/2014/main" id="{00000000-0008-0000-0100-000052050000}"/>
            </a:ext>
          </a:extLst>
        </xdr:cNvPr>
        <xdr:cNvSpPr>
          <a:spLocks noChangeShapeType="1"/>
        </xdr:cNvSpPr>
      </xdr:nvSpPr>
      <xdr:spPr bwMode="auto">
        <a:xfrm>
          <a:off x="1905000" y="98945700"/>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247650</xdr:colOff>
      <xdr:row>604</xdr:row>
      <xdr:rowOff>0</xdr:rowOff>
    </xdr:from>
    <xdr:to>
      <xdr:col>4</xdr:col>
      <xdr:colOff>428625</xdr:colOff>
      <xdr:row>604</xdr:row>
      <xdr:rowOff>0</xdr:rowOff>
    </xdr:to>
    <xdr:sp macro="" textlink="">
      <xdr:nvSpPr>
        <xdr:cNvPr id="1363" name="Line 339">
          <a:extLst>
            <a:ext uri="{FF2B5EF4-FFF2-40B4-BE49-F238E27FC236}">
              <a16:creationId xmlns:a16="http://schemas.microsoft.com/office/drawing/2014/main" id="{00000000-0008-0000-0100-000053050000}"/>
            </a:ext>
          </a:extLst>
        </xdr:cNvPr>
        <xdr:cNvSpPr>
          <a:spLocks noChangeShapeType="1"/>
        </xdr:cNvSpPr>
      </xdr:nvSpPr>
      <xdr:spPr bwMode="auto">
        <a:xfrm>
          <a:off x="1905000" y="99326700"/>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333375</xdr:colOff>
      <xdr:row>601</xdr:row>
      <xdr:rowOff>104775</xdr:rowOff>
    </xdr:from>
    <xdr:to>
      <xdr:col>4</xdr:col>
      <xdr:colOff>333375</xdr:colOff>
      <xdr:row>604</xdr:row>
      <xdr:rowOff>0</xdr:rowOff>
    </xdr:to>
    <xdr:sp macro="" textlink="">
      <xdr:nvSpPr>
        <xdr:cNvPr id="1364" name="Line 340">
          <a:extLst>
            <a:ext uri="{FF2B5EF4-FFF2-40B4-BE49-F238E27FC236}">
              <a16:creationId xmlns:a16="http://schemas.microsoft.com/office/drawing/2014/main" id="{00000000-0008-0000-0100-000054050000}"/>
            </a:ext>
          </a:extLst>
        </xdr:cNvPr>
        <xdr:cNvSpPr>
          <a:spLocks noChangeShapeType="1"/>
        </xdr:cNvSpPr>
      </xdr:nvSpPr>
      <xdr:spPr bwMode="auto">
        <a:xfrm>
          <a:off x="1990725" y="98945700"/>
          <a:ext cx="0" cy="3810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371475</xdr:colOff>
      <xdr:row>601</xdr:row>
      <xdr:rowOff>104775</xdr:rowOff>
    </xdr:from>
    <xdr:to>
      <xdr:col>5</xdr:col>
      <xdr:colOff>552450</xdr:colOff>
      <xdr:row>601</xdr:row>
      <xdr:rowOff>104775</xdr:rowOff>
    </xdr:to>
    <xdr:sp macro="" textlink="">
      <xdr:nvSpPr>
        <xdr:cNvPr id="1365" name="Line 341">
          <a:extLst>
            <a:ext uri="{FF2B5EF4-FFF2-40B4-BE49-F238E27FC236}">
              <a16:creationId xmlns:a16="http://schemas.microsoft.com/office/drawing/2014/main" id="{00000000-0008-0000-0100-000055050000}"/>
            </a:ext>
          </a:extLst>
        </xdr:cNvPr>
        <xdr:cNvSpPr>
          <a:spLocks noChangeShapeType="1"/>
        </xdr:cNvSpPr>
      </xdr:nvSpPr>
      <xdr:spPr bwMode="auto">
        <a:xfrm>
          <a:off x="2647950" y="98945700"/>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371475</xdr:colOff>
      <xdr:row>604</xdr:row>
      <xdr:rowOff>0</xdr:rowOff>
    </xdr:from>
    <xdr:to>
      <xdr:col>5</xdr:col>
      <xdr:colOff>552450</xdr:colOff>
      <xdr:row>604</xdr:row>
      <xdr:rowOff>0</xdr:rowOff>
    </xdr:to>
    <xdr:sp macro="" textlink="">
      <xdr:nvSpPr>
        <xdr:cNvPr id="1366" name="Line 342">
          <a:extLst>
            <a:ext uri="{FF2B5EF4-FFF2-40B4-BE49-F238E27FC236}">
              <a16:creationId xmlns:a16="http://schemas.microsoft.com/office/drawing/2014/main" id="{00000000-0008-0000-0100-000056050000}"/>
            </a:ext>
          </a:extLst>
        </xdr:cNvPr>
        <xdr:cNvSpPr>
          <a:spLocks noChangeShapeType="1"/>
        </xdr:cNvSpPr>
      </xdr:nvSpPr>
      <xdr:spPr bwMode="auto">
        <a:xfrm>
          <a:off x="2647950" y="99326700"/>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601</xdr:row>
      <xdr:rowOff>104775</xdr:rowOff>
    </xdr:from>
    <xdr:to>
      <xdr:col>5</xdr:col>
      <xdr:colOff>457200</xdr:colOff>
      <xdr:row>604</xdr:row>
      <xdr:rowOff>0</xdr:rowOff>
    </xdr:to>
    <xdr:sp macro="" textlink="">
      <xdr:nvSpPr>
        <xdr:cNvPr id="1367" name="Line 343">
          <a:extLst>
            <a:ext uri="{FF2B5EF4-FFF2-40B4-BE49-F238E27FC236}">
              <a16:creationId xmlns:a16="http://schemas.microsoft.com/office/drawing/2014/main" id="{00000000-0008-0000-0100-000057050000}"/>
            </a:ext>
          </a:extLst>
        </xdr:cNvPr>
        <xdr:cNvSpPr>
          <a:spLocks noChangeShapeType="1"/>
        </xdr:cNvSpPr>
      </xdr:nvSpPr>
      <xdr:spPr bwMode="auto">
        <a:xfrm>
          <a:off x="2733675" y="98945700"/>
          <a:ext cx="0" cy="3810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428625</xdr:colOff>
      <xdr:row>601</xdr:row>
      <xdr:rowOff>104775</xdr:rowOff>
    </xdr:from>
    <xdr:to>
      <xdr:col>6</xdr:col>
      <xdr:colOff>609600</xdr:colOff>
      <xdr:row>601</xdr:row>
      <xdr:rowOff>104775</xdr:rowOff>
    </xdr:to>
    <xdr:sp macro="" textlink="">
      <xdr:nvSpPr>
        <xdr:cNvPr id="1368" name="Line 344">
          <a:extLst>
            <a:ext uri="{FF2B5EF4-FFF2-40B4-BE49-F238E27FC236}">
              <a16:creationId xmlns:a16="http://schemas.microsoft.com/office/drawing/2014/main" id="{00000000-0008-0000-0100-000058050000}"/>
            </a:ext>
          </a:extLst>
        </xdr:cNvPr>
        <xdr:cNvSpPr>
          <a:spLocks noChangeShapeType="1"/>
        </xdr:cNvSpPr>
      </xdr:nvSpPr>
      <xdr:spPr bwMode="auto">
        <a:xfrm>
          <a:off x="3419475" y="98945700"/>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419100</xdr:colOff>
      <xdr:row>604</xdr:row>
      <xdr:rowOff>0</xdr:rowOff>
    </xdr:from>
    <xdr:to>
      <xdr:col>6</xdr:col>
      <xdr:colOff>600075</xdr:colOff>
      <xdr:row>604</xdr:row>
      <xdr:rowOff>0</xdr:rowOff>
    </xdr:to>
    <xdr:sp macro="" textlink="">
      <xdr:nvSpPr>
        <xdr:cNvPr id="1369" name="Line 345">
          <a:extLst>
            <a:ext uri="{FF2B5EF4-FFF2-40B4-BE49-F238E27FC236}">
              <a16:creationId xmlns:a16="http://schemas.microsoft.com/office/drawing/2014/main" id="{00000000-0008-0000-0100-000059050000}"/>
            </a:ext>
          </a:extLst>
        </xdr:cNvPr>
        <xdr:cNvSpPr>
          <a:spLocks noChangeShapeType="1"/>
        </xdr:cNvSpPr>
      </xdr:nvSpPr>
      <xdr:spPr bwMode="auto">
        <a:xfrm>
          <a:off x="3409950" y="99326700"/>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514350</xdr:colOff>
      <xdr:row>601</xdr:row>
      <xdr:rowOff>104775</xdr:rowOff>
    </xdr:from>
    <xdr:to>
      <xdr:col>6</xdr:col>
      <xdr:colOff>514350</xdr:colOff>
      <xdr:row>604</xdr:row>
      <xdr:rowOff>0</xdr:rowOff>
    </xdr:to>
    <xdr:sp macro="" textlink="">
      <xdr:nvSpPr>
        <xdr:cNvPr id="1370" name="Line 346">
          <a:extLst>
            <a:ext uri="{FF2B5EF4-FFF2-40B4-BE49-F238E27FC236}">
              <a16:creationId xmlns:a16="http://schemas.microsoft.com/office/drawing/2014/main" id="{00000000-0008-0000-0100-00005A050000}"/>
            </a:ext>
          </a:extLst>
        </xdr:cNvPr>
        <xdr:cNvSpPr>
          <a:spLocks noChangeShapeType="1"/>
        </xdr:cNvSpPr>
      </xdr:nvSpPr>
      <xdr:spPr bwMode="auto">
        <a:xfrm>
          <a:off x="3505200" y="98945700"/>
          <a:ext cx="0" cy="3810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257175</xdr:colOff>
      <xdr:row>601</xdr:row>
      <xdr:rowOff>104775</xdr:rowOff>
    </xdr:from>
    <xdr:to>
      <xdr:col>7</xdr:col>
      <xdr:colOff>438150</xdr:colOff>
      <xdr:row>601</xdr:row>
      <xdr:rowOff>104775</xdr:rowOff>
    </xdr:to>
    <xdr:sp macro="" textlink="">
      <xdr:nvSpPr>
        <xdr:cNvPr id="1371" name="Line 347">
          <a:extLst>
            <a:ext uri="{FF2B5EF4-FFF2-40B4-BE49-F238E27FC236}">
              <a16:creationId xmlns:a16="http://schemas.microsoft.com/office/drawing/2014/main" id="{00000000-0008-0000-0100-00005B050000}"/>
            </a:ext>
          </a:extLst>
        </xdr:cNvPr>
        <xdr:cNvSpPr>
          <a:spLocks noChangeShapeType="1"/>
        </xdr:cNvSpPr>
      </xdr:nvSpPr>
      <xdr:spPr bwMode="auto">
        <a:xfrm>
          <a:off x="4124325" y="98945700"/>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257175</xdr:colOff>
      <xdr:row>604</xdr:row>
      <xdr:rowOff>0</xdr:rowOff>
    </xdr:from>
    <xdr:to>
      <xdr:col>7</xdr:col>
      <xdr:colOff>438150</xdr:colOff>
      <xdr:row>604</xdr:row>
      <xdr:rowOff>0</xdr:rowOff>
    </xdr:to>
    <xdr:sp macro="" textlink="">
      <xdr:nvSpPr>
        <xdr:cNvPr id="1372" name="Line 348">
          <a:extLst>
            <a:ext uri="{FF2B5EF4-FFF2-40B4-BE49-F238E27FC236}">
              <a16:creationId xmlns:a16="http://schemas.microsoft.com/office/drawing/2014/main" id="{00000000-0008-0000-0100-00005C050000}"/>
            </a:ext>
          </a:extLst>
        </xdr:cNvPr>
        <xdr:cNvSpPr>
          <a:spLocks noChangeShapeType="1"/>
        </xdr:cNvSpPr>
      </xdr:nvSpPr>
      <xdr:spPr bwMode="auto">
        <a:xfrm>
          <a:off x="4124325" y="99326700"/>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342900</xdr:colOff>
      <xdr:row>601</xdr:row>
      <xdr:rowOff>104775</xdr:rowOff>
    </xdr:from>
    <xdr:to>
      <xdr:col>7</xdr:col>
      <xdr:colOff>342900</xdr:colOff>
      <xdr:row>604</xdr:row>
      <xdr:rowOff>0</xdr:rowOff>
    </xdr:to>
    <xdr:sp macro="" textlink="">
      <xdr:nvSpPr>
        <xdr:cNvPr id="1373" name="Line 349">
          <a:extLst>
            <a:ext uri="{FF2B5EF4-FFF2-40B4-BE49-F238E27FC236}">
              <a16:creationId xmlns:a16="http://schemas.microsoft.com/office/drawing/2014/main" id="{00000000-0008-0000-0100-00005D050000}"/>
            </a:ext>
          </a:extLst>
        </xdr:cNvPr>
        <xdr:cNvSpPr>
          <a:spLocks noChangeShapeType="1"/>
        </xdr:cNvSpPr>
      </xdr:nvSpPr>
      <xdr:spPr bwMode="auto">
        <a:xfrm>
          <a:off x="4210050" y="98945700"/>
          <a:ext cx="0" cy="3810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371475</xdr:colOff>
      <xdr:row>601</xdr:row>
      <xdr:rowOff>104775</xdr:rowOff>
    </xdr:from>
    <xdr:to>
      <xdr:col>8</xdr:col>
      <xdr:colOff>552450</xdr:colOff>
      <xdr:row>601</xdr:row>
      <xdr:rowOff>104775</xdr:rowOff>
    </xdr:to>
    <xdr:sp macro="" textlink="">
      <xdr:nvSpPr>
        <xdr:cNvPr id="1374" name="Line 350">
          <a:extLst>
            <a:ext uri="{FF2B5EF4-FFF2-40B4-BE49-F238E27FC236}">
              <a16:creationId xmlns:a16="http://schemas.microsoft.com/office/drawing/2014/main" id="{00000000-0008-0000-0100-00005E050000}"/>
            </a:ext>
          </a:extLst>
        </xdr:cNvPr>
        <xdr:cNvSpPr>
          <a:spLocks noChangeShapeType="1"/>
        </xdr:cNvSpPr>
      </xdr:nvSpPr>
      <xdr:spPr bwMode="auto">
        <a:xfrm>
          <a:off x="4848225" y="98945700"/>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371475</xdr:colOff>
      <xdr:row>604</xdr:row>
      <xdr:rowOff>0</xdr:rowOff>
    </xdr:from>
    <xdr:to>
      <xdr:col>8</xdr:col>
      <xdr:colOff>552450</xdr:colOff>
      <xdr:row>604</xdr:row>
      <xdr:rowOff>0</xdr:rowOff>
    </xdr:to>
    <xdr:sp macro="" textlink="">
      <xdr:nvSpPr>
        <xdr:cNvPr id="1375" name="Line 351">
          <a:extLst>
            <a:ext uri="{FF2B5EF4-FFF2-40B4-BE49-F238E27FC236}">
              <a16:creationId xmlns:a16="http://schemas.microsoft.com/office/drawing/2014/main" id="{00000000-0008-0000-0100-00005F050000}"/>
            </a:ext>
          </a:extLst>
        </xdr:cNvPr>
        <xdr:cNvSpPr>
          <a:spLocks noChangeShapeType="1"/>
        </xdr:cNvSpPr>
      </xdr:nvSpPr>
      <xdr:spPr bwMode="auto">
        <a:xfrm>
          <a:off x="4848225" y="99326700"/>
          <a:ext cx="1809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457200</xdr:colOff>
      <xdr:row>601</xdr:row>
      <xdr:rowOff>104775</xdr:rowOff>
    </xdr:from>
    <xdr:to>
      <xdr:col>8</xdr:col>
      <xdr:colOff>457200</xdr:colOff>
      <xdr:row>604</xdr:row>
      <xdr:rowOff>0</xdr:rowOff>
    </xdr:to>
    <xdr:sp macro="" textlink="">
      <xdr:nvSpPr>
        <xdr:cNvPr id="1376" name="Line 352">
          <a:extLst>
            <a:ext uri="{FF2B5EF4-FFF2-40B4-BE49-F238E27FC236}">
              <a16:creationId xmlns:a16="http://schemas.microsoft.com/office/drawing/2014/main" id="{00000000-0008-0000-0100-000060050000}"/>
            </a:ext>
          </a:extLst>
        </xdr:cNvPr>
        <xdr:cNvSpPr>
          <a:spLocks noChangeShapeType="1"/>
        </xdr:cNvSpPr>
      </xdr:nvSpPr>
      <xdr:spPr bwMode="auto">
        <a:xfrm>
          <a:off x="4933950" y="98945700"/>
          <a:ext cx="0" cy="3810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57150</xdr:colOff>
      <xdr:row>600</xdr:row>
      <xdr:rowOff>142875</xdr:rowOff>
    </xdr:from>
    <xdr:to>
      <xdr:col>9</xdr:col>
      <xdr:colOff>133350</xdr:colOff>
      <xdr:row>601</xdr:row>
      <xdr:rowOff>57150</xdr:rowOff>
    </xdr:to>
    <xdr:sp macro="" textlink="">
      <xdr:nvSpPr>
        <xdr:cNvPr id="1377" name="Rectangle 353">
          <a:extLst>
            <a:ext uri="{FF2B5EF4-FFF2-40B4-BE49-F238E27FC236}">
              <a16:creationId xmlns:a16="http://schemas.microsoft.com/office/drawing/2014/main" id="{00000000-0008-0000-0100-000061050000}"/>
            </a:ext>
          </a:extLst>
        </xdr:cNvPr>
        <xdr:cNvSpPr>
          <a:spLocks noChangeArrowheads="1"/>
        </xdr:cNvSpPr>
      </xdr:nvSpPr>
      <xdr:spPr bwMode="auto">
        <a:xfrm>
          <a:off x="1714500" y="98821875"/>
          <a:ext cx="3505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57150</xdr:colOff>
      <xdr:row>598</xdr:row>
      <xdr:rowOff>152400</xdr:rowOff>
    </xdr:from>
    <xdr:to>
      <xdr:col>4</xdr:col>
      <xdr:colOff>133350</xdr:colOff>
      <xdr:row>600</xdr:row>
      <xdr:rowOff>142875</xdr:rowOff>
    </xdr:to>
    <xdr:sp macro="" textlink="">
      <xdr:nvSpPr>
        <xdr:cNvPr id="1378" name="Rectangle 354">
          <a:extLst>
            <a:ext uri="{FF2B5EF4-FFF2-40B4-BE49-F238E27FC236}">
              <a16:creationId xmlns:a16="http://schemas.microsoft.com/office/drawing/2014/main" id="{00000000-0008-0000-0100-000062050000}"/>
            </a:ext>
          </a:extLst>
        </xdr:cNvPr>
        <xdr:cNvSpPr>
          <a:spLocks noChangeArrowheads="1"/>
        </xdr:cNvSpPr>
      </xdr:nvSpPr>
      <xdr:spPr bwMode="auto">
        <a:xfrm>
          <a:off x="1714500" y="98507550"/>
          <a:ext cx="7620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57150</xdr:colOff>
      <xdr:row>598</xdr:row>
      <xdr:rowOff>152400</xdr:rowOff>
    </xdr:from>
    <xdr:to>
      <xdr:col>9</xdr:col>
      <xdr:colOff>133350</xdr:colOff>
      <xdr:row>600</xdr:row>
      <xdr:rowOff>142875</xdr:rowOff>
    </xdr:to>
    <xdr:sp macro="" textlink="">
      <xdr:nvSpPr>
        <xdr:cNvPr id="1379" name="Rectangle 355">
          <a:extLst>
            <a:ext uri="{FF2B5EF4-FFF2-40B4-BE49-F238E27FC236}">
              <a16:creationId xmlns:a16="http://schemas.microsoft.com/office/drawing/2014/main" id="{00000000-0008-0000-0100-000063050000}"/>
            </a:ext>
          </a:extLst>
        </xdr:cNvPr>
        <xdr:cNvSpPr>
          <a:spLocks noChangeArrowheads="1"/>
        </xdr:cNvSpPr>
      </xdr:nvSpPr>
      <xdr:spPr bwMode="auto">
        <a:xfrm>
          <a:off x="5143500" y="98507550"/>
          <a:ext cx="7620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247650</xdr:colOff>
      <xdr:row>598</xdr:row>
      <xdr:rowOff>152400</xdr:rowOff>
    </xdr:from>
    <xdr:to>
      <xdr:col>3</xdr:col>
      <xdr:colOff>514350</xdr:colOff>
      <xdr:row>598</xdr:row>
      <xdr:rowOff>152400</xdr:rowOff>
    </xdr:to>
    <xdr:sp macro="" textlink="">
      <xdr:nvSpPr>
        <xdr:cNvPr id="1380" name="Line 356">
          <a:extLst>
            <a:ext uri="{FF2B5EF4-FFF2-40B4-BE49-F238E27FC236}">
              <a16:creationId xmlns:a16="http://schemas.microsoft.com/office/drawing/2014/main" id="{00000000-0008-0000-0100-000064050000}"/>
            </a:ext>
          </a:extLst>
        </xdr:cNvPr>
        <xdr:cNvSpPr>
          <a:spLocks noChangeShapeType="1"/>
        </xdr:cNvSpPr>
      </xdr:nvSpPr>
      <xdr:spPr bwMode="auto">
        <a:xfrm>
          <a:off x="1276350" y="985075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247650</xdr:colOff>
      <xdr:row>599</xdr:row>
      <xdr:rowOff>133350</xdr:rowOff>
    </xdr:from>
    <xdr:to>
      <xdr:col>3</xdr:col>
      <xdr:colOff>514350</xdr:colOff>
      <xdr:row>599</xdr:row>
      <xdr:rowOff>133350</xdr:rowOff>
    </xdr:to>
    <xdr:sp macro="" textlink="">
      <xdr:nvSpPr>
        <xdr:cNvPr id="1381" name="Line 357">
          <a:extLst>
            <a:ext uri="{FF2B5EF4-FFF2-40B4-BE49-F238E27FC236}">
              <a16:creationId xmlns:a16="http://schemas.microsoft.com/office/drawing/2014/main" id="{00000000-0008-0000-0100-000065050000}"/>
            </a:ext>
          </a:extLst>
        </xdr:cNvPr>
        <xdr:cNvSpPr>
          <a:spLocks noChangeShapeType="1"/>
        </xdr:cNvSpPr>
      </xdr:nvSpPr>
      <xdr:spPr bwMode="auto">
        <a:xfrm>
          <a:off x="1276350" y="986504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247650</xdr:colOff>
      <xdr:row>600</xdr:row>
      <xdr:rowOff>114300</xdr:rowOff>
    </xdr:from>
    <xdr:to>
      <xdr:col>3</xdr:col>
      <xdr:colOff>514350</xdr:colOff>
      <xdr:row>600</xdr:row>
      <xdr:rowOff>114300</xdr:rowOff>
    </xdr:to>
    <xdr:sp macro="" textlink="">
      <xdr:nvSpPr>
        <xdr:cNvPr id="1382" name="Line 358">
          <a:extLst>
            <a:ext uri="{FF2B5EF4-FFF2-40B4-BE49-F238E27FC236}">
              <a16:creationId xmlns:a16="http://schemas.microsoft.com/office/drawing/2014/main" id="{00000000-0008-0000-0100-000066050000}"/>
            </a:ext>
          </a:extLst>
        </xdr:cNvPr>
        <xdr:cNvSpPr>
          <a:spLocks noChangeShapeType="1"/>
        </xdr:cNvSpPr>
      </xdr:nvSpPr>
      <xdr:spPr bwMode="auto">
        <a:xfrm>
          <a:off x="1276350" y="987933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247650</xdr:colOff>
      <xdr:row>601</xdr:row>
      <xdr:rowOff>95250</xdr:rowOff>
    </xdr:from>
    <xdr:to>
      <xdr:col>3</xdr:col>
      <xdr:colOff>514350</xdr:colOff>
      <xdr:row>601</xdr:row>
      <xdr:rowOff>95250</xdr:rowOff>
    </xdr:to>
    <xdr:sp macro="" textlink="">
      <xdr:nvSpPr>
        <xdr:cNvPr id="1383" name="Line 359">
          <a:extLst>
            <a:ext uri="{FF2B5EF4-FFF2-40B4-BE49-F238E27FC236}">
              <a16:creationId xmlns:a16="http://schemas.microsoft.com/office/drawing/2014/main" id="{00000000-0008-0000-0100-000067050000}"/>
            </a:ext>
          </a:extLst>
        </xdr:cNvPr>
        <xdr:cNvSpPr>
          <a:spLocks noChangeShapeType="1"/>
        </xdr:cNvSpPr>
      </xdr:nvSpPr>
      <xdr:spPr bwMode="auto">
        <a:xfrm>
          <a:off x="1276350" y="989361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247650</xdr:colOff>
      <xdr:row>602</xdr:row>
      <xdr:rowOff>76200</xdr:rowOff>
    </xdr:from>
    <xdr:to>
      <xdr:col>3</xdr:col>
      <xdr:colOff>514350</xdr:colOff>
      <xdr:row>602</xdr:row>
      <xdr:rowOff>76200</xdr:rowOff>
    </xdr:to>
    <xdr:sp macro="" textlink="">
      <xdr:nvSpPr>
        <xdr:cNvPr id="1384" name="Line 360">
          <a:extLst>
            <a:ext uri="{FF2B5EF4-FFF2-40B4-BE49-F238E27FC236}">
              <a16:creationId xmlns:a16="http://schemas.microsoft.com/office/drawing/2014/main" id="{00000000-0008-0000-0100-000068050000}"/>
            </a:ext>
          </a:extLst>
        </xdr:cNvPr>
        <xdr:cNvSpPr>
          <a:spLocks noChangeShapeType="1"/>
        </xdr:cNvSpPr>
      </xdr:nvSpPr>
      <xdr:spPr bwMode="auto">
        <a:xfrm>
          <a:off x="1276350" y="990790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247650</xdr:colOff>
      <xdr:row>603</xdr:row>
      <xdr:rowOff>57150</xdr:rowOff>
    </xdr:from>
    <xdr:to>
      <xdr:col>3</xdr:col>
      <xdr:colOff>514350</xdr:colOff>
      <xdr:row>603</xdr:row>
      <xdr:rowOff>57150</xdr:rowOff>
    </xdr:to>
    <xdr:sp macro="" textlink="">
      <xdr:nvSpPr>
        <xdr:cNvPr id="1385" name="Line 361">
          <a:extLst>
            <a:ext uri="{FF2B5EF4-FFF2-40B4-BE49-F238E27FC236}">
              <a16:creationId xmlns:a16="http://schemas.microsoft.com/office/drawing/2014/main" id="{00000000-0008-0000-0100-000069050000}"/>
            </a:ext>
          </a:extLst>
        </xdr:cNvPr>
        <xdr:cNvSpPr>
          <a:spLocks noChangeShapeType="1"/>
        </xdr:cNvSpPr>
      </xdr:nvSpPr>
      <xdr:spPr bwMode="auto">
        <a:xfrm>
          <a:off x="1276350" y="992219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247650</xdr:colOff>
      <xdr:row>604</xdr:row>
      <xdr:rowOff>38100</xdr:rowOff>
    </xdr:from>
    <xdr:to>
      <xdr:col>3</xdr:col>
      <xdr:colOff>514350</xdr:colOff>
      <xdr:row>604</xdr:row>
      <xdr:rowOff>38100</xdr:rowOff>
    </xdr:to>
    <xdr:sp macro="" textlink="">
      <xdr:nvSpPr>
        <xdr:cNvPr id="1386" name="Line 362">
          <a:extLst>
            <a:ext uri="{FF2B5EF4-FFF2-40B4-BE49-F238E27FC236}">
              <a16:creationId xmlns:a16="http://schemas.microsoft.com/office/drawing/2014/main" id="{00000000-0008-0000-0100-00006A050000}"/>
            </a:ext>
          </a:extLst>
        </xdr:cNvPr>
        <xdr:cNvSpPr>
          <a:spLocks noChangeShapeType="1"/>
        </xdr:cNvSpPr>
      </xdr:nvSpPr>
      <xdr:spPr bwMode="auto">
        <a:xfrm>
          <a:off x="1276350" y="993648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247650</xdr:colOff>
      <xdr:row>598</xdr:row>
      <xdr:rowOff>152400</xdr:rowOff>
    </xdr:from>
    <xdr:to>
      <xdr:col>3</xdr:col>
      <xdr:colOff>247650</xdr:colOff>
      <xdr:row>604</xdr:row>
      <xdr:rowOff>38100</xdr:rowOff>
    </xdr:to>
    <xdr:sp macro="" textlink="">
      <xdr:nvSpPr>
        <xdr:cNvPr id="1387" name="Line 363">
          <a:extLst>
            <a:ext uri="{FF2B5EF4-FFF2-40B4-BE49-F238E27FC236}">
              <a16:creationId xmlns:a16="http://schemas.microsoft.com/office/drawing/2014/main" id="{00000000-0008-0000-0100-00006B050000}"/>
            </a:ext>
          </a:extLst>
        </xdr:cNvPr>
        <xdr:cNvSpPr>
          <a:spLocks noChangeShapeType="1"/>
        </xdr:cNvSpPr>
      </xdr:nvSpPr>
      <xdr:spPr bwMode="auto">
        <a:xfrm>
          <a:off x="1276350" y="98507550"/>
          <a:ext cx="0" cy="857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238125</xdr:colOff>
      <xdr:row>605</xdr:row>
      <xdr:rowOff>66675</xdr:rowOff>
    </xdr:from>
    <xdr:to>
      <xdr:col>4</xdr:col>
      <xdr:colOff>381000</xdr:colOff>
      <xdr:row>616</xdr:row>
      <xdr:rowOff>9525</xdr:rowOff>
    </xdr:to>
    <xdr:sp macro="" textlink="">
      <xdr:nvSpPr>
        <xdr:cNvPr id="1394" name="AutoShape 370">
          <a:extLst>
            <a:ext uri="{FF2B5EF4-FFF2-40B4-BE49-F238E27FC236}">
              <a16:creationId xmlns:a16="http://schemas.microsoft.com/office/drawing/2014/main" id="{00000000-0008-0000-0100-000072050000}"/>
            </a:ext>
          </a:extLst>
        </xdr:cNvPr>
        <xdr:cNvSpPr>
          <a:spLocks noChangeArrowheads="1"/>
        </xdr:cNvSpPr>
      </xdr:nvSpPr>
      <xdr:spPr bwMode="auto">
        <a:xfrm>
          <a:off x="1895475" y="99555300"/>
          <a:ext cx="142875" cy="1724025"/>
        </a:xfrm>
        <a:prstGeom prst="flowChartPredefined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228600</xdr:colOff>
      <xdr:row>605</xdr:row>
      <xdr:rowOff>66675</xdr:rowOff>
    </xdr:from>
    <xdr:to>
      <xdr:col>5</xdr:col>
      <xdr:colOff>371475</xdr:colOff>
      <xdr:row>616</xdr:row>
      <xdr:rowOff>9525</xdr:rowOff>
    </xdr:to>
    <xdr:sp macro="" textlink="">
      <xdr:nvSpPr>
        <xdr:cNvPr id="1395" name="AutoShape 371">
          <a:extLst>
            <a:ext uri="{FF2B5EF4-FFF2-40B4-BE49-F238E27FC236}">
              <a16:creationId xmlns:a16="http://schemas.microsoft.com/office/drawing/2014/main" id="{00000000-0008-0000-0100-000073050000}"/>
            </a:ext>
          </a:extLst>
        </xdr:cNvPr>
        <xdr:cNvSpPr>
          <a:spLocks noChangeArrowheads="1"/>
        </xdr:cNvSpPr>
      </xdr:nvSpPr>
      <xdr:spPr bwMode="auto">
        <a:xfrm>
          <a:off x="2505075" y="99555300"/>
          <a:ext cx="142875" cy="1724025"/>
        </a:xfrm>
        <a:prstGeom prst="flowChartPredefined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142875</xdr:colOff>
      <xdr:row>605</xdr:row>
      <xdr:rowOff>66675</xdr:rowOff>
    </xdr:from>
    <xdr:to>
      <xdr:col>6</xdr:col>
      <xdr:colOff>285750</xdr:colOff>
      <xdr:row>616</xdr:row>
      <xdr:rowOff>9525</xdr:rowOff>
    </xdr:to>
    <xdr:sp macro="" textlink="">
      <xdr:nvSpPr>
        <xdr:cNvPr id="1396" name="AutoShape 372">
          <a:extLst>
            <a:ext uri="{FF2B5EF4-FFF2-40B4-BE49-F238E27FC236}">
              <a16:creationId xmlns:a16="http://schemas.microsoft.com/office/drawing/2014/main" id="{00000000-0008-0000-0100-000074050000}"/>
            </a:ext>
          </a:extLst>
        </xdr:cNvPr>
        <xdr:cNvSpPr>
          <a:spLocks noChangeArrowheads="1"/>
        </xdr:cNvSpPr>
      </xdr:nvSpPr>
      <xdr:spPr bwMode="auto">
        <a:xfrm>
          <a:off x="3133725" y="99555300"/>
          <a:ext cx="142875" cy="1724025"/>
        </a:xfrm>
        <a:prstGeom prst="flowChartPredefined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742950</xdr:colOff>
      <xdr:row>605</xdr:row>
      <xdr:rowOff>66675</xdr:rowOff>
    </xdr:from>
    <xdr:to>
      <xdr:col>6</xdr:col>
      <xdr:colOff>885825</xdr:colOff>
      <xdr:row>616</xdr:row>
      <xdr:rowOff>9525</xdr:rowOff>
    </xdr:to>
    <xdr:sp macro="" textlink="">
      <xdr:nvSpPr>
        <xdr:cNvPr id="1397" name="AutoShape 373">
          <a:extLst>
            <a:ext uri="{FF2B5EF4-FFF2-40B4-BE49-F238E27FC236}">
              <a16:creationId xmlns:a16="http://schemas.microsoft.com/office/drawing/2014/main" id="{00000000-0008-0000-0100-000075050000}"/>
            </a:ext>
          </a:extLst>
        </xdr:cNvPr>
        <xdr:cNvSpPr>
          <a:spLocks noChangeArrowheads="1"/>
        </xdr:cNvSpPr>
      </xdr:nvSpPr>
      <xdr:spPr bwMode="auto">
        <a:xfrm>
          <a:off x="3733800" y="99555300"/>
          <a:ext cx="133350" cy="1724025"/>
        </a:xfrm>
        <a:prstGeom prst="flowChartPredefined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428625</xdr:colOff>
      <xdr:row>605</xdr:row>
      <xdr:rowOff>66675</xdr:rowOff>
    </xdr:from>
    <xdr:to>
      <xdr:col>7</xdr:col>
      <xdr:colOff>571500</xdr:colOff>
      <xdr:row>616</xdr:row>
      <xdr:rowOff>9525</xdr:rowOff>
    </xdr:to>
    <xdr:sp macro="" textlink="">
      <xdr:nvSpPr>
        <xdr:cNvPr id="1398" name="AutoShape 374">
          <a:extLst>
            <a:ext uri="{FF2B5EF4-FFF2-40B4-BE49-F238E27FC236}">
              <a16:creationId xmlns:a16="http://schemas.microsoft.com/office/drawing/2014/main" id="{00000000-0008-0000-0100-000076050000}"/>
            </a:ext>
          </a:extLst>
        </xdr:cNvPr>
        <xdr:cNvSpPr>
          <a:spLocks noChangeArrowheads="1"/>
        </xdr:cNvSpPr>
      </xdr:nvSpPr>
      <xdr:spPr bwMode="auto">
        <a:xfrm>
          <a:off x="4295775" y="99555300"/>
          <a:ext cx="142875" cy="1724025"/>
        </a:xfrm>
        <a:prstGeom prst="flowChartPredefined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419100</xdr:colOff>
      <xdr:row>605</xdr:row>
      <xdr:rowOff>66675</xdr:rowOff>
    </xdr:from>
    <xdr:to>
      <xdr:col>8</xdr:col>
      <xdr:colOff>561975</xdr:colOff>
      <xdr:row>616</xdr:row>
      <xdr:rowOff>9525</xdr:rowOff>
    </xdr:to>
    <xdr:sp macro="" textlink="">
      <xdr:nvSpPr>
        <xdr:cNvPr id="1399" name="AutoShape 375">
          <a:extLst>
            <a:ext uri="{FF2B5EF4-FFF2-40B4-BE49-F238E27FC236}">
              <a16:creationId xmlns:a16="http://schemas.microsoft.com/office/drawing/2014/main" id="{00000000-0008-0000-0100-000077050000}"/>
            </a:ext>
          </a:extLst>
        </xdr:cNvPr>
        <xdr:cNvSpPr>
          <a:spLocks noChangeArrowheads="1"/>
        </xdr:cNvSpPr>
      </xdr:nvSpPr>
      <xdr:spPr bwMode="auto">
        <a:xfrm>
          <a:off x="4895850" y="99555300"/>
          <a:ext cx="142875" cy="1724025"/>
        </a:xfrm>
        <a:prstGeom prst="flowChartPredefined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304800</xdr:colOff>
      <xdr:row>616</xdr:row>
      <xdr:rowOff>19050</xdr:rowOff>
    </xdr:from>
    <xdr:to>
      <xdr:col>4</xdr:col>
      <xdr:colOff>304800</xdr:colOff>
      <xdr:row>619</xdr:row>
      <xdr:rowOff>133350</xdr:rowOff>
    </xdr:to>
    <xdr:sp macro="" textlink="">
      <xdr:nvSpPr>
        <xdr:cNvPr id="1409" name="Line 385">
          <a:extLst>
            <a:ext uri="{FF2B5EF4-FFF2-40B4-BE49-F238E27FC236}">
              <a16:creationId xmlns:a16="http://schemas.microsoft.com/office/drawing/2014/main" id="{00000000-0008-0000-0100-000081050000}"/>
            </a:ext>
          </a:extLst>
        </xdr:cNvPr>
        <xdr:cNvSpPr>
          <a:spLocks noChangeShapeType="1"/>
        </xdr:cNvSpPr>
      </xdr:nvSpPr>
      <xdr:spPr bwMode="auto">
        <a:xfrm>
          <a:off x="1962150" y="1012888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495300</xdr:colOff>
      <xdr:row>616</xdr:row>
      <xdr:rowOff>9525</xdr:rowOff>
    </xdr:from>
    <xdr:to>
      <xdr:col>8</xdr:col>
      <xdr:colOff>495300</xdr:colOff>
      <xdr:row>619</xdr:row>
      <xdr:rowOff>123825</xdr:rowOff>
    </xdr:to>
    <xdr:sp macro="" textlink="">
      <xdr:nvSpPr>
        <xdr:cNvPr id="1410" name="Line 386">
          <a:extLst>
            <a:ext uri="{FF2B5EF4-FFF2-40B4-BE49-F238E27FC236}">
              <a16:creationId xmlns:a16="http://schemas.microsoft.com/office/drawing/2014/main" id="{00000000-0008-0000-0100-000082050000}"/>
            </a:ext>
          </a:extLst>
        </xdr:cNvPr>
        <xdr:cNvSpPr>
          <a:spLocks noChangeShapeType="1"/>
        </xdr:cNvSpPr>
      </xdr:nvSpPr>
      <xdr:spPr bwMode="auto">
        <a:xfrm flipV="1">
          <a:off x="4972050" y="1012793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295275</xdr:colOff>
      <xdr:row>616</xdr:row>
      <xdr:rowOff>9525</xdr:rowOff>
    </xdr:from>
    <xdr:to>
      <xdr:col>5</xdr:col>
      <xdr:colOff>295275</xdr:colOff>
      <xdr:row>618</xdr:row>
      <xdr:rowOff>57150</xdr:rowOff>
    </xdr:to>
    <xdr:sp macro="" textlink="">
      <xdr:nvSpPr>
        <xdr:cNvPr id="1411" name="Line 387">
          <a:extLst>
            <a:ext uri="{FF2B5EF4-FFF2-40B4-BE49-F238E27FC236}">
              <a16:creationId xmlns:a16="http://schemas.microsoft.com/office/drawing/2014/main" id="{00000000-0008-0000-0100-000083050000}"/>
            </a:ext>
          </a:extLst>
        </xdr:cNvPr>
        <xdr:cNvSpPr>
          <a:spLocks noChangeShapeType="1"/>
        </xdr:cNvSpPr>
      </xdr:nvSpPr>
      <xdr:spPr bwMode="auto">
        <a:xfrm flipH="1">
          <a:off x="2571750" y="101279325"/>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209550</xdr:colOff>
      <xdr:row>616</xdr:row>
      <xdr:rowOff>19050</xdr:rowOff>
    </xdr:from>
    <xdr:to>
      <xdr:col>6</xdr:col>
      <xdr:colOff>209550</xdr:colOff>
      <xdr:row>616</xdr:row>
      <xdr:rowOff>142875</xdr:rowOff>
    </xdr:to>
    <xdr:sp macro="" textlink="">
      <xdr:nvSpPr>
        <xdr:cNvPr id="1412" name="Line 388">
          <a:extLst>
            <a:ext uri="{FF2B5EF4-FFF2-40B4-BE49-F238E27FC236}">
              <a16:creationId xmlns:a16="http://schemas.microsoft.com/office/drawing/2014/main" id="{00000000-0008-0000-0100-000084050000}"/>
            </a:ext>
          </a:extLst>
        </xdr:cNvPr>
        <xdr:cNvSpPr>
          <a:spLocks noChangeShapeType="1"/>
        </xdr:cNvSpPr>
      </xdr:nvSpPr>
      <xdr:spPr bwMode="auto">
        <a:xfrm>
          <a:off x="3200400" y="101288850"/>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616</xdr:row>
      <xdr:rowOff>9525</xdr:rowOff>
    </xdr:from>
    <xdr:to>
      <xdr:col>7</xdr:col>
      <xdr:colOff>495300</xdr:colOff>
      <xdr:row>618</xdr:row>
      <xdr:rowOff>47625</xdr:rowOff>
    </xdr:to>
    <xdr:sp macro="" textlink="">
      <xdr:nvSpPr>
        <xdr:cNvPr id="1413" name="Line 389">
          <a:extLst>
            <a:ext uri="{FF2B5EF4-FFF2-40B4-BE49-F238E27FC236}">
              <a16:creationId xmlns:a16="http://schemas.microsoft.com/office/drawing/2014/main" id="{00000000-0008-0000-0100-000085050000}"/>
            </a:ext>
          </a:extLst>
        </xdr:cNvPr>
        <xdr:cNvSpPr>
          <a:spLocks noChangeShapeType="1"/>
        </xdr:cNvSpPr>
      </xdr:nvSpPr>
      <xdr:spPr bwMode="auto">
        <a:xfrm flipH="1" flipV="1">
          <a:off x="4362450" y="101279325"/>
          <a:ext cx="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809625</xdr:colOff>
      <xdr:row>616</xdr:row>
      <xdr:rowOff>9525</xdr:rowOff>
    </xdr:from>
    <xdr:to>
      <xdr:col>6</xdr:col>
      <xdr:colOff>809625</xdr:colOff>
      <xdr:row>616</xdr:row>
      <xdr:rowOff>133350</xdr:rowOff>
    </xdr:to>
    <xdr:sp macro="" textlink="">
      <xdr:nvSpPr>
        <xdr:cNvPr id="1414" name="Line 390">
          <a:extLst>
            <a:ext uri="{FF2B5EF4-FFF2-40B4-BE49-F238E27FC236}">
              <a16:creationId xmlns:a16="http://schemas.microsoft.com/office/drawing/2014/main" id="{00000000-0008-0000-0100-000086050000}"/>
            </a:ext>
          </a:extLst>
        </xdr:cNvPr>
        <xdr:cNvSpPr>
          <a:spLocks noChangeShapeType="1"/>
        </xdr:cNvSpPr>
      </xdr:nvSpPr>
      <xdr:spPr bwMode="auto">
        <a:xfrm flipV="1">
          <a:off x="3800475" y="101279325"/>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190500</xdr:colOff>
      <xdr:row>606</xdr:row>
      <xdr:rowOff>19050</xdr:rowOff>
    </xdr:from>
    <xdr:to>
      <xdr:col>9</xdr:col>
      <xdr:colOff>485775</xdr:colOff>
      <xdr:row>606</xdr:row>
      <xdr:rowOff>19050</xdr:rowOff>
    </xdr:to>
    <xdr:sp macro="" textlink="">
      <xdr:nvSpPr>
        <xdr:cNvPr id="1415" name="Line 391">
          <a:extLst>
            <a:ext uri="{FF2B5EF4-FFF2-40B4-BE49-F238E27FC236}">
              <a16:creationId xmlns:a16="http://schemas.microsoft.com/office/drawing/2014/main" id="{00000000-0008-0000-0100-000087050000}"/>
            </a:ext>
          </a:extLst>
        </xdr:cNvPr>
        <xdr:cNvSpPr>
          <a:spLocks noChangeShapeType="1"/>
        </xdr:cNvSpPr>
      </xdr:nvSpPr>
      <xdr:spPr bwMode="auto">
        <a:xfrm>
          <a:off x="5276850" y="996696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616</xdr:row>
      <xdr:rowOff>0</xdr:rowOff>
    </xdr:from>
    <xdr:to>
      <xdr:col>9</xdr:col>
      <xdr:colOff>485775</xdr:colOff>
      <xdr:row>616</xdr:row>
      <xdr:rowOff>0</xdr:rowOff>
    </xdr:to>
    <xdr:sp macro="" textlink="">
      <xdr:nvSpPr>
        <xdr:cNvPr id="1416" name="Line 392">
          <a:extLst>
            <a:ext uri="{FF2B5EF4-FFF2-40B4-BE49-F238E27FC236}">
              <a16:creationId xmlns:a16="http://schemas.microsoft.com/office/drawing/2014/main" id="{00000000-0008-0000-0100-000088050000}"/>
            </a:ext>
          </a:extLst>
        </xdr:cNvPr>
        <xdr:cNvSpPr>
          <a:spLocks noChangeShapeType="1"/>
        </xdr:cNvSpPr>
      </xdr:nvSpPr>
      <xdr:spPr bwMode="auto">
        <a:xfrm>
          <a:off x="5086350" y="10126980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428625</xdr:colOff>
      <xdr:row>606</xdr:row>
      <xdr:rowOff>19050</xdr:rowOff>
    </xdr:from>
    <xdr:to>
      <xdr:col>9</xdr:col>
      <xdr:colOff>428625</xdr:colOff>
      <xdr:row>616</xdr:row>
      <xdr:rowOff>0</xdr:rowOff>
    </xdr:to>
    <xdr:sp macro="" textlink="">
      <xdr:nvSpPr>
        <xdr:cNvPr id="1417" name="Line 393">
          <a:extLst>
            <a:ext uri="{FF2B5EF4-FFF2-40B4-BE49-F238E27FC236}">
              <a16:creationId xmlns:a16="http://schemas.microsoft.com/office/drawing/2014/main" id="{00000000-0008-0000-0100-000089050000}"/>
            </a:ext>
          </a:extLst>
        </xdr:cNvPr>
        <xdr:cNvSpPr>
          <a:spLocks noChangeShapeType="1"/>
        </xdr:cNvSpPr>
      </xdr:nvSpPr>
      <xdr:spPr bwMode="auto">
        <a:xfrm>
          <a:off x="5514975" y="99669600"/>
          <a:ext cx="0" cy="1600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oneCellAnchor>
    <xdr:from>
      <xdr:col>9</xdr:col>
      <xdr:colOff>504825</xdr:colOff>
      <xdr:row>610</xdr:row>
      <xdr:rowOff>19050</xdr:rowOff>
    </xdr:from>
    <xdr:ext cx="609600" cy="361950"/>
    <xdr:sp macro="" textlink="">
      <xdr:nvSpPr>
        <xdr:cNvPr id="1418" name="Text Box 394">
          <a:extLst>
            <a:ext uri="{FF2B5EF4-FFF2-40B4-BE49-F238E27FC236}">
              <a16:creationId xmlns:a16="http://schemas.microsoft.com/office/drawing/2014/main" id="{00000000-0008-0000-0100-00008A050000}"/>
            </a:ext>
          </a:extLst>
        </xdr:cNvPr>
        <xdr:cNvSpPr txBox="1">
          <a:spLocks noChangeArrowheads="1"/>
        </xdr:cNvSpPr>
      </xdr:nvSpPr>
      <xdr:spPr bwMode="auto">
        <a:xfrm>
          <a:off x="5591175" y="100317300"/>
          <a:ext cx="6096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pile depth</a:t>
          </a:r>
        </a:p>
        <a:p>
          <a:pPr algn="l" rtl="0">
            <a:defRPr sz="1000"/>
          </a:pPr>
          <a:r>
            <a:rPr lang="en-US" sz="1000" b="0" i="0" u="none" strike="noStrike" baseline="0">
              <a:solidFill>
                <a:srgbClr val="000000"/>
              </a:solidFill>
              <a:latin typeface="Arial"/>
              <a:cs typeface="Arial"/>
            </a:rPr>
            <a:t>to fixity</a:t>
          </a:r>
        </a:p>
      </xdr:txBody>
    </xdr:sp>
    <xdr:clientData/>
  </xdr:oneCellAnchor>
  <xdr:twoCellAnchor>
    <xdr:from>
      <xdr:col>3</xdr:col>
      <xdr:colOff>590550</xdr:colOff>
      <xdr:row>758</xdr:row>
      <xdr:rowOff>57150</xdr:rowOff>
    </xdr:from>
    <xdr:to>
      <xdr:col>3</xdr:col>
      <xdr:colOff>638175</xdr:colOff>
      <xdr:row>759</xdr:row>
      <xdr:rowOff>123825</xdr:rowOff>
    </xdr:to>
    <xdr:sp macro="" textlink="">
      <xdr:nvSpPr>
        <xdr:cNvPr id="1419" name="Rectangle 395">
          <a:extLst>
            <a:ext uri="{FF2B5EF4-FFF2-40B4-BE49-F238E27FC236}">
              <a16:creationId xmlns:a16="http://schemas.microsoft.com/office/drawing/2014/main" id="{00000000-0008-0000-0100-00008B050000}"/>
            </a:ext>
          </a:extLst>
        </xdr:cNvPr>
        <xdr:cNvSpPr>
          <a:spLocks noChangeArrowheads="1"/>
        </xdr:cNvSpPr>
      </xdr:nvSpPr>
      <xdr:spPr bwMode="auto">
        <a:xfrm>
          <a:off x="1619250" y="125006100"/>
          <a:ext cx="381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9</xdr:col>
      <xdr:colOff>228600</xdr:colOff>
      <xdr:row>752</xdr:row>
      <xdr:rowOff>57150</xdr:rowOff>
    </xdr:from>
    <xdr:ext cx="200025" cy="238125"/>
    <xdr:sp macro="" textlink="">
      <xdr:nvSpPr>
        <xdr:cNvPr id="1420" name="Text Box 396">
          <a:extLst>
            <a:ext uri="{FF2B5EF4-FFF2-40B4-BE49-F238E27FC236}">
              <a16:creationId xmlns:a16="http://schemas.microsoft.com/office/drawing/2014/main" id="{00000000-0008-0000-0100-00008C050000}"/>
            </a:ext>
          </a:extLst>
        </xdr:cNvPr>
        <xdr:cNvSpPr txBox="1">
          <a:spLocks noChangeArrowheads="1"/>
        </xdr:cNvSpPr>
      </xdr:nvSpPr>
      <xdr:spPr bwMode="auto">
        <a:xfrm>
          <a:off x="5314950" y="123996450"/>
          <a:ext cx="2000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7432" rIns="0" bIns="0" anchor="t" upright="1">
          <a:spAutoFit/>
        </a:bodyPr>
        <a:lstStyle/>
        <a:p>
          <a:pPr algn="l" rtl="0">
            <a:defRPr sz="1000"/>
          </a:pPr>
          <a:r>
            <a:rPr lang="en-US" sz="1200" b="1" i="0" u="none" strike="noStrike" baseline="0">
              <a:solidFill>
                <a:srgbClr val="000000"/>
              </a:solidFill>
              <a:latin typeface="Arial"/>
              <a:cs typeface="Arial"/>
            </a:rPr>
            <a:t>A</a:t>
          </a:r>
        </a:p>
      </xdr:txBody>
    </xdr:sp>
    <xdr:clientData/>
  </xdr:oneCellAnchor>
  <xdr:twoCellAnchor>
    <xdr:from>
      <xdr:col>4</xdr:col>
      <xdr:colOff>171450</xdr:colOff>
      <xdr:row>865</xdr:row>
      <xdr:rowOff>66675</xdr:rowOff>
    </xdr:from>
    <xdr:to>
      <xdr:col>4</xdr:col>
      <xdr:colOff>171450</xdr:colOff>
      <xdr:row>878</xdr:row>
      <xdr:rowOff>47625</xdr:rowOff>
    </xdr:to>
    <xdr:sp macro="" textlink="">
      <xdr:nvSpPr>
        <xdr:cNvPr id="1426" name="Line 402">
          <a:extLst>
            <a:ext uri="{FF2B5EF4-FFF2-40B4-BE49-F238E27FC236}">
              <a16:creationId xmlns:a16="http://schemas.microsoft.com/office/drawing/2014/main" id="{00000000-0008-0000-0100-000092050000}"/>
            </a:ext>
          </a:extLst>
        </xdr:cNvPr>
        <xdr:cNvSpPr>
          <a:spLocks noChangeShapeType="1"/>
        </xdr:cNvSpPr>
      </xdr:nvSpPr>
      <xdr:spPr bwMode="auto">
        <a:xfrm>
          <a:off x="1828800" y="142665450"/>
          <a:ext cx="0" cy="2085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561975</xdr:colOff>
      <xdr:row>865</xdr:row>
      <xdr:rowOff>66675</xdr:rowOff>
    </xdr:from>
    <xdr:to>
      <xdr:col>4</xdr:col>
      <xdr:colOff>295275</xdr:colOff>
      <xdr:row>878</xdr:row>
      <xdr:rowOff>57150</xdr:rowOff>
    </xdr:to>
    <xdr:sp macro="" textlink="">
      <xdr:nvSpPr>
        <xdr:cNvPr id="1427" name="Freeform 403">
          <a:extLst>
            <a:ext uri="{FF2B5EF4-FFF2-40B4-BE49-F238E27FC236}">
              <a16:creationId xmlns:a16="http://schemas.microsoft.com/office/drawing/2014/main" id="{00000000-0008-0000-0100-000093050000}"/>
            </a:ext>
          </a:extLst>
        </xdr:cNvPr>
        <xdr:cNvSpPr>
          <a:spLocks/>
        </xdr:cNvSpPr>
      </xdr:nvSpPr>
      <xdr:spPr bwMode="auto">
        <a:xfrm>
          <a:off x="1590675" y="142665450"/>
          <a:ext cx="361950" cy="2095500"/>
        </a:xfrm>
        <a:custGeom>
          <a:avLst/>
          <a:gdLst>
            <a:gd name="T0" fmla="*/ 5 w 40"/>
            <a:gd name="T1" fmla="*/ 0 h 220"/>
            <a:gd name="T2" fmla="*/ 3 w 40"/>
            <a:gd name="T3" fmla="*/ 7 h 220"/>
            <a:gd name="T4" fmla="*/ 2 w 40"/>
            <a:gd name="T5" fmla="*/ 13 h 220"/>
            <a:gd name="T6" fmla="*/ 6 w 40"/>
            <a:gd name="T7" fmla="*/ 28 h 220"/>
            <a:gd name="T8" fmla="*/ 37 w 40"/>
            <a:gd name="T9" fmla="*/ 65 h 220"/>
            <a:gd name="T10" fmla="*/ 22 w 40"/>
            <a:gd name="T11" fmla="*/ 106 h 220"/>
            <a:gd name="T12" fmla="*/ 30 w 40"/>
            <a:gd name="T13" fmla="*/ 140 h 220"/>
            <a:gd name="T14" fmla="*/ 25 w 40"/>
            <a:gd name="T15" fmla="*/ 174 h 220"/>
            <a:gd name="T16" fmla="*/ 29 w 40"/>
            <a:gd name="T17" fmla="*/ 209 h 220"/>
            <a:gd name="T18" fmla="*/ 27 w 40"/>
            <a:gd name="T19" fmla="*/ 220 h 2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0" h="220">
              <a:moveTo>
                <a:pt x="5" y="0"/>
              </a:moveTo>
              <a:cubicBezTo>
                <a:pt x="4" y="2"/>
                <a:pt x="3" y="5"/>
                <a:pt x="3" y="7"/>
              </a:cubicBezTo>
              <a:cubicBezTo>
                <a:pt x="3" y="9"/>
                <a:pt x="2" y="10"/>
                <a:pt x="2" y="13"/>
              </a:cubicBezTo>
              <a:cubicBezTo>
                <a:pt x="2" y="16"/>
                <a:pt x="0" y="19"/>
                <a:pt x="6" y="28"/>
              </a:cubicBezTo>
              <a:cubicBezTo>
                <a:pt x="12" y="37"/>
                <a:pt x="34" y="52"/>
                <a:pt x="37" y="65"/>
              </a:cubicBezTo>
              <a:cubicBezTo>
                <a:pt x="40" y="78"/>
                <a:pt x="23" y="94"/>
                <a:pt x="22" y="106"/>
              </a:cubicBezTo>
              <a:cubicBezTo>
                <a:pt x="21" y="118"/>
                <a:pt x="30" y="129"/>
                <a:pt x="30" y="140"/>
              </a:cubicBezTo>
              <a:cubicBezTo>
                <a:pt x="30" y="151"/>
                <a:pt x="25" y="163"/>
                <a:pt x="25" y="174"/>
              </a:cubicBezTo>
              <a:cubicBezTo>
                <a:pt x="25" y="185"/>
                <a:pt x="29" y="201"/>
                <a:pt x="29" y="209"/>
              </a:cubicBezTo>
              <a:cubicBezTo>
                <a:pt x="29" y="217"/>
                <a:pt x="28" y="218"/>
                <a:pt x="27" y="22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533400</xdr:colOff>
      <xdr:row>865</xdr:row>
      <xdr:rowOff>85725</xdr:rowOff>
    </xdr:from>
    <xdr:to>
      <xdr:col>8</xdr:col>
      <xdr:colOff>533400</xdr:colOff>
      <xdr:row>878</xdr:row>
      <xdr:rowOff>66675</xdr:rowOff>
    </xdr:to>
    <xdr:sp macro="" textlink="">
      <xdr:nvSpPr>
        <xdr:cNvPr id="1428" name="Line 404">
          <a:extLst>
            <a:ext uri="{FF2B5EF4-FFF2-40B4-BE49-F238E27FC236}">
              <a16:creationId xmlns:a16="http://schemas.microsoft.com/office/drawing/2014/main" id="{00000000-0008-0000-0100-000094050000}"/>
            </a:ext>
          </a:extLst>
        </xdr:cNvPr>
        <xdr:cNvSpPr>
          <a:spLocks noChangeShapeType="1"/>
        </xdr:cNvSpPr>
      </xdr:nvSpPr>
      <xdr:spPr bwMode="auto">
        <a:xfrm>
          <a:off x="5010150" y="142684500"/>
          <a:ext cx="0" cy="2085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438150</xdr:colOff>
      <xdr:row>865</xdr:row>
      <xdr:rowOff>95250</xdr:rowOff>
    </xdr:from>
    <xdr:to>
      <xdr:col>9</xdr:col>
      <xdr:colOff>180975</xdr:colOff>
      <xdr:row>878</xdr:row>
      <xdr:rowOff>66675</xdr:rowOff>
    </xdr:to>
    <xdr:sp macro="" textlink="">
      <xdr:nvSpPr>
        <xdr:cNvPr id="1430" name="Freeform 406">
          <a:extLst>
            <a:ext uri="{FF2B5EF4-FFF2-40B4-BE49-F238E27FC236}">
              <a16:creationId xmlns:a16="http://schemas.microsoft.com/office/drawing/2014/main" id="{00000000-0008-0000-0100-000096050000}"/>
            </a:ext>
          </a:extLst>
        </xdr:cNvPr>
        <xdr:cNvSpPr>
          <a:spLocks/>
        </xdr:cNvSpPr>
      </xdr:nvSpPr>
      <xdr:spPr bwMode="auto">
        <a:xfrm>
          <a:off x="4305300" y="142694025"/>
          <a:ext cx="962025" cy="2076450"/>
        </a:xfrm>
        <a:custGeom>
          <a:avLst/>
          <a:gdLst>
            <a:gd name="T0" fmla="*/ 0 w 101"/>
            <a:gd name="T1" fmla="*/ 0 h 218"/>
            <a:gd name="T2" fmla="*/ 91 w 101"/>
            <a:gd name="T3" fmla="*/ 44 h 218"/>
            <a:gd name="T4" fmla="*/ 63 w 101"/>
            <a:gd name="T5" fmla="*/ 101 h 218"/>
            <a:gd name="T6" fmla="*/ 80 w 101"/>
            <a:gd name="T7" fmla="*/ 139 h 218"/>
            <a:gd name="T8" fmla="*/ 71 w 101"/>
            <a:gd name="T9" fmla="*/ 181 h 218"/>
            <a:gd name="T10" fmla="*/ 76 w 101"/>
            <a:gd name="T11" fmla="*/ 203 h 218"/>
            <a:gd name="T12" fmla="*/ 74 w 101"/>
            <a:gd name="T13" fmla="*/ 218 h 218"/>
          </a:gdLst>
          <a:ahLst/>
          <a:cxnLst>
            <a:cxn ang="0">
              <a:pos x="T0" y="T1"/>
            </a:cxn>
            <a:cxn ang="0">
              <a:pos x="T2" y="T3"/>
            </a:cxn>
            <a:cxn ang="0">
              <a:pos x="T4" y="T5"/>
            </a:cxn>
            <a:cxn ang="0">
              <a:pos x="T6" y="T7"/>
            </a:cxn>
            <a:cxn ang="0">
              <a:pos x="T8" y="T9"/>
            </a:cxn>
            <a:cxn ang="0">
              <a:pos x="T10" y="T11"/>
            </a:cxn>
            <a:cxn ang="0">
              <a:pos x="T12" y="T13"/>
            </a:cxn>
          </a:cxnLst>
          <a:rect l="0" t="0" r="r" b="b"/>
          <a:pathLst>
            <a:path w="101" h="218">
              <a:moveTo>
                <a:pt x="0" y="0"/>
              </a:moveTo>
              <a:cubicBezTo>
                <a:pt x="40" y="13"/>
                <a:pt x="81" y="27"/>
                <a:pt x="91" y="44"/>
              </a:cubicBezTo>
              <a:cubicBezTo>
                <a:pt x="101" y="61"/>
                <a:pt x="65" y="85"/>
                <a:pt x="63" y="101"/>
              </a:cubicBezTo>
              <a:cubicBezTo>
                <a:pt x="61" y="117"/>
                <a:pt x="79" y="126"/>
                <a:pt x="80" y="139"/>
              </a:cubicBezTo>
              <a:cubicBezTo>
                <a:pt x="81" y="152"/>
                <a:pt x="72" y="170"/>
                <a:pt x="71" y="181"/>
              </a:cubicBezTo>
              <a:cubicBezTo>
                <a:pt x="70" y="192"/>
                <a:pt x="76" y="197"/>
                <a:pt x="76" y="203"/>
              </a:cubicBezTo>
              <a:cubicBezTo>
                <a:pt x="76" y="209"/>
                <a:pt x="75" y="213"/>
                <a:pt x="74" y="218"/>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104775</xdr:colOff>
      <xdr:row>868</xdr:row>
      <xdr:rowOff>76200</xdr:rowOff>
    </xdr:from>
    <xdr:to>
      <xdr:col>9</xdr:col>
      <xdr:colOff>352425</xdr:colOff>
      <xdr:row>869</xdr:row>
      <xdr:rowOff>28575</xdr:rowOff>
    </xdr:to>
    <xdr:sp macro="" textlink="">
      <xdr:nvSpPr>
        <xdr:cNvPr id="1431" name="Line 407">
          <a:extLst>
            <a:ext uri="{FF2B5EF4-FFF2-40B4-BE49-F238E27FC236}">
              <a16:creationId xmlns:a16="http://schemas.microsoft.com/office/drawing/2014/main" id="{00000000-0008-0000-0100-000097050000}"/>
            </a:ext>
          </a:extLst>
        </xdr:cNvPr>
        <xdr:cNvSpPr>
          <a:spLocks noChangeShapeType="1"/>
        </xdr:cNvSpPr>
      </xdr:nvSpPr>
      <xdr:spPr bwMode="auto">
        <a:xfrm flipH="1" flipV="1">
          <a:off x="5191125" y="143160750"/>
          <a:ext cx="24765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9</xdr:col>
      <xdr:colOff>400050</xdr:colOff>
      <xdr:row>868</xdr:row>
      <xdr:rowOff>76200</xdr:rowOff>
    </xdr:from>
    <xdr:ext cx="228600" cy="238125"/>
    <xdr:sp macro="" textlink="">
      <xdr:nvSpPr>
        <xdr:cNvPr id="1432" name="Text Box 408">
          <a:extLst>
            <a:ext uri="{FF2B5EF4-FFF2-40B4-BE49-F238E27FC236}">
              <a16:creationId xmlns:a16="http://schemas.microsoft.com/office/drawing/2014/main" id="{00000000-0008-0000-0100-000098050000}"/>
            </a:ext>
          </a:extLst>
        </xdr:cNvPr>
        <xdr:cNvSpPr txBox="1">
          <a:spLocks noChangeArrowheads="1"/>
        </xdr:cNvSpPr>
      </xdr:nvSpPr>
      <xdr:spPr bwMode="auto">
        <a:xfrm>
          <a:off x="5486400" y="143160750"/>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M</a:t>
          </a:r>
          <a:r>
            <a:rPr lang="en-US" sz="1000" b="0" i="0" u="none" strike="noStrike" baseline="-25000">
              <a:solidFill>
                <a:srgbClr val="000000"/>
              </a:solidFill>
              <a:latin typeface="Arial"/>
              <a:cs typeface="Arial"/>
            </a:rPr>
            <a:t>u</a:t>
          </a:r>
        </a:p>
      </xdr:txBody>
    </xdr:sp>
    <xdr:clientData/>
  </xdr:oneCellAnchor>
  <xdr:twoCellAnchor>
    <xdr:from>
      <xdr:col>3</xdr:col>
      <xdr:colOff>428625</xdr:colOff>
      <xdr:row>865</xdr:row>
      <xdr:rowOff>66675</xdr:rowOff>
    </xdr:from>
    <xdr:to>
      <xdr:col>3</xdr:col>
      <xdr:colOff>428625</xdr:colOff>
      <xdr:row>867</xdr:row>
      <xdr:rowOff>152400</xdr:rowOff>
    </xdr:to>
    <xdr:sp macro="" textlink="">
      <xdr:nvSpPr>
        <xdr:cNvPr id="1433" name="Line 409">
          <a:extLst>
            <a:ext uri="{FF2B5EF4-FFF2-40B4-BE49-F238E27FC236}">
              <a16:creationId xmlns:a16="http://schemas.microsoft.com/office/drawing/2014/main" id="{00000000-0008-0000-0100-000099050000}"/>
            </a:ext>
          </a:extLst>
        </xdr:cNvPr>
        <xdr:cNvSpPr>
          <a:spLocks noChangeShapeType="1"/>
        </xdr:cNvSpPr>
      </xdr:nvSpPr>
      <xdr:spPr bwMode="auto">
        <a:xfrm>
          <a:off x="1457325" y="142665450"/>
          <a:ext cx="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371475</xdr:colOff>
      <xdr:row>867</xdr:row>
      <xdr:rowOff>152400</xdr:rowOff>
    </xdr:from>
    <xdr:to>
      <xdr:col>4</xdr:col>
      <xdr:colOff>19050</xdr:colOff>
      <xdr:row>867</xdr:row>
      <xdr:rowOff>152400</xdr:rowOff>
    </xdr:to>
    <xdr:sp macro="" textlink="">
      <xdr:nvSpPr>
        <xdr:cNvPr id="1434" name="Line 410">
          <a:extLst>
            <a:ext uri="{FF2B5EF4-FFF2-40B4-BE49-F238E27FC236}">
              <a16:creationId xmlns:a16="http://schemas.microsoft.com/office/drawing/2014/main" id="{00000000-0008-0000-0100-00009A050000}"/>
            </a:ext>
          </a:extLst>
        </xdr:cNvPr>
        <xdr:cNvSpPr>
          <a:spLocks noChangeShapeType="1"/>
        </xdr:cNvSpPr>
      </xdr:nvSpPr>
      <xdr:spPr bwMode="auto">
        <a:xfrm>
          <a:off x="1400175" y="14307502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590550</xdr:colOff>
      <xdr:row>867</xdr:row>
      <xdr:rowOff>152400</xdr:rowOff>
    </xdr:from>
    <xdr:to>
      <xdr:col>4</xdr:col>
      <xdr:colOff>114300</xdr:colOff>
      <xdr:row>869</xdr:row>
      <xdr:rowOff>57150</xdr:rowOff>
    </xdr:to>
    <xdr:sp macro="" textlink="">
      <xdr:nvSpPr>
        <xdr:cNvPr id="1435" name="Line 411">
          <a:extLst>
            <a:ext uri="{FF2B5EF4-FFF2-40B4-BE49-F238E27FC236}">
              <a16:creationId xmlns:a16="http://schemas.microsoft.com/office/drawing/2014/main" id="{00000000-0008-0000-0100-00009B050000}"/>
            </a:ext>
          </a:extLst>
        </xdr:cNvPr>
        <xdr:cNvSpPr>
          <a:spLocks noChangeShapeType="1"/>
        </xdr:cNvSpPr>
      </xdr:nvSpPr>
      <xdr:spPr bwMode="auto">
        <a:xfrm flipV="1">
          <a:off x="1619250" y="143075025"/>
          <a:ext cx="15240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xdr:col>
      <xdr:colOff>104775</xdr:colOff>
      <xdr:row>869</xdr:row>
      <xdr:rowOff>0</xdr:rowOff>
    </xdr:from>
    <xdr:ext cx="485775" cy="200025"/>
    <xdr:sp macro="" textlink="">
      <xdr:nvSpPr>
        <xdr:cNvPr id="1436" name="Text Box 412">
          <a:extLst>
            <a:ext uri="{FF2B5EF4-FFF2-40B4-BE49-F238E27FC236}">
              <a16:creationId xmlns:a16="http://schemas.microsoft.com/office/drawing/2014/main" id="{00000000-0008-0000-0100-00009C050000}"/>
            </a:ext>
          </a:extLst>
        </xdr:cNvPr>
        <xdr:cNvSpPr txBox="1">
          <a:spLocks noChangeArrowheads="1"/>
        </xdr:cNvSpPr>
      </xdr:nvSpPr>
      <xdr:spPr bwMode="auto">
        <a:xfrm>
          <a:off x="1133475" y="143246475"/>
          <a:ext cx="485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Symbol"/>
            </a:rPr>
            <a:t>D</a:t>
          </a:r>
          <a:r>
            <a:rPr lang="en-US" sz="1000" b="0" i="0" u="none" strike="noStrike" baseline="0">
              <a:solidFill>
                <a:srgbClr val="000000"/>
              </a:solidFill>
              <a:latin typeface="Arial"/>
              <a:cs typeface="Arial"/>
            </a:rPr>
            <a:t> = 2%</a:t>
          </a:r>
        </a:p>
      </xdr:txBody>
    </xdr:sp>
    <xdr:clientData/>
  </xdr:oneCellAnchor>
  <xdr:twoCellAnchor>
    <xdr:from>
      <xdr:col>3</xdr:col>
      <xdr:colOff>371475</xdr:colOff>
      <xdr:row>865</xdr:row>
      <xdr:rowOff>66675</xdr:rowOff>
    </xdr:from>
    <xdr:to>
      <xdr:col>3</xdr:col>
      <xdr:colOff>561975</xdr:colOff>
      <xdr:row>865</xdr:row>
      <xdr:rowOff>66675</xdr:rowOff>
    </xdr:to>
    <xdr:sp macro="" textlink="">
      <xdr:nvSpPr>
        <xdr:cNvPr id="1437" name="Line 413">
          <a:extLst>
            <a:ext uri="{FF2B5EF4-FFF2-40B4-BE49-F238E27FC236}">
              <a16:creationId xmlns:a16="http://schemas.microsoft.com/office/drawing/2014/main" id="{00000000-0008-0000-0100-00009D050000}"/>
            </a:ext>
          </a:extLst>
        </xdr:cNvPr>
        <xdr:cNvSpPr>
          <a:spLocks noChangeShapeType="1"/>
        </xdr:cNvSpPr>
      </xdr:nvSpPr>
      <xdr:spPr bwMode="auto">
        <a:xfrm>
          <a:off x="1400175" y="14266545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152400</xdr:colOff>
      <xdr:row>866</xdr:row>
      <xdr:rowOff>0</xdr:rowOff>
    </xdr:from>
    <xdr:ext cx="219075" cy="238125"/>
    <xdr:sp macro="" textlink="">
      <xdr:nvSpPr>
        <xdr:cNvPr id="1438" name="Text Box 414">
          <a:extLst>
            <a:ext uri="{FF2B5EF4-FFF2-40B4-BE49-F238E27FC236}">
              <a16:creationId xmlns:a16="http://schemas.microsoft.com/office/drawing/2014/main" id="{00000000-0008-0000-0100-00009E050000}"/>
            </a:ext>
          </a:extLst>
        </xdr:cNvPr>
        <xdr:cNvSpPr txBox="1">
          <a:spLocks noChangeArrowheads="1"/>
        </xdr:cNvSpPr>
      </xdr:nvSpPr>
      <xdr:spPr bwMode="auto">
        <a:xfrm>
          <a:off x="1181100" y="142760700"/>
          <a:ext cx="2190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L</a:t>
          </a:r>
          <a:r>
            <a:rPr lang="en-US" sz="1000" b="0" i="0" u="none" strike="noStrike" baseline="-25000">
              <a:solidFill>
                <a:srgbClr val="000000"/>
              </a:solidFill>
              <a:latin typeface="Arial"/>
              <a:cs typeface="Arial"/>
            </a:rPr>
            <a:t> n</a:t>
          </a:r>
        </a:p>
      </xdr:txBody>
    </xdr:sp>
    <xdr:clientData/>
  </xdr:oneCellAnchor>
  <xdr:twoCellAnchor>
    <xdr:from>
      <xdr:col>9</xdr:col>
      <xdr:colOff>9525</xdr:colOff>
      <xdr:row>865</xdr:row>
      <xdr:rowOff>85725</xdr:rowOff>
    </xdr:from>
    <xdr:to>
      <xdr:col>9</xdr:col>
      <xdr:colOff>304800</xdr:colOff>
      <xdr:row>865</xdr:row>
      <xdr:rowOff>85725</xdr:rowOff>
    </xdr:to>
    <xdr:sp macro="" textlink="">
      <xdr:nvSpPr>
        <xdr:cNvPr id="1441" name="Line 417">
          <a:extLst>
            <a:ext uri="{FF2B5EF4-FFF2-40B4-BE49-F238E27FC236}">
              <a16:creationId xmlns:a16="http://schemas.microsoft.com/office/drawing/2014/main" id="{00000000-0008-0000-0100-0000A1050000}"/>
            </a:ext>
          </a:extLst>
        </xdr:cNvPr>
        <xdr:cNvSpPr>
          <a:spLocks noChangeShapeType="1"/>
        </xdr:cNvSpPr>
      </xdr:nvSpPr>
      <xdr:spPr bwMode="auto">
        <a:xfrm>
          <a:off x="5095875" y="142684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867</xdr:row>
      <xdr:rowOff>47625</xdr:rowOff>
    </xdr:from>
    <xdr:to>
      <xdr:col>9</xdr:col>
      <xdr:colOff>304800</xdr:colOff>
      <xdr:row>867</xdr:row>
      <xdr:rowOff>47625</xdr:rowOff>
    </xdr:to>
    <xdr:sp macro="" textlink="">
      <xdr:nvSpPr>
        <xdr:cNvPr id="1442" name="Line 418">
          <a:extLst>
            <a:ext uri="{FF2B5EF4-FFF2-40B4-BE49-F238E27FC236}">
              <a16:creationId xmlns:a16="http://schemas.microsoft.com/office/drawing/2014/main" id="{00000000-0008-0000-0100-0000A2050000}"/>
            </a:ext>
          </a:extLst>
        </xdr:cNvPr>
        <xdr:cNvSpPr>
          <a:spLocks noChangeShapeType="1"/>
        </xdr:cNvSpPr>
      </xdr:nvSpPr>
      <xdr:spPr bwMode="auto">
        <a:xfrm>
          <a:off x="5095875" y="142970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257175</xdr:colOff>
      <xdr:row>865</xdr:row>
      <xdr:rowOff>85725</xdr:rowOff>
    </xdr:from>
    <xdr:to>
      <xdr:col>9</xdr:col>
      <xdr:colOff>257175</xdr:colOff>
      <xdr:row>867</xdr:row>
      <xdr:rowOff>47625</xdr:rowOff>
    </xdr:to>
    <xdr:sp macro="" textlink="">
      <xdr:nvSpPr>
        <xdr:cNvPr id="1443" name="Line 419">
          <a:extLst>
            <a:ext uri="{FF2B5EF4-FFF2-40B4-BE49-F238E27FC236}">
              <a16:creationId xmlns:a16="http://schemas.microsoft.com/office/drawing/2014/main" id="{00000000-0008-0000-0100-0000A3050000}"/>
            </a:ext>
          </a:extLst>
        </xdr:cNvPr>
        <xdr:cNvSpPr>
          <a:spLocks noChangeShapeType="1"/>
        </xdr:cNvSpPr>
      </xdr:nvSpPr>
      <xdr:spPr bwMode="auto">
        <a:xfrm>
          <a:off x="5343525" y="142684500"/>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oneCellAnchor>
    <xdr:from>
      <xdr:col>9</xdr:col>
      <xdr:colOff>342900</xdr:colOff>
      <xdr:row>865</xdr:row>
      <xdr:rowOff>114300</xdr:rowOff>
    </xdr:from>
    <xdr:ext cx="238125" cy="238125"/>
    <xdr:sp macro="" textlink="">
      <xdr:nvSpPr>
        <xdr:cNvPr id="1444" name="Text Box 420">
          <a:extLst>
            <a:ext uri="{FF2B5EF4-FFF2-40B4-BE49-F238E27FC236}">
              <a16:creationId xmlns:a16="http://schemas.microsoft.com/office/drawing/2014/main" id="{00000000-0008-0000-0100-0000A4050000}"/>
            </a:ext>
          </a:extLst>
        </xdr:cNvPr>
        <xdr:cNvSpPr txBox="1">
          <a:spLocks noChangeArrowheads="1"/>
        </xdr:cNvSpPr>
      </xdr:nvSpPr>
      <xdr:spPr bwMode="auto">
        <a:xfrm>
          <a:off x="5429250" y="142713075"/>
          <a:ext cx="238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L</a:t>
          </a:r>
          <a:r>
            <a:rPr lang="en-US" sz="1000" b="0" i="0" u="none" strike="noStrike" baseline="-25000">
              <a:solidFill>
                <a:srgbClr val="000000"/>
              </a:solidFill>
              <a:latin typeface="Arial"/>
              <a:cs typeface="Arial"/>
            </a:rPr>
            <a:t> i1</a:t>
          </a:r>
        </a:p>
      </xdr:txBody>
    </xdr:sp>
    <xdr:clientData/>
  </xdr:oneCellAnchor>
  <xdr:twoCellAnchor>
    <xdr:from>
      <xdr:col>7</xdr:col>
      <xdr:colOff>152400</xdr:colOff>
      <xdr:row>865</xdr:row>
      <xdr:rowOff>95250</xdr:rowOff>
    </xdr:from>
    <xdr:to>
      <xdr:col>7</xdr:col>
      <xdr:colOff>390525</xdr:colOff>
      <xdr:row>865</xdr:row>
      <xdr:rowOff>95250</xdr:rowOff>
    </xdr:to>
    <xdr:sp macro="" textlink="">
      <xdr:nvSpPr>
        <xdr:cNvPr id="1446" name="Line 422">
          <a:extLst>
            <a:ext uri="{FF2B5EF4-FFF2-40B4-BE49-F238E27FC236}">
              <a16:creationId xmlns:a16="http://schemas.microsoft.com/office/drawing/2014/main" id="{00000000-0008-0000-0100-0000A6050000}"/>
            </a:ext>
          </a:extLst>
        </xdr:cNvPr>
        <xdr:cNvSpPr>
          <a:spLocks noChangeShapeType="1"/>
        </xdr:cNvSpPr>
      </xdr:nvSpPr>
      <xdr:spPr bwMode="auto">
        <a:xfrm flipH="1">
          <a:off x="4019550" y="1426940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152400</xdr:colOff>
      <xdr:row>870</xdr:row>
      <xdr:rowOff>66675</xdr:rowOff>
    </xdr:from>
    <xdr:to>
      <xdr:col>8</xdr:col>
      <xdr:colOff>466725</xdr:colOff>
      <xdr:row>870</xdr:row>
      <xdr:rowOff>66675</xdr:rowOff>
    </xdr:to>
    <xdr:sp macro="" textlink="">
      <xdr:nvSpPr>
        <xdr:cNvPr id="1447" name="Line 423">
          <a:extLst>
            <a:ext uri="{FF2B5EF4-FFF2-40B4-BE49-F238E27FC236}">
              <a16:creationId xmlns:a16="http://schemas.microsoft.com/office/drawing/2014/main" id="{00000000-0008-0000-0100-0000A7050000}"/>
            </a:ext>
          </a:extLst>
        </xdr:cNvPr>
        <xdr:cNvSpPr>
          <a:spLocks noChangeShapeType="1"/>
        </xdr:cNvSpPr>
      </xdr:nvSpPr>
      <xdr:spPr bwMode="auto">
        <a:xfrm flipH="1">
          <a:off x="4019550" y="143475075"/>
          <a:ext cx="923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219075</xdr:colOff>
      <xdr:row>865</xdr:row>
      <xdr:rowOff>95250</xdr:rowOff>
    </xdr:from>
    <xdr:to>
      <xdr:col>7</xdr:col>
      <xdr:colOff>219075</xdr:colOff>
      <xdr:row>870</xdr:row>
      <xdr:rowOff>66675</xdr:rowOff>
    </xdr:to>
    <xdr:sp macro="" textlink="">
      <xdr:nvSpPr>
        <xdr:cNvPr id="1448" name="Line 424">
          <a:extLst>
            <a:ext uri="{FF2B5EF4-FFF2-40B4-BE49-F238E27FC236}">
              <a16:creationId xmlns:a16="http://schemas.microsoft.com/office/drawing/2014/main" id="{00000000-0008-0000-0100-0000A8050000}"/>
            </a:ext>
          </a:extLst>
        </xdr:cNvPr>
        <xdr:cNvSpPr>
          <a:spLocks noChangeShapeType="1"/>
        </xdr:cNvSpPr>
      </xdr:nvSpPr>
      <xdr:spPr bwMode="auto">
        <a:xfrm>
          <a:off x="4086225" y="1426940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oneCellAnchor>
    <xdr:from>
      <xdr:col>6</xdr:col>
      <xdr:colOff>828675</xdr:colOff>
      <xdr:row>867</xdr:row>
      <xdr:rowOff>38100</xdr:rowOff>
    </xdr:from>
    <xdr:ext cx="238125" cy="238125"/>
    <xdr:sp macro="" textlink="">
      <xdr:nvSpPr>
        <xdr:cNvPr id="1449" name="Text Box 425">
          <a:extLst>
            <a:ext uri="{FF2B5EF4-FFF2-40B4-BE49-F238E27FC236}">
              <a16:creationId xmlns:a16="http://schemas.microsoft.com/office/drawing/2014/main" id="{00000000-0008-0000-0100-0000A9050000}"/>
            </a:ext>
          </a:extLst>
        </xdr:cNvPr>
        <xdr:cNvSpPr txBox="1">
          <a:spLocks noChangeArrowheads="1"/>
        </xdr:cNvSpPr>
      </xdr:nvSpPr>
      <xdr:spPr bwMode="auto">
        <a:xfrm>
          <a:off x="3819525" y="142960725"/>
          <a:ext cx="238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L</a:t>
          </a:r>
          <a:r>
            <a:rPr lang="en-US" sz="1000" b="0" i="0" u="none" strike="noStrike" baseline="-25000">
              <a:solidFill>
                <a:srgbClr val="000000"/>
              </a:solidFill>
              <a:latin typeface="Arial"/>
              <a:cs typeface="Arial"/>
            </a:rPr>
            <a:t> i2</a:t>
          </a:r>
        </a:p>
      </xdr:txBody>
    </xdr:sp>
    <xdr:clientData/>
  </xdr:oneCellAnchor>
  <xdr:twoCellAnchor>
    <xdr:from>
      <xdr:col>4</xdr:col>
      <xdr:colOff>228600</xdr:colOff>
      <xdr:row>865</xdr:row>
      <xdr:rowOff>66675</xdr:rowOff>
    </xdr:from>
    <xdr:to>
      <xdr:col>4</xdr:col>
      <xdr:colOff>561975</xdr:colOff>
      <xdr:row>865</xdr:row>
      <xdr:rowOff>66675</xdr:rowOff>
    </xdr:to>
    <xdr:sp macro="" textlink="">
      <xdr:nvSpPr>
        <xdr:cNvPr id="1451" name="Line 427">
          <a:extLst>
            <a:ext uri="{FF2B5EF4-FFF2-40B4-BE49-F238E27FC236}">
              <a16:creationId xmlns:a16="http://schemas.microsoft.com/office/drawing/2014/main" id="{00000000-0008-0000-0100-0000AB050000}"/>
            </a:ext>
          </a:extLst>
        </xdr:cNvPr>
        <xdr:cNvSpPr>
          <a:spLocks noChangeShapeType="1"/>
        </xdr:cNvSpPr>
      </xdr:nvSpPr>
      <xdr:spPr bwMode="auto">
        <a:xfrm flipH="1">
          <a:off x="1885950" y="142665450"/>
          <a:ext cx="333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868</xdr:row>
      <xdr:rowOff>57150</xdr:rowOff>
    </xdr:from>
    <xdr:to>
      <xdr:col>4</xdr:col>
      <xdr:colOff>561975</xdr:colOff>
      <xdr:row>868</xdr:row>
      <xdr:rowOff>57150</xdr:rowOff>
    </xdr:to>
    <xdr:sp macro="" textlink="">
      <xdr:nvSpPr>
        <xdr:cNvPr id="1452" name="Line 428">
          <a:extLst>
            <a:ext uri="{FF2B5EF4-FFF2-40B4-BE49-F238E27FC236}">
              <a16:creationId xmlns:a16="http://schemas.microsoft.com/office/drawing/2014/main" id="{00000000-0008-0000-0100-0000AC050000}"/>
            </a:ext>
          </a:extLst>
        </xdr:cNvPr>
        <xdr:cNvSpPr>
          <a:spLocks noChangeShapeType="1"/>
        </xdr:cNvSpPr>
      </xdr:nvSpPr>
      <xdr:spPr bwMode="auto">
        <a:xfrm flipH="1">
          <a:off x="1885950" y="143141700"/>
          <a:ext cx="333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504825</xdr:colOff>
      <xdr:row>865</xdr:row>
      <xdr:rowOff>66675</xdr:rowOff>
    </xdr:from>
    <xdr:to>
      <xdr:col>4</xdr:col>
      <xdr:colOff>504825</xdr:colOff>
      <xdr:row>868</xdr:row>
      <xdr:rowOff>57150</xdr:rowOff>
    </xdr:to>
    <xdr:sp macro="" textlink="">
      <xdr:nvSpPr>
        <xdr:cNvPr id="1453" name="Line 429">
          <a:extLst>
            <a:ext uri="{FF2B5EF4-FFF2-40B4-BE49-F238E27FC236}">
              <a16:creationId xmlns:a16="http://schemas.microsoft.com/office/drawing/2014/main" id="{00000000-0008-0000-0100-0000AD050000}"/>
            </a:ext>
          </a:extLst>
        </xdr:cNvPr>
        <xdr:cNvSpPr>
          <a:spLocks noChangeShapeType="1"/>
        </xdr:cNvSpPr>
      </xdr:nvSpPr>
      <xdr:spPr bwMode="auto">
        <a:xfrm>
          <a:off x="2162175" y="14266545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oneCellAnchor>
    <xdr:from>
      <xdr:col>4</xdr:col>
      <xdr:colOff>552450</xdr:colOff>
      <xdr:row>866</xdr:row>
      <xdr:rowOff>19050</xdr:rowOff>
    </xdr:from>
    <xdr:ext cx="219075" cy="238125"/>
    <xdr:sp macro="" textlink="">
      <xdr:nvSpPr>
        <xdr:cNvPr id="1454" name="Text Box 430">
          <a:extLst>
            <a:ext uri="{FF2B5EF4-FFF2-40B4-BE49-F238E27FC236}">
              <a16:creationId xmlns:a16="http://schemas.microsoft.com/office/drawing/2014/main" id="{00000000-0008-0000-0100-0000AE050000}"/>
            </a:ext>
          </a:extLst>
        </xdr:cNvPr>
        <xdr:cNvSpPr txBox="1">
          <a:spLocks noChangeArrowheads="1"/>
        </xdr:cNvSpPr>
      </xdr:nvSpPr>
      <xdr:spPr bwMode="auto">
        <a:xfrm>
          <a:off x="2209800" y="142779750"/>
          <a:ext cx="2190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L</a:t>
          </a:r>
          <a:r>
            <a:rPr lang="en-US" sz="1000" b="0" i="0" u="none" strike="noStrike" baseline="-25000">
              <a:solidFill>
                <a:srgbClr val="000000"/>
              </a:solidFill>
              <a:latin typeface="Arial"/>
              <a:cs typeface="Arial"/>
            </a:rPr>
            <a:t> p</a:t>
          </a:r>
        </a:p>
      </xdr:txBody>
    </xdr:sp>
    <xdr:clientData/>
  </xdr:oneCellAnchor>
  <xdr:twoCellAnchor>
    <xdr:from>
      <xdr:col>2</xdr:col>
      <xdr:colOff>190500</xdr:colOff>
      <xdr:row>598</xdr:row>
      <xdr:rowOff>19050</xdr:rowOff>
    </xdr:from>
    <xdr:to>
      <xdr:col>3</xdr:col>
      <xdr:colOff>619125</xdr:colOff>
      <xdr:row>598</xdr:row>
      <xdr:rowOff>19050</xdr:rowOff>
    </xdr:to>
    <xdr:sp macro="" textlink="">
      <xdr:nvSpPr>
        <xdr:cNvPr id="1466" name="Line 442">
          <a:extLst>
            <a:ext uri="{FF2B5EF4-FFF2-40B4-BE49-F238E27FC236}">
              <a16:creationId xmlns:a16="http://schemas.microsoft.com/office/drawing/2014/main" id="{00000000-0008-0000-0100-0000BA050000}"/>
            </a:ext>
          </a:extLst>
        </xdr:cNvPr>
        <xdr:cNvSpPr>
          <a:spLocks noChangeShapeType="1"/>
        </xdr:cNvSpPr>
      </xdr:nvSpPr>
      <xdr:spPr bwMode="auto">
        <a:xfrm>
          <a:off x="838200" y="98374200"/>
          <a:ext cx="809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333375</xdr:colOff>
      <xdr:row>497</xdr:row>
      <xdr:rowOff>104775</xdr:rowOff>
    </xdr:from>
    <xdr:to>
      <xdr:col>4</xdr:col>
      <xdr:colOff>114300</xdr:colOff>
      <xdr:row>497</xdr:row>
      <xdr:rowOff>104775</xdr:rowOff>
    </xdr:to>
    <xdr:sp macro="" textlink="">
      <xdr:nvSpPr>
        <xdr:cNvPr id="1468" name="Line 444">
          <a:extLst>
            <a:ext uri="{FF2B5EF4-FFF2-40B4-BE49-F238E27FC236}">
              <a16:creationId xmlns:a16="http://schemas.microsoft.com/office/drawing/2014/main" id="{00000000-0008-0000-0100-0000BC050000}"/>
            </a:ext>
          </a:extLst>
        </xdr:cNvPr>
        <xdr:cNvSpPr>
          <a:spLocks noChangeShapeType="1"/>
        </xdr:cNvSpPr>
      </xdr:nvSpPr>
      <xdr:spPr bwMode="auto">
        <a:xfrm>
          <a:off x="981075" y="81638775"/>
          <a:ext cx="790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314325</xdr:colOff>
      <xdr:row>497</xdr:row>
      <xdr:rowOff>19050</xdr:rowOff>
    </xdr:from>
    <xdr:ext cx="724044" cy="612988"/>
    <xdr:sp macro="" textlink="">
      <xdr:nvSpPr>
        <xdr:cNvPr id="1469" name="Text Box 445">
          <a:extLst>
            <a:ext uri="{FF2B5EF4-FFF2-40B4-BE49-F238E27FC236}">
              <a16:creationId xmlns:a16="http://schemas.microsoft.com/office/drawing/2014/main" id="{00000000-0008-0000-0100-0000BD050000}"/>
            </a:ext>
          </a:extLst>
        </xdr:cNvPr>
        <xdr:cNvSpPr txBox="1">
          <a:spLocks noChangeArrowheads="1"/>
        </xdr:cNvSpPr>
      </xdr:nvSpPr>
      <xdr:spPr bwMode="auto">
        <a:xfrm>
          <a:off x="314325" y="81553050"/>
          <a:ext cx="724044" cy="6129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lnSpc>
              <a:spcPts val="1100"/>
            </a:lnSpc>
            <a:defRPr sz="1000"/>
          </a:pPr>
          <a:r>
            <a:rPr lang="en-US" sz="1000" b="0" i="0" u="none" strike="noStrike" baseline="0">
              <a:solidFill>
                <a:srgbClr val="000000"/>
              </a:solidFill>
              <a:latin typeface="Arial"/>
              <a:cs typeface="Arial"/>
            </a:rPr>
            <a:t>centrifugal</a:t>
          </a:r>
        </a:p>
        <a:p>
          <a:pPr algn="l" rtl="0">
            <a:lnSpc>
              <a:spcPts val="1100"/>
            </a:lnSpc>
            <a:defRPr sz="1000"/>
          </a:pPr>
          <a:r>
            <a:rPr lang="en-US" sz="1000" b="0" i="0" u="none" strike="noStrike" baseline="0">
              <a:solidFill>
                <a:srgbClr val="000000"/>
              </a:solidFill>
              <a:latin typeface="Arial"/>
              <a:cs typeface="Arial"/>
            </a:rPr>
            <a:t>force and/or</a:t>
          </a:r>
        </a:p>
        <a:p>
          <a:pPr algn="l" rtl="0">
            <a:lnSpc>
              <a:spcPts val="1100"/>
            </a:lnSpc>
            <a:defRPr sz="1000"/>
          </a:pPr>
          <a:r>
            <a:rPr lang="en-US" sz="1000" b="0" i="0" u="none" strike="noStrike" baseline="0">
              <a:solidFill>
                <a:srgbClr val="000000"/>
              </a:solidFill>
              <a:latin typeface="Arial"/>
              <a:cs typeface="Arial"/>
            </a:rPr>
            <a:t>wind on live </a:t>
          </a:r>
        </a:p>
        <a:p>
          <a:pPr algn="l" rtl="0">
            <a:lnSpc>
              <a:spcPts val="1000"/>
            </a:lnSpc>
            <a:defRPr sz="1000"/>
          </a:pPr>
          <a:r>
            <a:rPr lang="en-US" sz="1000" b="0" i="0" u="none" strike="noStrike" baseline="0">
              <a:solidFill>
                <a:srgbClr val="000000"/>
              </a:solidFill>
              <a:latin typeface="Arial"/>
              <a:cs typeface="Arial"/>
            </a:rPr>
            <a:t>load</a:t>
          </a:r>
        </a:p>
      </xdr:txBody>
    </xdr:sp>
    <xdr:clientData/>
  </xdr:oneCellAnchor>
  <xdr:twoCellAnchor>
    <xdr:from>
      <xdr:col>3</xdr:col>
      <xdr:colOff>133350</xdr:colOff>
      <xdr:row>229</xdr:row>
      <xdr:rowOff>152400</xdr:rowOff>
    </xdr:from>
    <xdr:to>
      <xdr:col>4</xdr:col>
      <xdr:colOff>114300</xdr:colOff>
      <xdr:row>233</xdr:row>
      <xdr:rowOff>123825</xdr:rowOff>
    </xdr:to>
    <xdr:sp macro="" textlink="">
      <xdr:nvSpPr>
        <xdr:cNvPr id="1483" name="Freeform 459">
          <a:extLst>
            <a:ext uri="{FF2B5EF4-FFF2-40B4-BE49-F238E27FC236}">
              <a16:creationId xmlns:a16="http://schemas.microsoft.com/office/drawing/2014/main" id="{00000000-0008-0000-0100-0000CB050000}"/>
            </a:ext>
          </a:extLst>
        </xdr:cNvPr>
        <xdr:cNvSpPr>
          <a:spLocks/>
        </xdr:cNvSpPr>
      </xdr:nvSpPr>
      <xdr:spPr bwMode="auto">
        <a:xfrm>
          <a:off x="1162050" y="37919025"/>
          <a:ext cx="609600" cy="619125"/>
        </a:xfrm>
        <a:custGeom>
          <a:avLst/>
          <a:gdLst>
            <a:gd name="T0" fmla="*/ 66 w 66"/>
            <a:gd name="T1" fmla="*/ 0 h 65"/>
            <a:gd name="T2" fmla="*/ 66 w 66"/>
            <a:gd name="T3" fmla="*/ 49 h 65"/>
            <a:gd name="T4" fmla="*/ 50 w 66"/>
            <a:gd name="T5" fmla="*/ 65 h 65"/>
            <a:gd name="T6" fmla="*/ 0 w 66"/>
            <a:gd name="T7" fmla="*/ 65 h 65"/>
          </a:gdLst>
          <a:ahLst/>
          <a:cxnLst>
            <a:cxn ang="0">
              <a:pos x="T0" y="T1"/>
            </a:cxn>
            <a:cxn ang="0">
              <a:pos x="T2" y="T3"/>
            </a:cxn>
            <a:cxn ang="0">
              <a:pos x="T4" y="T5"/>
            </a:cxn>
            <a:cxn ang="0">
              <a:pos x="T6" y="T7"/>
            </a:cxn>
          </a:cxnLst>
          <a:rect l="0" t="0" r="r" b="b"/>
          <a:pathLst>
            <a:path w="66" h="65">
              <a:moveTo>
                <a:pt x="66" y="0"/>
              </a:moveTo>
              <a:lnTo>
                <a:pt x="66" y="49"/>
              </a:lnTo>
              <a:lnTo>
                <a:pt x="50" y="65"/>
              </a:lnTo>
              <a:lnTo>
                <a:pt x="0" y="65"/>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352425</xdr:colOff>
      <xdr:row>236</xdr:row>
      <xdr:rowOff>28575</xdr:rowOff>
    </xdr:from>
    <xdr:to>
      <xdr:col>5</xdr:col>
      <xdr:colOff>9525</xdr:colOff>
      <xdr:row>236</xdr:row>
      <xdr:rowOff>28575</xdr:rowOff>
    </xdr:to>
    <xdr:sp macro="" textlink="">
      <xdr:nvSpPr>
        <xdr:cNvPr id="1484" name="Line 460">
          <a:extLst>
            <a:ext uri="{FF2B5EF4-FFF2-40B4-BE49-F238E27FC236}">
              <a16:creationId xmlns:a16="http://schemas.microsoft.com/office/drawing/2014/main" id="{00000000-0008-0000-0100-0000CC050000}"/>
            </a:ext>
          </a:extLst>
        </xdr:cNvPr>
        <xdr:cNvSpPr>
          <a:spLocks noChangeShapeType="1"/>
        </xdr:cNvSpPr>
      </xdr:nvSpPr>
      <xdr:spPr bwMode="auto">
        <a:xfrm>
          <a:off x="1000125" y="38928675"/>
          <a:ext cx="1285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233</xdr:row>
      <xdr:rowOff>57150</xdr:rowOff>
    </xdr:from>
    <xdr:to>
      <xdr:col>1</xdr:col>
      <xdr:colOff>180975</xdr:colOff>
      <xdr:row>235</xdr:row>
      <xdr:rowOff>142875</xdr:rowOff>
    </xdr:to>
    <xdr:sp macro="" textlink="">
      <xdr:nvSpPr>
        <xdr:cNvPr id="1485" name="Freeform 461">
          <a:extLst>
            <a:ext uri="{FF2B5EF4-FFF2-40B4-BE49-F238E27FC236}">
              <a16:creationId xmlns:a16="http://schemas.microsoft.com/office/drawing/2014/main" id="{00000000-0008-0000-0100-0000CD050000}"/>
            </a:ext>
          </a:extLst>
        </xdr:cNvPr>
        <xdr:cNvSpPr>
          <a:spLocks/>
        </xdr:cNvSpPr>
      </xdr:nvSpPr>
      <xdr:spPr bwMode="auto">
        <a:xfrm>
          <a:off x="447675" y="38471475"/>
          <a:ext cx="66675" cy="409575"/>
        </a:xfrm>
        <a:custGeom>
          <a:avLst/>
          <a:gdLst>
            <a:gd name="T0" fmla="*/ 5 w 7"/>
            <a:gd name="T1" fmla="*/ 0 h 43"/>
            <a:gd name="T2" fmla="*/ 0 w 7"/>
            <a:gd name="T3" fmla="*/ 10 h 43"/>
            <a:gd name="T4" fmla="*/ 7 w 7"/>
            <a:gd name="T5" fmla="*/ 23 h 43"/>
            <a:gd name="T6" fmla="*/ 1 w 7"/>
            <a:gd name="T7" fmla="*/ 36 h 43"/>
            <a:gd name="T8" fmla="*/ 6 w 7"/>
            <a:gd name="T9" fmla="*/ 43 h 43"/>
          </a:gdLst>
          <a:ahLst/>
          <a:cxnLst>
            <a:cxn ang="0">
              <a:pos x="T0" y="T1"/>
            </a:cxn>
            <a:cxn ang="0">
              <a:pos x="T2" y="T3"/>
            </a:cxn>
            <a:cxn ang="0">
              <a:pos x="T4" y="T5"/>
            </a:cxn>
            <a:cxn ang="0">
              <a:pos x="T6" y="T7"/>
            </a:cxn>
            <a:cxn ang="0">
              <a:pos x="T8" y="T9"/>
            </a:cxn>
          </a:cxnLst>
          <a:rect l="0" t="0" r="r" b="b"/>
          <a:pathLst>
            <a:path w="7" h="43">
              <a:moveTo>
                <a:pt x="5" y="0"/>
              </a:moveTo>
              <a:cubicBezTo>
                <a:pt x="2" y="3"/>
                <a:pt x="0" y="6"/>
                <a:pt x="0" y="10"/>
              </a:cubicBezTo>
              <a:cubicBezTo>
                <a:pt x="0" y="14"/>
                <a:pt x="7" y="19"/>
                <a:pt x="7" y="23"/>
              </a:cubicBezTo>
              <a:cubicBezTo>
                <a:pt x="7" y="27"/>
                <a:pt x="1" y="33"/>
                <a:pt x="1" y="36"/>
              </a:cubicBezTo>
              <a:cubicBezTo>
                <a:pt x="1" y="39"/>
                <a:pt x="5" y="42"/>
                <a:pt x="6" y="43"/>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581025</xdr:colOff>
      <xdr:row>229</xdr:row>
      <xdr:rowOff>28575</xdr:rowOff>
    </xdr:from>
    <xdr:to>
      <xdr:col>5</xdr:col>
      <xdr:colOff>114300</xdr:colOff>
      <xdr:row>236</xdr:row>
      <xdr:rowOff>66675</xdr:rowOff>
    </xdr:to>
    <xdr:sp macro="" textlink="">
      <xdr:nvSpPr>
        <xdr:cNvPr id="1486" name="Freeform 462">
          <a:extLst>
            <a:ext uri="{FF2B5EF4-FFF2-40B4-BE49-F238E27FC236}">
              <a16:creationId xmlns:a16="http://schemas.microsoft.com/office/drawing/2014/main" id="{00000000-0008-0000-0100-0000CE050000}"/>
            </a:ext>
          </a:extLst>
        </xdr:cNvPr>
        <xdr:cNvSpPr>
          <a:spLocks/>
        </xdr:cNvSpPr>
      </xdr:nvSpPr>
      <xdr:spPr bwMode="auto">
        <a:xfrm rot="146666">
          <a:off x="2238375" y="37795200"/>
          <a:ext cx="152400" cy="1171575"/>
        </a:xfrm>
        <a:custGeom>
          <a:avLst/>
          <a:gdLst>
            <a:gd name="T0" fmla="*/ 5 w 16"/>
            <a:gd name="T1" fmla="*/ 0 h 137"/>
            <a:gd name="T2" fmla="*/ 0 w 16"/>
            <a:gd name="T3" fmla="*/ 14 h 137"/>
            <a:gd name="T4" fmla="*/ 8 w 16"/>
            <a:gd name="T5" fmla="*/ 28 h 137"/>
            <a:gd name="T6" fmla="*/ 1 w 16"/>
            <a:gd name="T7" fmla="*/ 42 h 137"/>
            <a:gd name="T8" fmla="*/ 9 w 16"/>
            <a:gd name="T9" fmla="*/ 54 h 137"/>
            <a:gd name="T10" fmla="*/ 3 w 16"/>
            <a:gd name="T11" fmla="*/ 69 h 137"/>
            <a:gd name="T12" fmla="*/ 13 w 16"/>
            <a:gd name="T13" fmla="*/ 84 h 137"/>
            <a:gd name="T14" fmla="*/ 6 w 16"/>
            <a:gd name="T15" fmla="*/ 99 h 137"/>
            <a:gd name="T16" fmla="*/ 16 w 16"/>
            <a:gd name="T17" fmla="*/ 112 h 137"/>
            <a:gd name="T18" fmla="*/ 7 w 16"/>
            <a:gd name="T19" fmla="*/ 126 h 137"/>
            <a:gd name="T20" fmla="*/ 14 w 16"/>
            <a:gd name="T21" fmla="*/ 137 h 1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6" h="137">
              <a:moveTo>
                <a:pt x="5" y="0"/>
              </a:moveTo>
              <a:cubicBezTo>
                <a:pt x="2" y="4"/>
                <a:pt x="0" y="9"/>
                <a:pt x="0" y="14"/>
              </a:cubicBezTo>
              <a:cubicBezTo>
                <a:pt x="0" y="19"/>
                <a:pt x="8" y="23"/>
                <a:pt x="8" y="28"/>
              </a:cubicBezTo>
              <a:cubicBezTo>
                <a:pt x="8" y="33"/>
                <a:pt x="1" y="38"/>
                <a:pt x="1" y="42"/>
              </a:cubicBezTo>
              <a:cubicBezTo>
                <a:pt x="1" y="46"/>
                <a:pt x="9" y="50"/>
                <a:pt x="9" y="54"/>
              </a:cubicBezTo>
              <a:cubicBezTo>
                <a:pt x="9" y="58"/>
                <a:pt x="2" y="64"/>
                <a:pt x="3" y="69"/>
              </a:cubicBezTo>
              <a:cubicBezTo>
                <a:pt x="4" y="74"/>
                <a:pt x="12" y="79"/>
                <a:pt x="13" y="84"/>
              </a:cubicBezTo>
              <a:cubicBezTo>
                <a:pt x="14" y="89"/>
                <a:pt x="6" y="94"/>
                <a:pt x="6" y="99"/>
              </a:cubicBezTo>
              <a:cubicBezTo>
                <a:pt x="6" y="104"/>
                <a:pt x="16" y="108"/>
                <a:pt x="16" y="112"/>
              </a:cubicBezTo>
              <a:cubicBezTo>
                <a:pt x="16" y="116"/>
                <a:pt x="7" y="122"/>
                <a:pt x="7" y="126"/>
              </a:cubicBezTo>
              <a:cubicBezTo>
                <a:pt x="7" y="130"/>
                <a:pt x="10" y="133"/>
                <a:pt x="14" y="137"/>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590550</xdr:colOff>
      <xdr:row>229</xdr:row>
      <xdr:rowOff>114300</xdr:rowOff>
    </xdr:from>
    <xdr:to>
      <xdr:col>5</xdr:col>
      <xdr:colOff>209550</xdr:colOff>
      <xdr:row>230</xdr:row>
      <xdr:rowOff>47625</xdr:rowOff>
    </xdr:to>
    <xdr:sp macro="" textlink="">
      <xdr:nvSpPr>
        <xdr:cNvPr id="1487" name="Freeform 463">
          <a:extLst>
            <a:ext uri="{FF2B5EF4-FFF2-40B4-BE49-F238E27FC236}">
              <a16:creationId xmlns:a16="http://schemas.microsoft.com/office/drawing/2014/main" id="{00000000-0008-0000-0100-0000CF050000}"/>
            </a:ext>
          </a:extLst>
        </xdr:cNvPr>
        <xdr:cNvSpPr>
          <a:spLocks/>
        </xdr:cNvSpPr>
      </xdr:nvSpPr>
      <xdr:spPr bwMode="auto">
        <a:xfrm>
          <a:off x="1619250" y="37880925"/>
          <a:ext cx="866775" cy="95250"/>
        </a:xfrm>
        <a:custGeom>
          <a:avLst/>
          <a:gdLst>
            <a:gd name="T0" fmla="*/ 0 w 92"/>
            <a:gd name="T1" fmla="*/ 8 h 10"/>
            <a:gd name="T2" fmla="*/ 12 w 92"/>
            <a:gd name="T3" fmla="*/ 0 h 10"/>
            <a:gd name="T4" fmla="*/ 28 w 92"/>
            <a:gd name="T5" fmla="*/ 8 h 10"/>
            <a:gd name="T6" fmla="*/ 40 w 92"/>
            <a:gd name="T7" fmla="*/ 0 h 10"/>
            <a:gd name="T8" fmla="*/ 54 w 92"/>
            <a:gd name="T9" fmla="*/ 8 h 10"/>
            <a:gd name="T10" fmla="*/ 67 w 92"/>
            <a:gd name="T11" fmla="*/ 1 h 10"/>
            <a:gd name="T12" fmla="*/ 82 w 92"/>
            <a:gd name="T13" fmla="*/ 10 h 10"/>
            <a:gd name="T14" fmla="*/ 92 w 92"/>
            <a:gd name="T15" fmla="*/ 3 h 1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2" h="10">
              <a:moveTo>
                <a:pt x="0" y="8"/>
              </a:moveTo>
              <a:cubicBezTo>
                <a:pt x="3" y="4"/>
                <a:pt x="7" y="0"/>
                <a:pt x="12" y="0"/>
              </a:cubicBezTo>
              <a:cubicBezTo>
                <a:pt x="17" y="0"/>
                <a:pt x="23" y="8"/>
                <a:pt x="28" y="8"/>
              </a:cubicBezTo>
              <a:cubicBezTo>
                <a:pt x="33" y="8"/>
                <a:pt x="36" y="0"/>
                <a:pt x="40" y="0"/>
              </a:cubicBezTo>
              <a:cubicBezTo>
                <a:pt x="44" y="0"/>
                <a:pt x="50" y="8"/>
                <a:pt x="54" y="8"/>
              </a:cubicBezTo>
              <a:cubicBezTo>
                <a:pt x="58" y="8"/>
                <a:pt x="62" y="1"/>
                <a:pt x="67" y="1"/>
              </a:cubicBezTo>
              <a:cubicBezTo>
                <a:pt x="72" y="1"/>
                <a:pt x="78" y="10"/>
                <a:pt x="82" y="10"/>
              </a:cubicBezTo>
              <a:cubicBezTo>
                <a:pt x="86" y="10"/>
                <a:pt x="89" y="6"/>
                <a:pt x="92" y="3"/>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2</xdr:col>
      <xdr:colOff>204265</xdr:colOff>
      <xdr:row>236</xdr:row>
      <xdr:rowOff>123825</xdr:rowOff>
    </xdr:from>
    <xdr:ext cx="1105945" cy="170560"/>
    <xdr:sp macro="" textlink="">
      <xdr:nvSpPr>
        <xdr:cNvPr id="1489" name="Text Box 465">
          <a:extLst>
            <a:ext uri="{FF2B5EF4-FFF2-40B4-BE49-F238E27FC236}">
              <a16:creationId xmlns:a16="http://schemas.microsoft.com/office/drawing/2014/main" id="{00000000-0008-0000-0100-0000D1050000}"/>
            </a:ext>
          </a:extLst>
        </xdr:cNvPr>
        <xdr:cNvSpPr txBox="1">
          <a:spLocks noChangeArrowheads="1"/>
        </xdr:cNvSpPr>
      </xdr:nvSpPr>
      <xdr:spPr bwMode="auto">
        <a:xfrm>
          <a:off x="851965" y="39023925"/>
          <a:ext cx="1105945" cy="170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18288" bIns="0" anchor="t" upright="1">
          <a:spAutoFit/>
        </a:bodyPr>
        <a:lstStyle/>
        <a:p>
          <a:pPr algn="ctr" rtl="0">
            <a:defRPr sz="1000"/>
          </a:pPr>
          <a:r>
            <a:rPr lang="en-US" sz="1000" b="0" i="0" u="none" strike="noStrike" baseline="0">
              <a:solidFill>
                <a:srgbClr val="000000"/>
              </a:solidFill>
              <a:latin typeface="Arial"/>
              <a:cs typeface="Arial"/>
            </a:rPr>
            <a:t>Detached wingwall</a:t>
          </a:r>
        </a:p>
      </xdr:txBody>
    </xdr:sp>
    <xdr:clientData/>
  </xdr:oneCellAnchor>
  <xdr:oneCellAnchor>
    <xdr:from>
      <xdr:col>1</xdr:col>
      <xdr:colOff>257175</xdr:colOff>
      <xdr:row>229</xdr:row>
      <xdr:rowOff>19050</xdr:rowOff>
    </xdr:from>
    <xdr:ext cx="762000" cy="361950"/>
    <xdr:sp macro="" textlink="">
      <xdr:nvSpPr>
        <xdr:cNvPr id="1490" name="Text Box 466">
          <a:extLst>
            <a:ext uri="{FF2B5EF4-FFF2-40B4-BE49-F238E27FC236}">
              <a16:creationId xmlns:a16="http://schemas.microsoft.com/office/drawing/2014/main" id="{00000000-0008-0000-0100-0000D2050000}"/>
            </a:ext>
          </a:extLst>
        </xdr:cNvPr>
        <xdr:cNvSpPr txBox="1">
          <a:spLocks noChangeArrowheads="1"/>
        </xdr:cNvSpPr>
      </xdr:nvSpPr>
      <xdr:spPr bwMode="auto">
        <a:xfrm>
          <a:off x="590550" y="37785675"/>
          <a:ext cx="7620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Back face of</a:t>
          </a:r>
        </a:p>
        <a:p>
          <a:pPr algn="l" rtl="0">
            <a:defRPr sz="1000"/>
          </a:pPr>
          <a:r>
            <a:rPr lang="en-US" sz="1000" b="0" i="0" u="none" strike="noStrike" baseline="0">
              <a:solidFill>
                <a:srgbClr val="000000"/>
              </a:solidFill>
              <a:latin typeface="Arial"/>
              <a:cs typeface="Arial"/>
            </a:rPr>
            <a:t>abutment</a:t>
          </a:r>
        </a:p>
      </xdr:txBody>
    </xdr:sp>
    <xdr:clientData/>
  </xdr:oneCellAnchor>
  <xdr:twoCellAnchor>
    <xdr:from>
      <xdr:col>3</xdr:col>
      <xdr:colOff>152400</xdr:colOff>
      <xdr:row>230</xdr:row>
      <xdr:rowOff>95250</xdr:rowOff>
    </xdr:from>
    <xdr:to>
      <xdr:col>4</xdr:col>
      <xdr:colOff>114300</xdr:colOff>
      <xdr:row>230</xdr:row>
      <xdr:rowOff>95250</xdr:rowOff>
    </xdr:to>
    <xdr:sp macro="" textlink="">
      <xdr:nvSpPr>
        <xdr:cNvPr id="1491" name="Line 467">
          <a:extLst>
            <a:ext uri="{FF2B5EF4-FFF2-40B4-BE49-F238E27FC236}">
              <a16:creationId xmlns:a16="http://schemas.microsoft.com/office/drawing/2014/main" id="{00000000-0008-0000-0100-0000D3050000}"/>
            </a:ext>
          </a:extLst>
        </xdr:cNvPr>
        <xdr:cNvSpPr>
          <a:spLocks noChangeShapeType="1"/>
        </xdr:cNvSpPr>
      </xdr:nvSpPr>
      <xdr:spPr bwMode="auto">
        <a:xfrm>
          <a:off x="1181100" y="3802380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123825</xdr:colOff>
      <xdr:row>233</xdr:row>
      <xdr:rowOff>123825</xdr:rowOff>
    </xdr:from>
    <xdr:to>
      <xdr:col>3</xdr:col>
      <xdr:colOff>66675</xdr:colOff>
      <xdr:row>233</xdr:row>
      <xdr:rowOff>123825</xdr:rowOff>
    </xdr:to>
    <xdr:sp macro="" textlink="">
      <xdr:nvSpPr>
        <xdr:cNvPr id="1493" name="Line 469">
          <a:extLst>
            <a:ext uri="{FF2B5EF4-FFF2-40B4-BE49-F238E27FC236}">
              <a16:creationId xmlns:a16="http://schemas.microsoft.com/office/drawing/2014/main" id="{00000000-0008-0000-0100-0000D5050000}"/>
            </a:ext>
          </a:extLst>
        </xdr:cNvPr>
        <xdr:cNvSpPr>
          <a:spLocks noChangeShapeType="1"/>
        </xdr:cNvSpPr>
      </xdr:nvSpPr>
      <xdr:spPr bwMode="auto">
        <a:xfrm flipH="1">
          <a:off x="457200" y="38538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171450</xdr:colOff>
      <xdr:row>234</xdr:row>
      <xdr:rowOff>152400</xdr:rowOff>
    </xdr:from>
    <xdr:to>
      <xdr:col>3</xdr:col>
      <xdr:colOff>66675</xdr:colOff>
      <xdr:row>234</xdr:row>
      <xdr:rowOff>152400</xdr:rowOff>
    </xdr:to>
    <xdr:sp macro="" textlink="">
      <xdr:nvSpPr>
        <xdr:cNvPr id="1495" name="Line 471">
          <a:extLst>
            <a:ext uri="{FF2B5EF4-FFF2-40B4-BE49-F238E27FC236}">
              <a16:creationId xmlns:a16="http://schemas.microsoft.com/office/drawing/2014/main" id="{00000000-0008-0000-0100-0000D7050000}"/>
            </a:ext>
          </a:extLst>
        </xdr:cNvPr>
        <xdr:cNvSpPr>
          <a:spLocks noChangeShapeType="1"/>
        </xdr:cNvSpPr>
      </xdr:nvSpPr>
      <xdr:spPr bwMode="auto">
        <a:xfrm flipH="1">
          <a:off x="504825" y="3872865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66675</xdr:colOff>
      <xdr:row>233</xdr:row>
      <xdr:rowOff>123825</xdr:rowOff>
    </xdr:from>
    <xdr:to>
      <xdr:col>3</xdr:col>
      <xdr:colOff>66675</xdr:colOff>
      <xdr:row>234</xdr:row>
      <xdr:rowOff>152400</xdr:rowOff>
    </xdr:to>
    <xdr:sp macro="" textlink="">
      <xdr:nvSpPr>
        <xdr:cNvPr id="1496" name="Line 472">
          <a:extLst>
            <a:ext uri="{FF2B5EF4-FFF2-40B4-BE49-F238E27FC236}">
              <a16:creationId xmlns:a16="http://schemas.microsoft.com/office/drawing/2014/main" id="{00000000-0008-0000-0100-0000D8050000}"/>
            </a:ext>
          </a:extLst>
        </xdr:cNvPr>
        <xdr:cNvSpPr>
          <a:spLocks noChangeShapeType="1"/>
        </xdr:cNvSpPr>
      </xdr:nvSpPr>
      <xdr:spPr bwMode="auto">
        <a:xfrm>
          <a:off x="1095375" y="385381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233</xdr:row>
      <xdr:rowOff>123825</xdr:rowOff>
    </xdr:from>
    <xdr:to>
      <xdr:col>3</xdr:col>
      <xdr:colOff>123825</xdr:colOff>
      <xdr:row>236</xdr:row>
      <xdr:rowOff>28575</xdr:rowOff>
    </xdr:to>
    <xdr:sp macro="" textlink="">
      <xdr:nvSpPr>
        <xdr:cNvPr id="1498" name="Freeform 474">
          <a:extLst>
            <a:ext uri="{FF2B5EF4-FFF2-40B4-BE49-F238E27FC236}">
              <a16:creationId xmlns:a16="http://schemas.microsoft.com/office/drawing/2014/main" id="{00000000-0008-0000-0100-0000DA050000}"/>
            </a:ext>
          </a:extLst>
        </xdr:cNvPr>
        <xdr:cNvSpPr>
          <a:spLocks/>
        </xdr:cNvSpPr>
      </xdr:nvSpPr>
      <xdr:spPr bwMode="auto">
        <a:xfrm>
          <a:off x="990600" y="38538150"/>
          <a:ext cx="161925" cy="390525"/>
        </a:xfrm>
        <a:custGeom>
          <a:avLst/>
          <a:gdLst>
            <a:gd name="T0" fmla="*/ 17 w 17"/>
            <a:gd name="T1" fmla="*/ 0 h 44"/>
            <a:gd name="T2" fmla="*/ 17 w 17"/>
            <a:gd name="T3" fmla="*/ 27 h 44"/>
            <a:gd name="T4" fmla="*/ 0 w 17"/>
            <a:gd name="T5" fmla="*/ 27 h 44"/>
            <a:gd name="T6" fmla="*/ 0 w 17"/>
            <a:gd name="T7" fmla="*/ 44 h 44"/>
          </a:gdLst>
          <a:ahLst/>
          <a:cxnLst>
            <a:cxn ang="0">
              <a:pos x="T0" y="T1"/>
            </a:cxn>
            <a:cxn ang="0">
              <a:pos x="T2" y="T3"/>
            </a:cxn>
            <a:cxn ang="0">
              <a:pos x="T4" y="T5"/>
            </a:cxn>
            <a:cxn ang="0">
              <a:pos x="T6" y="T7"/>
            </a:cxn>
          </a:cxnLst>
          <a:rect l="0" t="0" r="r" b="b"/>
          <a:pathLst>
            <a:path w="17" h="44">
              <a:moveTo>
                <a:pt x="17" y="0"/>
              </a:moveTo>
              <a:lnTo>
                <a:pt x="17" y="27"/>
              </a:lnTo>
              <a:lnTo>
                <a:pt x="0" y="27"/>
              </a:lnTo>
              <a:lnTo>
                <a:pt x="0" y="44"/>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123825</xdr:colOff>
      <xdr:row>232</xdr:row>
      <xdr:rowOff>85725</xdr:rowOff>
    </xdr:from>
    <xdr:to>
      <xdr:col>4</xdr:col>
      <xdr:colOff>114300</xdr:colOff>
      <xdr:row>232</xdr:row>
      <xdr:rowOff>85725</xdr:rowOff>
    </xdr:to>
    <xdr:sp macro="" textlink="">
      <xdr:nvSpPr>
        <xdr:cNvPr id="1500" name="Line 476">
          <a:extLst>
            <a:ext uri="{FF2B5EF4-FFF2-40B4-BE49-F238E27FC236}">
              <a16:creationId xmlns:a16="http://schemas.microsoft.com/office/drawing/2014/main" id="{00000000-0008-0000-0100-0000DC050000}"/>
            </a:ext>
          </a:extLst>
        </xdr:cNvPr>
        <xdr:cNvSpPr>
          <a:spLocks noChangeShapeType="1"/>
        </xdr:cNvSpPr>
      </xdr:nvSpPr>
      <xdr:spPr bwMode="auto">
        <a:xfrm>
          <a:off x="1152525" y="3833812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123825</xdr:colOff>
      <xdr:row>232</xdr:row>
      <xdr:rowOff>47625</xdr:rowOff>
    </xdr:from>
    <xdr:to>
      <xdr:col>3</xdr:col>
      <xdr:colOff>123825</xdr:colOff>
      <xdr:row>233</xdr:row>
      <xdr:rowOff>85725</xdr:rowOff>
    </xdr:to>
    <xdr:sp macro="" textlink="">
      <xdr:nvSpPr>
        <xdr:cNvPr id="1502" name="Line 478">
          <a:extLst>
            <a:ext uri="{FF2B5EF4-FFF2-40B4-BE49-F238E27FC236}">
              <a16:creationId xmlns:a16="http://schemas.microsoft.com/office/drawing/2014/main" id="{00000000-0008-0000-0100-0000DE050000}"/>
            </a:ext>
          </a:extLst>
        </xdr:cNvPr>
        <xdr:cNvSpPr>
          <a:spLocks noChangeShapeType="1"/>
        </xdr:cNvSpPr>
      </xdr:nvSpPr>
      <xdr:spPr bwMode="auto">
        <a:xfrm flipV="1">
          <a:off x="1152525" y="383000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314325</xdr:colOff>
      <xdr:row>231</xdr:row>
      <xdr:rowOff>66675</xdr:rowOff>
    </xdr:from>
    <xdr:ext cx="247650" cy="200025"/>
    <xdr:sp macro="" textlink="">
      <xdr:nvSpPr>
        <xdr:cNvPr id="1503" name="Text Box 479">
          <a:extLst>
            <a:ext uri="{FF2B5EF4-FFF2-40B4-BE49-F238E27FC236}">
              <a16:creationId xmlns:a16="http://schemas.microsoft.com/office/drawing/2014/main" id="{00000000-0008-0000-0100-0000DF050000}"/>
            </a:ext>
          </a:extLst>
        </xdr:cNvPr>
        <xdr:cNvSpPr txBox="1">
          <a:spLocks noChangeArrowheads="1"/>
        </xdr:cNvSpPr>
      </xdr:nvSpPr>
      <xdr:spPr bwMode="auto">
        <a:xfrm>
          <a:off x="1343025" y="38157150"/>
          <a:ext cx="2476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3 ft</a:t>
          </a:r>
        </a:p>
      </xdr:txBody>
    </xdr:sp>
    <xdr:clientData/>
  </xdr:oneCellAnchor>
  <xdr:oneCellAnchor>
    <xdr:from>
      <xdr:col>0</xdr:col>
      <xdr:colOff>152400</xdr:colOff>
      <xdr:row>597</xdr:row>
      <xdr:rowOff>76200</xdr:rowOff>
    </xdr:from>
    <xdr:ext cx="724044" cy="612988"/>
    <xdr:sp macro="" textlink="">
      <xdr:nvSpPr>
        <xdr:cNvPr id="1788" name="Text Box 764">
          <a:extLst>
            <a:ext uri="{FF2B5EF4-FFF2-40B4-BE49-F238E27FC236}">
              <a16:creationId xmlns:a16="http://schemas.microsoft.com/office/drawing/2014/main" id="{00000000-0008-0000-0100-0000FC060000}"/>
            </a:ext>
          </a:extLst>
        </xdr:cNvPr>
        <xdr:cNvSpPr txBox="1">
          <a:spLocks noChangeArrowheads="1"/>
        </xdr:cNvSpPr>
      </xdr:nvSpPr>
      <xdr:spPr bwMode="auto">
        <a:xfrm>
          <a:off x="152400" y="98269425"/>
          <a:ext cx="724044" cy="6129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lnSpc>
              <a:spcPts val="1100"/>
            </a:lnSpc>
            <a:defRPr sz="1000"/>
          </a:pPr>
          <a:r>
            <a:rPr lang="en-US" sz="1000" b="0" i="0" u="none" strike="noStrike" baseline="0">
              <a:solidFill>
                <a:srgbClr val="000000"/>
              </a:solidFill>
              <a:latin typeface="Arial"/>
              <a:cs typeface="Arial"/>
            </a:rPr>
            <a:t>centrifugal</a:t>
          </a:r>
        </a:p>
        <a:p>
          <a:pPr algn="l" rtl="0">
            <a:lnSpc>
              <a:spcPts val="1100"/>
            </a:lnSpc>
            <a:defRPr sz="1000"/>
          </a:pPr>
          <a:r>
            <a:rPr lang="en-US" sz="1000" b="0" i="0" u="none" strike="noStrike" baseline="0">
              <a:solidFill>
                <a:srgbClr val="000000"/>
              </a:solidFill>
              <a:latin typeface="Arial"/>
              <a:cs typeface="Arial"/>
            </a:rPr>
            <a:t>force and/or</a:t>
          </a:r>
        </a:p>
        <a:p>
          <a:pPr algn="l" rtl="0">
            <a:lnSpc>
              <a:spcPts val="1100"/>
            </a:lnSpc>
            <a:defRPr sz="1000"/>
          </a:pPr>
          <a:r>
            <a:rPr lang="en-US" sz="1000" b="0" i="0" u="none" strike="noStrike" baseline="0">
              <a:solidFill>
                <a:srgbClr val="000000"/>
              </a:solidFill>
              <a:latin typeface="Arial"/>
              <a:cs typeface="Arial"/>
            </a:rPr>
            <a:t>wind on live </a:t>
          </a:r>
        </a:p>
        <a:p>
          <a:pPr algn="l" rtl="0">
            <a:lnSpc>
              <a:spcPts val="1000"/>
            </a:lnSpc>
            <a:defRPr sz="1000"/>
          </a:pPr>
          <a:r>
            <a:rPr lang="en-US" sz="1000" b="0" i="0" u="none" strike="noStrike" baseline="0">
              <a:solidFill>
                <a:srgbClr val="000000"/>
              </a:solidFill>
              <a:latin typeface="Arial"/>
              <a:cs typeface="Arial"/>
            </a:rPr>
            <a:t>load</a:t>
          </a:r>
        </a:p>
      </xdr:txBody>
    </xdr:sp>
    <xdr:clientData/>
  </xdr:oneCellAnchor>
  <mc:AlternateContent xmlns:mc="http://schemas.openxmlformats.org/markup-compatibility/2006">
    <mc:Choice xmlns:a14="http://schemas.microsoft.com/office/drawing/2010/main" Requires="a14">
      <xdr:twoCellAnchor editAs="oneCell">
        <xdr:from>
          <xdr:col>7</xdr:col>
          <xdr:colOff>390525</xdr:colOff>
          <xdr:row>546</xdr:row>
          <xdr:rowOff>0</xdr:rowOff>
        </xdr:from>
        <xdr:to>
          <xdr:col>9</xdr:col>
          <xdr:colOff>9525</xdr:colOff>
          <xdr:row>548</xdr:row>
          <xdr:rowOff>171450</xdr:rowOff>
        </xdr:to>
        <xdr:sp macro="" textlink="">
          <xdr:nvSpPr>
            <xdr:cNvPr id="1800" name="CommandButton1" hidden="1">
              <a:extLst>
                <a:ext uri="{63B3BB69-23CF-44E3-9099-C40C66FF867C}">
                  <a14:compatExt spid="_x0000_s1800"/>
                </a:ext>
                <a:ext uri="{FF2B5EF4-FFF2-40B4-BE49-F238E27FC236}">
                  <a16:creationId xmlns:a16="http://schemas.microsoft.com/office/drawing/2014/main" id="{00000000-0008-0000-0100-000008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285750</xdr:colOff>
      <xdr:row>1367</xdr:row>
      <xdr:rowOff>19050</xdr:rowOff>
    </xdr:from>
    <xdr:to>
      <xdr:col>4</xdr:col>
      <xdr:colOff>285750</xdr:colOff>
      <xdr:row>1380</xdr:row>
      <xdr:rowOff>0</xdr:rowOff>
    </xdr:to>
    <xdr:sp macro="" textlink="">
      <xdr:nvSpPr>
        <xdr:cNvPr id="1984" name="Line 960">
          <a:extLst>
            <a:ext uri="{FF2B5EF4-FFF2-40B4-BE49-F238E27FC236}">
              <a16:creationId xmlns:a16="http://schemas.microsoft.com/office/drawing/2014/main" id="{00000000-0008-0000-0100-0000C0070000}"/>
            </a:ext>
          </a:extLst>
        </xdr:cNvPr>
        <xdr:cNvSpPr>
          <a:spLocks noChangeShapeType="1"/>
        </xdr:cNvSpPr>
      </xdr:nvSpPr>
      <xdr:spPr bwMode="auto">
        <a:xfrm>
          <a:off x="1943100" y="307333650"/>
          <a:ext cx="0" cy="2085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1367</xdr:row>
      <xdr:rowOff>19050</xdr:rowOff>
    </xdr:from>
    <xdr:to>
      <xdr:col>3</xdr:col>
      <xdr:colOff>314325</xdr:colOff>
      <xdr:row>1371</xdr:row>
      <xdr:rowOff>57150</xdr:rowOff>
    </xdr:to>
    <xdr:sp macro="" textlink="">
      <xdr:nvSpPr>
        <xdr:cNvPr id="1985" name="Line 961">
          <a:extLst>
            <a:ext uri="{FF2B5EF4-FFF2-40B4-BE49-F238E27FC236}">
              <a16:creationId xmlns:a16="http://schemas.microsoft.com/office/drawing/2014/main" id="{00000000-0008-0000-0100-0000C1070000}"/>
            </a:ext>
          </a:extLst>
        </xdr:cNvPr>
        <xdr:cNvSpPr>
          <a:spLocks noChangeShapeType="1"/>
        </xdr:cNvSpPr>
      </xdr:nvSpPr>
      <xdr:spPr bwMode="auto">
        <a:xfrm>
          <a:off x="1343025" y="307333650"/>
          <a:ext cx="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247650</xdr:colOff>
      <xdr:row>1371</xdr:row>
      <xdr:rowOff>57150</xdr:rowOff>
    </xdr:from>
    <xdr:to>
      <xdr:col>4</xdr:col>
      <xdr:colOff>161925</xdr:colOff>
      <xdr:row>1371</xdr:row>
      <xdr:rowOff>57150</xdr:rowOff>
    </xdr:to>
    <xdr:sp macro="" textlink="">
      <xdr:nvSpPr>
        <xdr:cNvPr id="1986" name="Line 962">
          <a:extLst>
            <a:ext uri="{FF2B5EF4-FFF2-40B4-BE49-F238E27FC236}">
              <a16:creationId xmlns:a16="http://schemas.microsoft.com/office/drawing/2014/main" id="{00000000-0008-0000-0100-0000C2070000}"/>
            </a:ext>
          </a:extLst>
        </xdr:cNvPr>
        <xdr:cNvSpPr>
          <a:spLocks noChangeShapeType="1"/>
        </xdr:cNvSpPr>
      </xdr:nvSpPr>
      <xdr:spPr bwMode="auto">
        <a:xfrm>
          <a:off x="1276350" y="30801945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1371</xdr:row>
      <xdr:rowOff>47625</xdr:rowOff>
    </xdr:from>
    <xdr:to>
      <xdr:col>4</xdr:col>
      <xdr:colOff>257175</xdr:colOff>
      <xdr:row>1372</xdr:row>
      <xdr:rowOff>114300</xdr:rowOff>
    </xdr:to>
    <xdr:sp macro="" textlink="">
      <xdr:nvSpPr>
        <xdr:cNvPr id="1987" name="Line 963">
          <a:extLst>
            <a:ext uri="{FF2B5EF4-FFF2-40B4-BE49-F238E27FC236}">
              <a16:creationId xmlns:a16="http://schemas.microsoft.com/office/drawing/2014/main" id="{00000000-0008-0000-0100-0000C3070000}"/>
            </a:ext>
          </a:extLst>
        </xdr:cNvPr>
        <xdr:cNvSpPr>
          <a:spLocks noChangeShapeType="1"/>
        </xdr:cNvSpPr>
      </xdr:nvSpPr>
      <xdr:spPr bwMode="auto">
        <a:xfrm flipV="1">
          <a:off x="1743075" y="308009925"/>
          <a:ext cx="17145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257175</xdr:colOff>
      <xdr:row>1367</xdr:row>
      <xdr:rowOff>19050</xdr:rowOff>
    </xdr:from>
    <xdr:to>
      <xdr:col>3</xdr:col>
      <xdr:colOff>447675</xdr:colOff>
      <xdr:row>1367</xdr:row>
      <xdr:rowOff>19050</xdr:rowOff>
    </xdr:to>
    <xdr:sp macro="" textlink="">
      <xdr:nvSpPr>
        <xdr:cNvPr id="1989" name="Line 965">
          <a:extLst>
            <a:ext uri="{FF2B5EF4-FFF2-40B4-BE49-F238E27FC236}">
              <a16:creationId xmlns:a16="http://schemas.microsoft.com/office/drawing/2014/main" id="{00000000-0008-0000-0100-0000C5070000}"/>
            </a:ext>
          </a:extLst>
        </xdr:cNvPr>
        <xdr:cNvSpPr>
          <a:spLocks noChangeShapeType="1"/>
        </xdr:cNvSpPr>
      </xdr:nvSpPr>
      <xdr:spPr bwMode="auto">
        <a:xfrm>
          <a:off x="1285875" y="30733365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323850</xdr:colOff>
      <xdr:row>1367</xdr:row>
      <xdr:rowOff>19050</xdr:rowOff>
    </xdr:from>
    <xdr:to>
      <xdr:col>5</xdr:col>
      <xdr:colOff>47625</xdr:colOff>
      <xdr:row>1367</xdr:row>
      <xdr:rowOff>19050</xdr:rowOff>
    </xdr:to>
    <xdr:sp macro="" textlink="">
      <xdr:nvSpPr>
        <xdr:cNvPr id="1991" name="Line 967">
          <a:extLst>
            <a:ext uri="{FF2B5EF4-FFF2-40B4-BE49-F238E27FC236}">
              <a16:creationId xmlns:a16="http://schemas.microsoft.com/office/drawing/2014/main" id="{00000000-0008-0000-0100-0000C7070000}"/>
            </a:ext>
          </a:extLst>
        </xdr:cNvPr>
        <xdr:cNvSpPr>
          <a:spLocks noChangeShapeType="1"/>
        </xdr:cNvSpPr>
      </xdr:nvSpPr>
      <xdr:spPr bwMode="auto">
        <a:xfrm flipH="1">
          <a:off x="1981200" y="307333650"/>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1371</xdr:row>
      <xdr:rowOff>95250</xdr:rowOff>
    </xdr:from>
    <xdr:to>
      <xdr:col>5</xdr:col>
      <xdr:colOff>76200</xdr:colOff>
      <xdr:row>1371</xdr:row>
      <xdr:rowOff>95250</xdr:rowOff>
    </xdr:to>
    <xdr:sp macro="" textlink="">
      <xdr:nvSpPr>
        <xdr:cNvPr id="1992" name="Line 968">
          <a:extLst>
            <a:ext uri="{FF2B5EF4-FFF2-40B4-BE49-F238E27FC236}">
              <a16:creationId xmlns:a16="http://schemas.microsoft.com/office/drawing/2014/main" id="{00000000-0008-0000-0100-0000C8070000}"/>
            </a:ext>
          </a:extLst>
        </xdr:cNvPr>
        <xdr:cNvSpPr>
          <a:spLocks noChangeShapeType="1"/>
        </xdr:cNvSpPr>
      </xdr:nvSpPr>
      <xdr:spPr bwMode="auto">
        <a:xfrm flipH="1">
          <a:off x="2009775" y="308057550"/>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1367</xdr:row>
      <xdr:rowOff>19050</xdr:rowOff>
    </xdr:from>
    <xdr:to>
      <xdr:col>5</xdr:col>
      <xdr:colOff>0</xdr:colOff>
      <xdr:row>1371</xdr:row>
      <xdr:rowOff>95250</xdr:rowOff>
    </xdr:to>
    <xdr:sp macro="" textlink="">
      <xdr:nvSpPr>
        <xdr:cNvPr id="1993" name="Line 969">
          <a:extLst>
            <a:ext uri="{FF2B5EF4-FFF2-40B4-BE49-F238E27FC236}">
              <a16:creationId xmlns:a16="http://schemas.microsoft.com/office/drawing/2014/main" id="{00000000-0008-0000-0100-0000C9070000}"/>
            </a:ext>
          </a:extLst>
        </xdr:cNvPr>
        <xdr:cNvSpPr>
          <a:spLocks noChangeShapeType="1"/>
        </xdr:cNvSpPr>
      </xdr:nvSpPr>
      <xdr:spPr bwMode="auto">
        <a:xfrm>
          <a:off x="2276475" y="307333650"/>
          <a:ext cx="0"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266700</xdr:colOff>
      <xdr:row>1371</xdr:row>
      <xdr:rowOff>9525</xdr:rowOff>
    </xdr:from>
    <xdr:to>
      <xdr:col>6</xdr:col>
      <xdr:colOff>9525</xdr:colOff>
      <xdr:row>1371</xdr:row>
      <xdr:rowOff>9525</xdr:rowOff>
    </xdr:to>
    <xdr:sp macro="" textlink="">
      <xdr:nvSpPr>
        <xdr:cNvPr id="1995" name="Line 971">
          <a:extLst>
            <a:ext uri="{FF2B5EF4-FFF2-40B4-BE49-F238E27FC236}">
              <a16:creationId xmlns:a16="http://schemas.microsoft.com/office/drawing/2014/main" id="{00000000-0008-0000-0100-0000CB070000}"/>
            </a:ext>
          </a:extLst>
        </xdr:cNvPr>
        <xdr:cNvSpPr>
          <a:spLocks noChangeShapeType="1"/>
        </xdr:cNvSpPr>
      </xdr:nvSpPr>
      <xdr:spPr bwMode="auto">
        <a:xfrm>
          <a:off x="914400" y="307971825"/>
          <a:ext cx="2085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314325</xdr:colOff>
      <xdr:row>1367</xdr:row>
      <xdr:rowOff>38100</xdr:rowOff>
    </xdr:from>
    <xdr:to>
      <xdr:col>8</xdr:col>
      <xdr:colOff>314325</xdr:colOff>
      <xdr:row>1380</xdr:row>
      <xdr:rowOff>19050</xdr:rowOff>
    </xdr:to>
    <xdr:sp macro="" textlink="">
      <xdr:nvSpPr>
        <xdr:cNvPr id="1996" name="Line 972">
          <a:extLst>
            <a:ext uri="{FF2B5EF4-FFF2-40B4-BE49-F238E27FC236}">
              <a16:creationId xmlns:a16="http://schemas.microsoft.com/office/drawing/2014/main" id="{00000000-0008-0000-0100-0000CC070000}"/>
            </a:ext>
          </a:extLst>
        </xdr:cNvPr>
        <xdr:cNvSpPr>
          <a:spLocks noChangeShapeType="1"/>
        </xdr:cNvSpPr>
      </xdr:nvSpPr>
      <xdr:spPr bwMode="auto">
        <a:xfrm>
          <a:off x="4791075" y="307352700"/>
          <a:ext cx="0" cy="2085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1367</xdr:row>
      <xdr:rowOff>47625</xdr:rowOff>
    </xdr:from>
    <xdr:to>
      <xdr:col>7</xdr:col>
      <xdr:colOff>276225</xdr:colOff>
      <xdr:row>1368</xdr:row>
      <xdr:rowOff>0</xdr:rowOff>
    </xdr:to>
    <xdr:sp macro="" textlink="">
      <xdr:nvSpPr>
        <xdr:cNvPr id="1997" name="Line 973">
          <a:extLst>
            <a:ext uri="{FF2B5EF4-FFF2-40B4-BE49-F238E27FC236}">
              <a16:creationId xmlns:a16="http://schemas.microsoft.com/office/drawing/2014/main" id="{00000000-0008-0000-0100-0000CD070000}"/>
            </a:ext>
          </a:extLst>
        </xdr:cNvPr>
        <xdr:cNvSpPr>
          <a:spLocks noChangeShapeType="1"/>
        </xdr:cNvSpPr>
      </xdr:nvSpPr>
      <xdr:spPr bwMode="auto">
        <a:xfrm flipV="1">
          <a:off x="3895725" y="307362225"/>
          <a:ext cx="24765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800100</xdr:colOff>
      <xdr:row>1371</xdr:row>
      <xdr:rowOff>9525</xdr:rowOff>
    </xdr:from>
    <xdr:to>
      <xdr:col>10</xdr:col>
      <xdr:colOff>171450</xdr:colOff>
      <xdr:row>1371</xdr:row>
      <xdr:rowOff>9525</xdr:rowOff>
    </xdr:to>
    <xdr:sp macro="" textlink="">
      <xdr:nvSpPr>
        <xdr:cNvPr id="1999" name="Line 975">
          <a:extLst>
            <a:ext uri="{FF2B5EF4-FFF2-40B4-BE49-F238E27FC236}">
              <a16:creationId xmlns:a16="http://schemas.microsoft.com/office/drawing/2014/main" id="{00000000-0008-0000-0100-0000CF070000}"/>
            </a:ext>
          </a:extLst>
        </xdr:cNvPr>
        <xdr:cNvSpPr>
          <a:spLocks noChangeShapeType="1"/>
        </xdr:cNvSpPr>
      </xdr:nvSpPr>
      <xdr:spPr bwMode="auto">
        <a:xfrm>
          <a:off x="3790950" y="307971825"/>
          <a:ext cx="2114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771525</xdr:colOff>
      <xdr:row>1369</xdr:row>
      <xdr:rowOff>114300</xdr:rowOff>
    </xdr:from>
    <xdr:to>
      <xdr:col>7</xdr:col>
      <xdr:colOff>104775</xdr:colOff>
      <xdr:row>1371</xdr:row>
      <xdr:rowOff>9525</xdr:rowOff>
    </xdr:to>
    <xdr:sp macro="" textlink="">
      <xdr:nvSpPr>
        <xdr:cNvPr id="2000" name="Line 976">
          <a:extLst>
            <a:ext uri="{FF2B5EF4-FFF2-40B4-BE49-F238E27FC236}">
              <a16:creationId xmlns:a16="http://schemas.microsoft.com/office/drawing/2014/main" id="{00000000-0008-0000-0100-0000D0070000}"/>
            </a:ext>
          </a:extLst>
        </xdr:cNvPr>
        <xdr:cNvSpPr>
          <a:spLocks noChangeShapeType="1"/>
        </xdr:cNvSpPr>
      </xdr:nvSpPr>
      <xdr:spPr bwMode="auto">
        <a:xfrm>
          <a:off x="3762375" y="307752750"/>
          <a:ext cx="20955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457200</xdr:colOff>
      <xdr:row>1369</xdr:row>
      <xdr:rowOff>114300</xdr:rowOff>
    </xdr:from>
    <xdr:to>
      <xdr:col>6</xdr:col>
      <xdr:colOff>19050</xdr:colOff>
      <xdr:row>1371</xdr:row>
      <xdr:rowOff>9525</xdr:rowOff>
    </xdr:to>
    <xdr:sp macro="" textlink="">
      <xdr:nvSpPr>
        <xdr:cNvPr id="2002" name="Line 978">
          <a:extLst>
            <a:ext uri="{FF2B5EF4-FFF2-40B4-BE49-F238E27FC236}">
              <a16:creationId xmlns:a16="http://schemas.microsoft.com/office/drawing/2014/main" id="{00000000-0008-0000-0100-0000D2070000}"/>
            </a:ext>
          </a:extLst>
        </xdr:cNvPr>
        <xdr:cNvSpPr>
          <a:spLocks noChangeShapeType="1"/>
        </xdr:cNvSpPr>
      </xdr:nvSpPr>
      <xdr:spPr bwMode="auto">
        <a:xfrm flipH="1">
          <a:off x="2733675" y="307752750"/>
          <a:ext cx="27622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485775</xdr:colOff>
      <xdr:row>1367</xdr:row>
      <xdr:rowOff>19050</xdr:rowOff>
    </xdr:from>
    <xdr:to>
      <xdr:col>4</xdr:col>
      <xdr:colOff>409575</xdr:colOff>
      <xdr:row>1380</xdr:row>
      <xdr:rowOff>9525</xdr:rowOff>
    </xdr:to>
    <xdr:sp macro="" textlink="">
      <xdr:nvSpPr>
        <xdr:cNvPr id="2003" name="Freeform 979">
          <a:extLst>
            <a:ext uri="{FF2B5EF4-FFF2-40B4-BE49-F238E27FC236}">
              <a16:creationId xmlns:a16="http://schemas.microsoft.com/office/drawing/2014/main" id="{00000000-0008-0000-0100-0000D3070000}"/>
            </a:ext>
          </a:extLst>
        </xdr:cNvPr>
        <xdr:cNvSpPr>
          <a:spLocks/>
        </xdr:cNvSpPr>
      </xdr:nvSpPr>
      <xdr:spPr bwMode="auto">
        <a:xfrm>
          <a:off x="1514475" y="307333650"/>
          <a:ext cx="552450" cy="2095500"/>
        </a:xfrm>
        <a:custGeom>
          <a:avLst/>
          <a:gdLst>
            <a:gd name="T0" fmla="*/ 3 w 60"/>
            <a:gd name="T1" fmla="*/ 0 h 220"/>
            <a:gd name="T2" fmla="*/ 4 w 60"/>
            <a:gd name="T3" fmla="*/ 23 h 220"/>
            <a:gd name="T4" fmla="*/ 25 w 60"/>
            <a:gd name="T5" fmla="*/ 51 h 220"/>
            <a:gd name="T6" fmla="*/ 57 w 60"/>
            <a:gd name="T7" fmla="*/ 93 h 220"/>
            <a:gd name="T8" fmla="*/ 43 w 60"/>
            <a:gd name="T9" fmla="*/ 134 h 220"/>
            <a:gd name="T10" fmla="*/ 50 w 60"/>
            <a:gd name="T11" fmla="*/ 179 h 220"/>
            <a:gd name="T12" fmla="*/ 45 w 60"/>
            <a:gd name="T13" fmla="*/ 211 h 220"/>
            <a:gd name="T14" fmla="*/ 47 w 60"/>
            <a:gd name="T15" fmla="*/ 220 h 22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60" h="220">
              <a:moveTo>
                <a:pt x="3" y="0"/>
              </a:moveTo>
              <a:cubicBezTo>
                <a:pt x="1" y="7"/>
                <a:pt x="0" y="15"/>
                <a:pt x="4" y="23"/>
              </a:cubicBezTo>
              <a:cubicBezTo>
                <a:pt x="8" y="31"/>
                <a:pt x="16" y="39"/>
                <a:pt x="25" y="51"/>
              </a:cubicBezTo>
              <a:cubicBezTo>
                <a:pt x="34" y="63"/>
                <a:pt x="54" y="79"/>
                <a:pt x="57" y="93"/>
              </a:cubicBezTo>
              <a:cubicBezTo>
                <a:pt x="60" y="107"/>
                <a:pt x="44" y="120"/>
                <a:pt x="43" y="134"/>
              </a:cubicBezTo>
              <a:cubicBezTo>
                <a:pt x="42" y="148"/>
                <a:pt x="50" y="166"/>
                <a:pt x="50" y="179"/>
              </a:cubicBezTo>
              <a:cubicBezTo>
                <a:pt x="50" y="192"/>
                <a:pt x="45" y="204"/>
                <a:pt x="45" y="211"/>
              </a:cubicBezTo>
              <a:cubicBezTo>
                <a:pt x="45" y="218"/>
                <a:pt x="46" y="219"/>
                <a:pt x="47" y="22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276225</xdr:colOff>
      <xdr:row>1367</xdr:row>
      <xdr:rowOff>38100</xdr:rowOff>
    </xdr:from>
    <xdr:to>
      <xdr:col>9</xdr:col>
      <xdr:colOff>180975</xdr:colOff>
      <xdr:row>1380</xdr:row>
      <xdr:rowOff>19050</xdr:rowOff>
    </xdr:to>
    <xdr:sp macro="" textlink="">
      <xdr:nvSpPr>
        <xdr:cNvPr id="2004" name="Freeform 980">
          <a:extLst>
            <a:ext uri="{FF2B5EF4-FFF2-40B4-BE49-F238E27FC236}">
              <a16:creationId xmlns:a16="http://schemas.microsoft.com/office/drawing/2014/main" id="{00000000-0008-0000-0100-0000D4070000}"/>
            </a:ext>
          </a:extLst>
        </xdr:cNvPr>
        <xdr:cNvSpPr>
          <a:spLocks/>
        </xdr:cNvSpPr>
      </xdr:nvSpPr>
      <xdr:spPr bwMode="auto">
        <a:xfrm>
          <a:off x="4143375" y="307352700"/>
          <a:ext cx="1123950" cy="2085975"/>
        </a:xfrm>
        <a:custGeom>
          <a:avLst/>
          <a:gdLst>
            <a:gd name="T0" fmla="*/ 0 w 118"/>
            <a:gd name="T1" fmla="*/ 0 h 219"/>
            <a:gd name="T2" fmla="*/ 110 w 118"/>
            <a:gd name="T3" fmla="*/ 73 h 219"/>
            <a:gd name="T4" fmla="*/ 49 w 118"/>
            <a:gd name="T5" fmla="*/ 127 h 219"/>
            <a:gd name="T6" fmla="*/ 77 w 118"/>
            <a:gd name="T7" fmla="*/ 164 h 219"/>
            <a:gd name="T8" fmla="*/ 62 w 118"/>
            <a:gd name="T9" fmla="*/ 193 h 219"/>
            <a:gd name="T10" fmla="*/ 68 w 118"/>
            <a:gd name="T11" fmla="*/ 219 h 219"/>
          </a:gdLst>
          <a:ahLst/>
          <a:cxnLst>
            <a:cxn ang="0">
              <a:pos x="T0" y="T1"/>
            </a:cxn>
            <a:cxn ang="0">
              <a:pos x="T2" y="T3"/>
            </a:cxn>
            <a:cxn ang="0">
              <a:pos x="T4" y="T5"/>
            </a:cxn>
            <a:cxn ang="0">
              <a:pos x="T6" y="T7"/>
            </a:cxn>
            <a:cxn ang="0">
              <a:pos x="T8" y="T9"/>
            </a:cxn>
            <a:cxn ang="0">
              <a:pos x="T10" y="T11"/>
            </a:cxn>
          </a:cxnLst>
          <a:rect l="0" t="0" r="r" b="b"/>
          <a:pathLst>
            <a:path w="118" h="219">
              <a:moveTo>
                <a:pt x="0" y="0"/>
              </a:moveTo>
              <a:cubicBezTo>
                <a:pt x="51" y="26"/>
                <a:pt x="102" y="52"/>
                <a:pt x="110" y="73"/>
              </a:cubicBezTo>
              <a:cubicBezTo>
                <a:pt x="118" y="94"/>
                <a:pt x="54" y="112"/>
                <a:pt x="49" y="127"/>
              </a:cubicBezTo>
              <a:cubicBezTo>
                <a:pt x="44" y="142"/>
                <a:pt x="75" y="153"/>
                <a:pt x="77" y="164"/>
              </a:cubicBezTo>
              <a:cubicBezTo>
                <a:pt x="79" y="175"/>
                <a:pt x="63" y="184"/>
                <a:pt x="62" y="193"/>
              </a:cubicBezTo>
              <a:cubicBezTo>
                <a:pt x="61" y="202"/>
                <a:pt x="64" y="210"/>
                <a:pt x="68" y="219"/>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285750</xdr:colOff>
      <xdr:row>93</xdr:row>
      <xdr:rowOff>19050</xdr:rowOff>
    </xdr:from>
    <xdr:to>
      <xdr:col>4</xdr:col>
      <xdr:colOff>285750</xdr:colOff>
      <xdr:row>106</xdr:row>
      <xdr:rowOff>0</xdr:rowOff>
    </xdr:to>
    <xdr:sp macro="" textlink="">
      <xdr:nvSpPr>
        <xdr:cNvPr id="14341" name="Line 5">
          <a:extLst>
            <a:ext uri="{FF2B5EF4-FFF2-40B4-BE49-F238E27FC236}">
              <a16:creationId xmlns:a16="http://schemas.microsoft.com/office/drawing/2014/main" id="{00000000-0008-0000-0200-000005380000}"/>
            </a:ext>
          </a:extLst>
        </xdr:cNvPr>
        <xdr:cNvSpPr>
          <a:spLocks noChangeShapeType="1"/>
        </xdr:cNvSpPr>
      </xdr:nvSpPr>
      <xdr:spPr bwMode="auto">
        <a:xfrm>
          <a:off x="1943100" y="15782925"/>
          <a:ext cx="0" cy="2085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93</xdr:row>
      <xdr:rowOff>19050</xdr:rowOff>
    </xdr:from>
    <xdr:to>
      <xdr:col>3</xdr:col>
      <xdr:colOff>314325</xdr:colOff>
      <xdr:row>97</xdr:row>
      <xdr:rowOff>57150</xdr:rowOff>
    </xdr:to>
    <xdr:sp macro="" textlink="">
      <xdr:nvSpPr>
        <xdr:cNvPr id="14343" name="Line 7">
          <a:extLst>
            <a:ext uri="{FF2B5EF4-FFF2-40B4-BE49-F238E27FC236}">
              <a16:creationId xmlns:a16="http://schemas.microsoft.com/office/drawing/2014/main" id="{00000000-0008-0000-0200-000007380000}"/>
            </a:ext>
          </a:extLst>
        </xdr:cNvPr>
        <xdr:cNvSpPr>
          <a:spLocks noChangeShapeType="1"/>
        </xdr:cNvSpPr>
      </xdr:nvSpPr>
      <xdr:spPr bwMode="auto">
        <a:xfrm>
          <a:off x="1323975" y="15782925"/>
          <a:ext cx="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247650</xdr:colOff>
      <xdr:row>97</xdr:row>
      <xdr:rowOff>57150</xdr:rowOff>
    </xdr:from>
    <xdr:to>
      <xdr:col>4</xdr:col>
      <xdr:colOff>161925</xdr:colOff>
      <xdr:row>97</xdr:row>
      <xdr:rowOff>57150</xdr:rowOff>
    </xdr:to>
    <xdr:sp macro="" textlink="">
      <xdr:nvSpPr>
        <xdr:cNvPr id="14344" name="Line 8">
          <a:extLst>
            <a:ext uri="{FF2B5EF4-FFF2-40B4-BE49-F238E27FC236}">
              <a16:creationId xmlns:a16="http://schemas.microsoft.com/office/drawing/2014/main" id="{00000000-0008-0000-0200-000008380000}"/>
            </a:ext>
          </a:extLst>
        </xdr:cNvPr>
        <xdr:cNvSpPr>
          <a:spLocks noChangeShapeType="1"/>
        </xdr:cNvSpPr>
      </xdr:nvSpPr>
      <xdr:spPr bwMode="auto">
        <a:xfrm>
          <a:off x="1257300" y="16468725"/>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97</xdr:row>
      <xdr:rowOff>47625</xdr:rowOff>
    </xdr:from>
    <xdr:to>
      <xdr:col>4</xdr:col>
      <xdr:colOff>257175</xdr:colOff>
      <xdr:row>98</xdr:row>
      <xdr:rowOff>114300</xdr:rowOff>
    </xdr:to>
    <xdr:sp macro="" textlink="">
      <xdr:nvSpPr>
        <xdr:cNvPr id="14345" name="Line 9">
          <a:extLst>
            <a:ext uri="{FF2B5EF4-FFF2-40B4-BE49-F238E27FC236}">
              <a16:creationId xmlns:a16="http://schemas.microsoft.com/office/drawing/2014/main" id="{00000000-0008-0000-0200-000009380000}"/>
            </a:ext>
          </a:extLst>
        </xdr:cNvPr>
        <xdr:cNvSpPr>
          <a:spLocks noChangeShapeType="1"/>
        </xdr:cNvSpPr>
      </xdr:nvSpPr>
      <xdr:spPr bwMode="auto">
        <a:xfrm flipV="1">
          <a:off x="1743075" y="16459200"/>
          <a:ext cx="17145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xdr:col>
      <xdr:colOff>238125</xdr:colOff>
      <xdr:row>98</xdr:row>
      <xdr:rowOff>66675</xdr:rowOff>
    </xdr:from>
    <xdr:ext cx="485775" cy="200025"/>
    <xdr:sp macro="" textlink="">
      <xdr:nvSpPr>
        <xdr:cNvPr id="14346" name="Text Box 10">
          <a:extLst>
            <a:ext uri="{FF2B5EF4-FFF2-40B4-BE49-F238E27FC236}">
              <a16:creationId xmlns:a16="http://schemas.microsoft.com/office/drawing/2014/main" id="{00000000-0008-0000-0200-00000A380000}"/>
            </a:ext>
          </a:extLst>
        </xdr:cNvPr>
        <xdr:cNvSpPr txBox="1">
          <a:spLocks noChangeArrowheads="1"/>
        </xdr:cNvSpPr>
      </xdr:nvSpPr>
      <xdr:spPr bwMode="auto">
        <a:xfrm>
          <a:off x="1247775" y="16640175"/>
          <a:ext cx="485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Symbol"/>
            </a:rPr>
            <a:t>D</a:t>
          </a:r>
          <a:r>
            <a:rPr lang="en-US" sz="1000" b="0" i="0" u="none" strike="noStrike" baseline="0">
              <a:solidFill>
                <a:srgbClr val="000000"/>
              </a:solidFill>
              <a:latin typeface="Arial"/>
              <a:cs typeface="Arial"/>
            </a:rPr>
            <a:t> = 2%</a:t>
          </a:r>
        </a:p>
      </xdr:txBody>
    </xdr:sp>
    <xdr:clientData/>
  </xdr:oneCellAnchor>
  <xdr:twoCellAnchor>
    <xdr:from>
      <xdr:col>3</xdr:col>
      <xdr:colOff>257175</xdr:colOff>
      <xdr:row>93</xdr:row>
      <xdr:rowOff>19050</xdr:rowOff>
    </xdr:from>
    <xdr:to>
      <xdr:col>3</xdr:col>
      <xdr:colOff>447675</xdr:colOff>
      <xdr:row>93</xdr:row>
      <xdr:rowOff>19050</xdr:rowOff>
    </xdr:to>
    <xdr:sp macro="" textlink="">
      <xdr:nvSpPr>
        <xdr:cNvPr id="14347" name="Line 11">
          <a:extLst>
            <a:ext uri="{FF2B5EF4-FFF2-40B4-BE49-F238E27FC236}">
              <a16:creationId xmlns:a16="http://schemas.microsoft.com/office/drawing/2014/main" id="{00000000-0008-0000-0200-00000B380000}"/>
            </a:ext>
          </a:extLst>
        </xdr:cNvPr>
        <xdr:cNvSpPr>
          <a:spLocks noChangeShapeType="1"/>
        </xdr:cNvSpPr>
      </xdr:nvSpPr>
      <xdr:spPr bwMode="auto">
        <a:xfrm>
          <a:off x="1266825" y="157829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66675</xdr:colOff>
      <xdr:row>94</xdr:row>
      <xdr:rowOff>66675</xdr:rowOff>
    </xdr:from>
    <xdr:ext cx="266700" cy="238125"/>
    <xdr:sp macro="" textlink="">
      <xdr:nvSpPr>
        <xdr:cNvPr id="14348" name="Text Box 12">
          <a:extLst>
            <a:ext uri="{FF2B5EF4-FFF2-40B4-BE49-F238E27FC236}">
              <a16:creationId xmlns:a16="http://schemas.microsoft.com/office/drawing/2014/main" id="{00000000-0008-0000-0200-00000C380000}"/>
            </a:ext>
          </a:extLst>
        </xdr:cNvPr>
        <xdr:cNvSpPr txBox="1">
          <a:spLocks noChangeArrowheads="1"/>
        </xdr:cNvSpPr>
      </xdr:nvSpPr>
      <xdr:spPr bwMode="auto">
        <a:xfrm>
          <a:off x="1076325" y="15992475"/>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L</a:t>
          </a:r>
          <a:r>
            <a:rPr lang="en-US" sz="1000" b="0" i="0" u="none" strike="noStrike" baseline="-25000">
              <a:solidFill>
                <a:srgbClr val="000000"/>
              </a:solidFill>
              <a:latin typeface="Arial"/>
              <a:cs typeface="Arial"/>
            </a:rPr>
            <a:t> sn</a:t>
          </a:r>
        </a:p>
      </xdr:txBody>
    </xdr:sp>
    <xdr:clientData/>
  </xdr:oneCellAnchor>
  <xdr:twoCellAnchor>
    <xdr:from>
      <xdr:col>4</xdr:col>
      <xdr:colOff>323850</xdr:colOff>
      <xdr:row>93</xdr:row>
      <xdr:rowOff>19050</xdr:rowOff>
    </xdr:from>
    <xdr:to>
      <xdr:col>5</xdr:col>
      <xdr:colOff>47625</xdr:colOff>
      <xdr:row>93</xdr:row>
      <xdr:rowOff>19050</xdr:rowOff>
    </xdr:to>
    <xdr:sp macro="" textlink="">
      <xdr:nvSpPr>
        <xdr:cNvPr id="14349" name="Line 13">
          <a:extLst>
            <a:ext uri="{FF2B5EF4-FFF2-40B4-BE49-F238E27FC236}">
              <a16:creationId xmlns:a16="http://schemas.microsoft.com/office/drawing/2014/main" id="{00000000-0008-0000-0200-00000D380000}"/>
            </a:ext>
          </a:extLst>
        </xdr:cNvPr>
        <xdr:cNvSpPr>
          <a:spLocks noChangeShapeType="1"/>
        </xdr:cNvSpPr>
      </xdr:nvSpPr>
      <xdr:spPr bwMode="auto">
        <a:xfrm flipH="1">
          <a:off x="1981200" y="15782925"/>
          <a:ext cx="333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97</xdr:row>
      <xdr:rowOff>95250</xdr:rowOff>
    </xdr:from>
    <xdr:to>
      <xdr:col>5</xdr:col>
      <xdr:colOff>76200</xdr:colOff>
      <xdr:row>97</xdr:row>
      <xdr:rowOff>95250</xdr:rowOff>
    </xdr:to>
    <xdr:sp macro="" textlink="">
      <xdr:nvSpPr>
        <xdr:cNvPr id="14350" name="Line 14">
          <a:extLst>
            <a:ext uri="{FF2B5EF4-FFF2-40B4-BE49-F238E27FC236}">
              <a16:creationId xmlns:a16="http://schemas.microsoft.com/office/drawing/2014/main" id="{00000000-0008-0000-0200-00000E380000}"/>
            </a:ext>
          </a:extLst>
        </xdr:cNvPr>
        <xdr:cNvSpPr>
          <a:spLocks noChangeShapeType="1"/>
        </xdr:cNvSpPr>
      </xdr:nvSpPr>
      <xdr:spPr bwMode="auto">
        <a:xfrm flipH="1">
          <a:off x="2009775" y="16506825"/>
          <a:ext cx="333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93</xdr:row>
      <xdr:rowOff>19050</xdr:rowOff>
    </xdr:from>
    <xdr:to>
      <xdr:col>5</xdr:col>
      <xdr:colOff>0</xdr:colOff>
      <xdr:row>97</xdr:row>
      <xdr:rowOff>95250</xdr:rowOff>
    </xdr:to>
    <xdr:sp macro="" textlink="">
      <xdr:nvSpPr>
        <xdr:cNvPr id="14351" name="Line 15">
          <a:extLst>
            <a:ext uri="{FF2B5EF4-FFF2-40B4-BE49-F238E27FC236}">
              <a16:creationId xmlns:a16="http://schemas.microsoft.com/office/drawing/2014/main" id="{00000000-0008-0000-0200-00000F380000}"/>
            </a:ext>
          </a:extLst>
        </xdr:cNvPr>
        <xdr:cNvSpPr>
          <a:spLocks noChangeShapeType="1"/>
        </xdr:cNvSpPr>
      </xdr:nvSpPr>
      <xdr:spPr bwMode="auto">
        <a:xfrm>
          <a:off x="2266950" y="15782925"/>
          <a:ext cx="0"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oneCellAnchor>
    <xdr:from>
      <xdr:col>5</xdr:col>
      <xdr:colOff>28575</xdr:colOff>
      <xdr:row>94</xdr:row>
      <xdr:rowOff>66675</xdr:rowOff>
    </xdr:from>
    <xdr:ext cx="266700" cy="238125"/>
    <xdr:sp macro="" textlink="">
      <xdr:nvSpPr>
        <xdr:cNvPr id="14352" name="Text Box 16">
          <a:extLst>
            <a:ext uri="{FF2B5EF4-FFF2-40B4-BE49-F238E27FC236}">
              <a16:creationId xmlns:a16="http://schemas.microsoft.com/office/drawing/2014/main" id="{00000000-0008-0000-0200-000010380000}"/>
            </a:ext>
          </a:extLst>
        </xdr:cNvPr>
        <xdr:cNvSpPr txBox="1">
          <a:spLocks noChangeArrowheads="1"/>
        </xdr:cNvSpPr>
      </xdr:nvSpPr>
      <xdr:spPr bwMode="auto">
        <a:xfrm>
          <a:off x="2295525" y="15992475"/>
          <a:ext cx="2667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L</a:t>
          </a:r>
          <a:r>
            <a:rPr lang="en-US" sz="1000" b="0" i="0" u="none" strike="noStrike" baseline="-25000">
              <a:solidFill>
                <a:srgbClr val="000000"/>
              </a:solidFill>
              <a:latin typeface="Arial"/>
              <a:cs typeface="Arial"/>
            </a:rPr>
            <a:t> sc</a:t>
          </a:r>
        </a:p>
      </xdr:txBody>
    </xdr:sp>
    <xdr:clientData/>
  </xdr:oneCellAnchor>
  <xdr:twoCellAnchor>
    <xdr:from>
      <xdr:col>2</xdr:col>
      <xdr:colOff>266700</xdr:colOff>
      <xdr:row>97</xdr:row>
      <xdr:rowOff>9525</xdr:rowOff>
    </xdr:from>
    <xdr:to>
      <xdr:col>6</xdr:col>
      <xdr:colOff>9525</xdr:colOff>
      <xdr:row>97</xdr:row>
      <xdr:rowOff>9525</xdr:rowOff>
    </xdr:to>
    <xdr:sp macro="" textlink="">
      <xdr:nvSpPr>
        <xdr:cNvPr id="14354" name="Line 18">
          <a:extLst>
            <a:ext uri="{FF2B5EF4-FFF2-40B4-BE49-F238E27FC236}">
              <a16:creationId xmlns:a16="http://schemas.microsoft.com/office/drawing/2014/main" id="{00000000-0008-0000-0200-000012380000}"/>
            </a:ext>
          </a:extLst>
        </xdr:cNvPr>
        <xdr:cNvSpPr>
          <a:spLocks noChangeShapeType="1"/>
        </xdr:cNvSpPr>
      </xdr:nvSpPr>
      <xdr:spPr bwMode="auto">
        <a:xfrm>
          <a:off x="895350" y="16421100"/>
          <a:ext cx="2066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314325</xdr:colOff>
      <xdr:row>93</xdr:row>
      <xdr:rowOff>38100</xdr:rowOff>
    </xdr:from>
    <xdr:to>
      <xdr:col>8</xdr:col>
      <xdr:colOff>314325</xdr:colOff>
      <xdr:row>106</xdr:row>
      <xdr:rowOff>19050</xdr:rowOff>
    </xdr:to>
    <xdr:sp macro="" textlink="">
      <xdr:nvSpPr>
        <xdr:cNvPr id="14355" name="Line 19">
          <a:extLst>
            <a:ext uri="{FF2B5EF4-FFF2-40B4-BE49-F238E27FC236}">
              <a16:creationId xmlns:a16="http://schemas.microsoft.com/office/drawing/2014/main" id="{00000000-0008-0000-0200-000013380000}"/>
            </a:ext>
          </a:extLst>
        </xdr:cNvPr>
        <xdr:cNvSpPr>
          <a:spLocks noChangeShapeType="1"/>
        </xdr:cNvSpPr>
      </xdr:nvSpPr>
      <xdr:spPr bwMode="auto">
        <a:xfrm>
          <a:off x="4791075" y="15801975"/>
          <a:ext cx="0" cy="2085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93</xdr:row>
      <xdr:rowOff>47625</xdr:rowOff>
    </xdr:from>
    <xdr:to>
      <xdr:col>7</xdr:col>
      <xdr:colOff>276225</xdr:colOff>
      <xdr:row>94</xdr:row>
      <xdr:rowOff>0</xdr:rowOff>
    </xdr:to>
    <xdr:sp macro="" textlink="">
      <xdr:nvSpPr>
        <xdr:cNvPr id="14357" name="Line 21">
          <a:extLst>
            <a:ext uri="{FF2B5EF4-FFF2-40B4-BE49-F238E27FC236}">
              <a16:creationId xmlns:a16="http://schemas.microsoft.com/office/drawing/2014/main" id="{00000000-0008-0000-0200-000015380000}"/>
            </a:ext>
          </a:extLst>
        </xdr:cNvPr>
        <xdr:cNvSpPr>
          <a:spLocks noChangeShapeType="1"/>
        </xdr:cNvSpPr>
      </xdr:nvSpPr>
      <xdr:spPr bwMode="auto">
        <a:xfrm flipV="1">
          <a:off x="3895725" y="15811500"/>
          <a:ext cx="24765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6</xdr:col>
      <xdr:colOff>742950</xdr:colOff>
      <xdr:row>93</xdr:row>
      <xdr:rowOff>114300</xdr:rowOff>
    </xdr:from>
    <xdr:ext cx="276225" cy="238125"/>
    <xdr:sp macro="" textlink="">
      <xdr:nvSpPr>
        <xdr:cNvPr id="14358" name="Text Box 22">
          <a:extLst>
            <a:ext uri="{FF2B5EF4-FFF2-40B4-BE49-F238E27FC236}">
              <a16:creationId xmlns:a16="http://schemas.microsoft.com/office/drawing/2014/main" id="{00000000-0008-0000-0200-000016380000}"/>
            </a:ext>
          </a:extLst>
        </xdr:cNvPr>
        <xdr:cNvSpPr txBox="1">
          <a:spLocks noChangeArrowheads="1"/>
        </xdr:cNvSpPr>
      </xdr:nvSpPr>
      <xdr:spPr bwMode="auto">
        <a:xfrm>
          <a:off x="3695700" y="15878175"/>
          <a:ext cx="2762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M</a:t>
          </a:r>
          <a:r>
            <a:rPr lang="en-US" sz="1000" b="0" i="0" u="none" strike="noStrike" baseline="-25000">
              <a:solidFill>
                <a:srgbClr val="000000"/>
              </a:solidFill>
              <a:latin typeface="Arial"/>
              <a:cs typeface="Arial"/>
            </a:rPr>
            <a:t>su</a:t>
          </a:r>
        </a:p>
      </xdr:txBody>
    </xdr:sp>
    <xdr:clientData/>
  </xdr:oneCellAnchor>
  <xdr:twoCellAnchor>
    <xdr:from>
      <xdr:col>6</xdr:col>
      <xdr:colOff>800100</xdr:colOff>
      <xdr:row>97</xdr:row>
      <xdr:rowOff>9525</xdr:rowOff>
    </xdr:from>
    <xdr:to>
      <xdr:col>10</xdr:col>
      <xdr:colOff>171450</xdr:colOff>
      <xdr:row>97</xdr:row>
      <xdr:rowOff>9525</xdr:rowOff>
    </xdr:to>
    <xdr:sp macro="" textlink="">
      <xdr:nvSpPr>
        <xdr:cNvPr id="14367" name="Line 31">
          <a:extLst>
            <a:ext uri="{FF2B5EF4-FFF2-40B4-BE49-F238E27FC236}">
              <a16:creationId xmlns:a16="http://schemas.microsoft.com/office/drawing/2014/main" id="{00000000-0008-0000-0200-00001F380000}"/>
            </a:ext>
          </a:extLst>
        </xdr:cNvPr>
        <xdr:cNvSpPr>
          <a:spLocks noChangeShapeType="1"/>
        </xdr:cNvSpPr>
      </xdr:nvSpPr>
      <xdr:spPr bwMode="auto">
        <a:xfrm>
          <a:off x="3752850" y="16421100"/>
          <a:ext cx="2152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771525</xdr:colOff>
      <xdr:row>95</xdr:row>
      <xdr:rowOff>114300</xdr:rowOff>
    </xdr:from>
    <xdr:to>
      <xdr:col>7</xdr:col>
      <xdr:colOff>104775</xdr:colOff>
      <xdr:row>97</xdr:row>
      <xdr:rowOff>9525</xdr:rowOff>
    </xdr:to>
    <xdr:sp macro="" textlink="">
      <xdr:nvSpPr>
        <xdr:cNvPr id="14374" name="Line 38">
          <a:extLst>
            <a:ext uri="{FF2B5EF4-FFF2-40B4-BE49-F238E27FC236}">
              <a16:creationId xmlns:a16="http://schemas.microsoft.com/office/drawing/2014/main" id="{00000000-0008-0000-0200-000026380000}"/>
            </a:ext>
          </a:extLst>
        </xdr:cNvPr>
        <xdr:cNvSpPr>
          <a:spLocks noChangeShapeType="1"/>
        </xdr:cNvSpPr>
      </xdr:nvSpPr>
      <xdr:spPr bwMode="auto">
        <a:xfrm>
          <a:off x="3724275" y="16202025"/>
          <a:ext cx="24765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6</xdr:col>
      <xdr:colOff>47625</xdr:colOff>
      <xdr:row>95</xdr:row>
      <xdr:rowOff>0</xdr:rowOff>
    </xdr:from>
    <xdr:ext cx="723900" cy="200025"/>
    <xdr:sp macro="" textlink="">
      <xdr:nvSpPr>
        <xdr:cNvPr id="14375" name="Text Box 39">
          <a:extLst>
            <a:ext uri="{FF2B5EF4-FFF2-40B4-BE49-F238E27FC236}">
              <a16:creationId xmlns:a16="http://schemas.microsoft.com/office/drawing/2014/main" id="{00000000-0008-0000-0200-000027380000}"/>
            </a:ext>
          </a:extLst>
        </xdr:cNvPr>
        <xdr:cNvSpPr txBox="1">
          <a:spLocks noChangeArrowheads="1"/>
        </xdr:cNvSpPr>
      </xdr:nvSpPr>
      <xdr:spPr bwMode="auto">
        <a:xfrm>
          <a:off x="3000375" y="16087725"/>
          <a:ext cx="7239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Soil surface</a:t>
          </a:r>
        </a:p>
      </xdr:txBody>
    </xdr:sp>
    <xdr:clientData/>
  </xdr:oneCellAnchor>
  <xdr:twoCellAnchor>
    <xdr:from>
      <xdr:col>5</xdr:col>
      <xdr:colOff>457200</xdr:colOff>
      <xdr:row>95</xdr:row>
      <xdr:rowOff>114300</xdr:rowOff>
    </xdr:from>
    <xdr:to>
      <xdr:col>6</xdr:col>
      <xdr:colOff>19050</xdr:colOff>
      <xdr:row>97</xdr:row>
      <xdr:rowOff>9525</xdr:rowOff>
    </xdr:to>
    <xdr:sp macro="" textlink="">
      <xdr:nvSpPr>
        <xdr:cNvPr id="14376" name="Line 40">
          <a:extLst>
            <a:ext uri="{FF2B5EF4-FFF2-40B4-BE49-F238E27FC236}">
              <a16:creationId xmlns:a16="http://schemas.microsoft.com/office/drawing/2014/main" id="{00000000-0008-0000-0200-000028380000}"/>
            </a:ext>
          </a:extLst>
        </xdr:cNvPr>
        <xdr:cNvSpPr>
          <a:spLocks noChangeShapeType="1"/>
        </xdr:cNvSpPr>
      </xdr:nvSpPr>
      <xdr:spPr bwMode="auto">
        <a:xfrm flipH="1">
          <a:off x="2724150" y="16202025"/>
          <a:ext cx="24765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485775</xdr:colOff>
      <xdr:row>93</xdr:row>
      <xdr:rowOff>19050</xdr:rowOff>
    </xdr:from>
    <xdr:to>
      <xdr:col>4</xdr:col>
      <xdr:colOff>409575</xdr:colOff>
      <xdr:row>106</xdr:row>
      <xdr:rowOff>9525</xdr:rowOff>
    </xdr:to>
    <xdr:sp macro="" textlink="">
      <xdr:nvSpPr>
        <xdr:cNvPr id="14377" name="Freeform 41">
          <a:extLst>
            <a:ext uri="{FF2B5EF4-FFF2-40B4-BE49-F238E27FC236}">
              <a16:creationId xmlns:a16="http://schemas.microsoft.com/office/drawing/2014/main" id="{00000000-0008-0000-0200-000029380000}"/>
            </a:ext>
          </a:extLst>
        </xdr:cNvPr>
        <xdr:cNvSpPr>
          <a:spLocks/>
        </xdr:cNvSpPr>
      </xdr:nvSpPr>
      <xdr:spPr bwMode="auto">
        <a:xfrm>
          <a:off x="1495425" y="15782925"/>
          <a:ext cx="571500" cy="2095500"/>
        </a:xfrm>
        <a:custGeom>
          <a:avLst/>
          <a:gdLst>
            <a:gd name="T0" fmla="*/ 3 w 60"/>
            <a:gd name="T1" fmla="*/ 0 h 220"/>
            <a:gd name="T2" fmla="*/ 4 w 60"/>
            <a:gd name="T3" fmla="*/ 23 h 220"/>
            <a:gd name="T4" fmla="*/ 25 w 60"/>
            <a:gd name="T5" fmla="*/ 51 h 220"/>
            <a:gd name="T6" fmla="*/ 57 w 60"/>
            <a:gd name="T7" fmla="*/ 93 h 220"/>
            <a:gd name="T8" fmla="*/ 43 w 60"/>
            <a:gd name="T9" fmla="*/ 134 h 220"/>
            <a:gd name="T10" fmla="*/ 50 w 60"/>
            <a:gd name="T11" fmla="*/ 179 h 220"/>
            <a:gd name="T12" fmla="*/ 45 w 60"/>
            <a:gd name="T13" fmla="*/ 211 h 220"/>
            <a:gd name="T14" fmla="*/ 47 w 60"/>
            <a:gd name="T15" fmla="*/ 220 h 22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60" h="220">
              <a:moveTo>
                <a:pt x="3" y="0"/>
              </a:moveTo>
              <a:cubicBezTo>
                <a:pt x="1" y="7"/>
                <a:pt x="0" y="15"/>
                <a:pt x="4" y="23"/>
              </a:cubicBezTo>
              <a:cubicBezTo>
                <a:pt x="8" y="31"/>
                <a:pt x="16" y="39"/>
                <a:pt x="25" y="51"/>
              </a:cubicBezTo>
              <a:cubicBezTo>
                <a:pt x="34" y="63"/>
                <a:pt x="54" y="79"/>
                <a:pt x="57" y="93"/>
              </a:cubicBezTo>
              <a:cubicBezTo>
                <a:pt x="60" y="107"/>
                <a:pt x="44" y="120"/>
                <a:pt x="43" y="134"/>
              </a:cubicBezTo>
              <a:cubicBezTo>
                <a:pt x="42" y="148"/>
                <a:pt x="50" y="166"/>
                <a:pt x="50" y="179"/>
              </a:cubicBezTo>
              <a:cubicBezTo>
                <a:pt x="50" y="192"/>
                <a:pt x="45" y="204"/>
                <a:pt x="45" y="211"/>
              </a:cubicBezTo>
              <a:cubicBezTo>
                <a:pt x="45" y="218"/>
                <a:pt x="46" y="219"/>
                <a:pt x="47" y="22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276225</xdr:colOff>
      <xdr:row>93</xdr:row>
      <xdr:rowOff>38100</xdr:rowOff>
    </xdr:from>
    <xdr:to>
      <xdr:col>9</xdr:col>
      <xdr:colOff>180975</xdr:colOff>
      <xdr:row>106</xdr:row>
      <xdr:rowOff>19050</xdr:rowOff>
    </xdr:to>
    <xdr:sp macro="" textlink="">
      <xdr:nvSpPr>
        <xdr:cNvPr id="14379" name="Freeform 43">
          <a:extLst>
            <a:ext uri="{FF2B5EF4-FFF2-40B4-BE49-F238E27FC236}">
              <a16:creationId xmlns:a16="http://schemas.microsoft.com/office/drawing/2014/main" id="{00000000-0008-0000-0200-00002B380000}"/>
            </a:ext>
          </a:extLst>
        </xdr:cNvPr>
        <xdr:cNvSpPr>
          <a:spLocks/>
        </xdr:cNvSpPr>
      </xdr:nvSpPr>
      <xdr:spPr bwMode="auto">
        <a:xfrm>
          <a:off x="4143375" y="15801975"/>
          <a:ext cx="1123950" cy="2085975"/>
        </a:xfrm>
        <a:custGeom>
          <a:avLst/>
          <a:gdLst>
            <a:gd name="T0" fmla="*/ 0 w 118"/>
            <a:gd name="T1" fmla="*/ 0 h 219"/>
            <a:gd name="T2" fmla="*/ 110 w 118"/>
            <a:gd name="T3" fmla="*/ 73 h 219"/>
            <a:gd name="T4" fmla="*/ 49 w 118"/>
            <a:gd name="T5" fmla="*/ 127 h 219"/>
            <a:gd name="T6" fmla="*/ 77 w 118"/>
            <a:gd name="T7" fmla="*/ 164 h 219"/>
            <a:gd name="T8" fmla="*/ 62 w 118"/>
            <a:gd name="T9" fmla="*/ 193 h 219"/>
            <a:gd name="T10" fmla="*/ 68 w 118"/>
            <a:gd name="T11" fmla="*/ 219 h 219"/>
          </a:gdLst>
          <a:ahLst/>
          <a:cxnLst>
            <a:cxn ang="0">
              <a:pos x="T0" y="T1"/>
            </a:cxn>
            <a:cxn ang="0">
              <a:pos x="T2" y="T3"/>
            </a:cxn>
            <a:cxn ang="0">
              <a:pos x="T4" y="T5"/>
            </a:cxn>
            <a:cxn ang="0">
              <a:pos x="T6" y="T7"/>
            </a:cxn>
            <a:cxn ang="0">
              <a:pos x="T8" y="T9"/>
            </a:cxn>
            <a:cxn ang="0">
              <a:pos x="T10" y="T11"/>
            </a:cxn>
          </a:cxnLst>
          <a:rect l="0" t="0" r="r" b="b"/>
          <a:pathLst>
            <a:path w="118" h="219">
              <a:moveTo>
                <a:pt x="0" y="0"/>
              </a:moveTo>
              <a:cubicBezTo>
                <a:pt x="51" y="26"/>
                <a:pt x="102" y="52"/>
                <a:pt x="110" y="73"/>
              </a:cubicBezTo>
              <a:cubicBezTo>
                <a:pt x="118" y="94"/>
                <a:pt x="54" y="112"/>
                <a:pt x="49" y="127"/>
              </a:cubicBezTo>
              <a:cubicBezTo>
                <a:pt x="44" y="142"/>
                <a:pt x="75" y="153"/>
                <a:pt x="77" y="164"/>
              </a:cubicBezTo>
              <a:cubicBezTo>
                <a:pt x="79" y="175"/>
                <a:pt x="63" y="184"/>
                <a:pt x="62" y="193"/>
              </a:cubicBezTo>
              <a:cubicBezTo>
                <a:pt x="61" y="202"/>
                <a:pt x="64" y="210"/>
                <a:pt x="68" y="219"/>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1</xdr:col>
          <xdr:colOff>619125</xdr:colOff>
          <xdr:row>5</xdr:row>
          <xdr:rowOff>133350</xdr:rowOff>
        </xdr:to>
        <xdr:sp macro="" textlink="">
          <xdr:nvSpPr>
            <xdr:cNvPr id="19457" name="CommandButton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28575</xdr:rowOff>
        </xdr:from>
        <xdr:to>
          <xdr:col>1</xdr:col>
          <xdr:colOff>619125</xdr:colOff>
          <xdr:row>9</xdr:row>
          <xdr:rowOff>161925</xdr:rowOff>
        </xdr:to>
        <xdr:sp macro="" textlink="">
          <xdr:nvSpPr>
            <xdr:cNvPr id="19458" name="CommandButton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5.xml"/><Relationship Id="rId5" Type="http://schemas.openxmlformats.org/officeDocument/2006/relationships/image" Target="../media/image4.emf"/><Relationship Id="rId4" Type="http://schemas.openxmlformats.org/officeDocument/2006/relationships/control" Target="../activeX/activeX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1"/>
  <dimension ref="A1:U118"/>
  <sheetViews>
    <sheetView showGridLines="0" tabSelected="1" zoomScaleNormal="100" zoomScaleSheetLayoutView="100" workbookViewId="0"/>
  </sheetViews>
  <sheetFormatPr defaultColWidth="9.1328125" defaultRowHeight="12.75"/>
  <cols>
    <col min="1" max="1" width="5" style="124" customWidth="1"/>
    <col min="2" max="2" width="4.3984375" style="124" customWidth="1"/>
    <col min="3" max="3" width="5.73046875" style="124" customWidth="1"/>
    <col min="4" max="4" width="9.73046875" style="124" customWidth="1"/>
    <col min="5" max="5" width="9.1328125" style="124"/>
    <col min="6" max="6" width="10.265625" style="124" customWidth="1"/>
    <col min="7" max="7" width="13.73046875" style="124" customWidth="1"/>
    <col min="8" max="9" width="9.1328125" style="124"/>
    <col min="10" max="10" width="1.86328125" style="124" customWidth="1"/>
    <col min="11" max="11" width="14.73046875" style="124" customWidth="1"/>
    <col min="12" max="12" width="5" style="124" customWidth="1"/>
    <col min="13" max="13" width="11.86328125" style="124" customWidth="1"/>
    <col min="14" max="16384" width="9.1328125" style="124"/>
  </cols>
  <sheetData>
    <row r="1" spans="1:16" ht="13.15">
      <c r="A1" s="120" t="s">
        <v>434</v>
      </c>
      <c r="B1" s="109"/>
      <c r="C1" s="110"/>
      <c r="D1" s="110"/>
      <c r="E1" s="110"/>
      <c r="F1" s="110"/>
      <c r="G1" s="110"/>
      <c r="H1" s="110"/>
      <c r="I1" s="121"/>
      <c r="J1" s="122" t="s">
        <v>682</v>
      </c>
      <c r="K1" s="114"/>
      <c r="L1" s="123" t="s">
        <v>684</v>
      </c>
      <c r="M1" s="116"/>
      <c r="O1" s="125"/>
    </row>
    <row r="2" spans="1:16" ht="13.15">
      <c r="A2" s="126"/>
      <c r="B2" s="111"/>
      <c r="C2" s="112"/>
      <c r="D2" s="112"/>
      <c r="E2" s="112"/>
      <c r="F2" s="112"/>
      <c r="G2" s="112"/>
      <c r="H2" s="112"/>
      <c r="I2" s="127"/>
      <c r="J2" s="128" t="s">
        <v>683</v>
      </c>
      <c r="K2" s="113"/>
      <c r="L2" s="129" t="s">
        <v>684</v>
      </c>
      <c r="M2" s="115" t="s">
        <v>685</v>
      </c>
      <c r="O2" s="125"/>
    </row>
    <row r="3" spans="1:16" ht="13.15">
      <c r="A3" s="125"/>
      <c r="B3" s="130"/>
      <c r="C3" s="131"/>
      <c r="D3" s="131"/>
      <c r="E3" s="131"/>
      <c r="F3" s="131"/>
      <c r="G3" s="131"/>
      <c r="H3" s="131"/>
      <c r="I3" s="133"/>
      <c r="J3" s="134"/>
      <c r="K3" s="125"/>
      <c r="L3" s="135"/>
      <c r="M3" s="134"/>
    </row>
    <row r="4" spans="1:16">
      <c r="A4" s="125"/>
      <c r="B4" s="125"/>
      <c r="C4" s="125"/>
      <c r="D4" s="125"/>
      <c r="E4" s="125"/>
      <c r="F4" s="125"/>
      <c r="G4" s="125"/>
      <c r="H4" s="125"/>
      <c r="I4" s="133"/>
      <c r="J4" s="134"/>
      <c r="K4" s="125"/>
      <c r="L4" s="135"/>
      <c r="M4" s="134"/>
    </row>
    <row r="5" spans="1:16" ht="1.5" customHeight="1">
      <c r="A5" s="125"/>
      <c r="B5" s="125"/>
      <c r="C5" s="125"/>
      <c r="D5" s="125"/>
      <c r="E5" s="125"/>
      <c r="F5" s="125"/>
      <c r="G5" s="125"/>
      <c r="H5" s="125"/>
      <c r="I5" s="125"/>
      <c r="J5" s="125"/>
      <c r="K5" s="125"/>
      <c r="L5" s="125"/>
      <c r="M5" s="125"/>
    </row>
    <row r="6" spans="1:16" ht="13.5" customHeight="1">
      <c r="A6" s="575" t="s">
        <v>844</v>
      </c>
      <c r="B6" s="576"/>
      <c r="C6" s="576"/>
      <c r="D6" s="576"/>
      <c r="E6" s="576"/>
      <c r="F6" s="576"/>
      <c r="G6" s="576"/>
      <c r="H6" s="576"/>
      <c r="I6" s="576"/>
      <c r="J6" s="576"/>
      <c r="K6" s="576"/>
      <c r="L6" s="576"/>
      <c r="M6" s="125"/>
    </row>
    <row r="7" spans="1:16">
      <c r="A7" s="576"/>
      <c r="B7" s="576"/>
      <c r="C7" s="576"/>
      <c r="D7" s="576"/>
      <c r="E7" s="576"/>
      <c r="F7" s="576"/>
      <c r="G7" s="576"/>
      <c r="H7" s="576"/>
      <c r="I7" s="576"/>
      <c r="J7" s="576"/>
      <c r="K7" s="576"/>
      <c r="L7" s="576"/>
      <c r="M7" s="125"/>
    </row>
    <row r="8" spans="1:16">
      <c r="A8" s="576"/>
      <c r="B8" s="576"/>
      <c r="C8" s="576"/>
      <c r="D8" s="576"/>
      <c r="E8" s="576"/>
      <c r="F8" s="576"/>
      <c r="G8" s="576"/>
      <c r="H8" s="576"/>
      <c r="I8" s="576"/>
      <c r="J8" s="576"/>
      <c r="K8" s="576"/>
      <c r="L8" s="576"/>
      <c r="M8" s="125"/>
    </row>
    <row r="9" spans="1:16">
      <c r="A9" s="576"/>
      <c r="B9" s="576"/>
      <c r="C9" s="576"/>
      <c r="D9" s="576"/>
      <c r="E9" s="576"/>
      <c r="F9" s="576"/>
      <c r="G9" s="576"/>
      <c r="H9" s="576"/>
      <c r="I9" s="576"/>
      <c r="J9" s="576"/>
      <c r="K9" s="576"/>
      <c r="L9" s="576"/>
      <c r="M9" s="125"/>
    </row>
    <row r="10" spans="1:16">
      <c r="A10" s="576"/>
      <c r="B10" s="576"/>
      <c r="C10" s="576"/>
      <c r="D10" s="576"/>
      <c r="E10" s="576"/>
      <c r="F10" s="576"/>
      <c r="G10" s="576"/>
      <c r="H10" s="576"/>
      <c r="I10" s="576"/>
      <c r="J10" s="576"/>
      <c r="K10" s="576"/>
      <c r="L10" s="576"/>
      <c r="M10" s="125"/>
    </row>
    <row r="11" spans="1:16">
      <c r="A11" s="576"/>
      <c r="B11" s="576"/>
      <c r="C11" s="576"/>
      <c r="D11" s="576"/>
      <c r="E11" s="576"/>
      <c r="F11" s="576"/>
      <c r="G11" s="576"/>
      <c r="H11" s="576"/>
      <c r="I11" s="576"/>
      <c r="J11" s="576"/>
      <c r="K11" s="576"/>
      <c r="L11" s="576"/>
      <c r="M11" s="125"/>
    </row>
    <row r="12" spans="1:16">
      <c r="A12" s="576"/>
      <c r="B12" s="576"/>
      <c r="C12" s="576"/>
      <c r="D12" s="576"/>
      <c r="E12" s="576"/>
      <c r="F12" s="576"/>
      <c r="G12" s="576"/>
      <c r="H12" s="576"/>
      <c r="I12" s="576"/>
      <c r="J12" s="576"/>
      <c r="K12" s="576"/>
      <c r="L12" s="576"/>
      <c r="M12" s="125"/>
    </row>
    <row r="13" spans="1:16">
      <c r="A13" s="576"/>
      <c r="B13" s="576"/>
      <c r="C13" s="576"/>
      <c r="D13" s="576"/>
      <c r="E13" s="576"/>
      <c r="F13" s="576"/>
      <c r="G13" s="576"/>
      <c r="H13" s="576"/>
      <c r="I13" s="576"/>
      <c r="J13" s="576"/>
      <c r="K13" s="576"/>
      <c r="L13" s="576"/>
      <c r="M13" s="125"/>
    </row>
    <row r="14" spans="1:16">
      <c r="A14" s="125"/>
      <c r="B14" s="125"/>
      <c r="C14" s="125"/>
      <c r="D14" s="125"/>
      <c r="E14" s="125"/>
      <c r="F14" s="125"/>
      <c r="G14" s="125"/>
      <c r="H14" s="125"/>
      <c r="I14" s="125"/>
      <c r="J14" s="125"/>
      <c r="K14" s="125"/>
      <c r="L14" s="125"/>
      <c r="M14" s="125"/>
    </row>
    <row r="15" spans="1:16" ht="15" customHeight="1">
      <c r="A15" s="138" t="s">
        <v>387</v>
      </c>
      <c r="B15" s="125"/>
      <c r="C15" s="125"/>
      <c r="D15" s="125"/>
      <c r="E15" s="125"/>
      <c r="F15" s="125"/>
      <c r="G15" s="125"/>
      <c r="H15" s="125"/>
      <c r="I15" s="125"/>
      <c r="J15" s="125"/>
      <c r="K15" s="125"/>
      <c r="L15" s="125"/>
      <c r="M15" s="125"/>
    </row>
    <row r="16" spans="1:16" ht="15" customHeight="1">
      <c r="A16" s="139" t="s">
        <v>388</v>
      </c>
      <c r="B16" s="139"/>
      <c r="C16" s="139"/>
      <c r="D16" s="139"/>
      <c r="E16" s="139"/>
      <c r="F16" s="139"/>
      <c r="G16" s="139"/>
      <c r="H16" s="139"/>
      <c r="I16" s="139"/>
      <c r="J16" s="125"/>
      <c r="K16" s="49"/>
      <c r="L16" s="140"/>
      <c r="M16" s="125"/>
      <c r="P16" s="125"/>
    </row>
    <row r="17" spans="1:16" ht="15" customHeight="1">
      <c r="A17" s="139" t="s">
        <v>389</v>
      </c>
      <c r="B17" s="139"/>
      <c r="C17" s="139"/>
      <c r="D17" s="139"/>
      <c r="E17" s="139"/>
      <c r="F17" s="139"/>
      <c r="G17" s="139"/>
      <c r="H17" s="139"/>
      <c r="I17" s="139"/>
      <c r="J17" s="125"/>
      <c r="K17" s="50"/>
      <c r="L17" s="141"/>
      <c r="M17" s="125"/>
      <c r="P17" s="125"/>
    </row>
    <row r="18" spans="1:16" ht="15" customHeight="1">
      <c r="A18" s="139" t="s">
        <v>779</v>
      </c>
      <c r="B18" s="139"/>
      <c r="C18" s="139"/>
      <c r="D18" s="139"/>
      <c r="E18" s="139"/>
      <c r="F18" s="139"/>
      <c r="G18" s="139"/>
      <c r="H18" s="139"/>
      <c r="I18" s="139"/>
      <c r="J18" s="125"/>
      <c r="K18" s="51"/>
      <c r="L18" s="141" t="s">
        <v>337</v>
      </c>
      <c r="M18" s="125"/>
      <c r="P18" s="125"/>
    </row>
    <row r="19" spans="1:16" ht="15" customHeight="1">
      <c r="A19" s="139" t="s">
        <v>265</v>
      </c>
      <c r="B19" s="139"/>
      <c r="C19" s="139"/>
      <c r="D19" s="139"/>
      <c r="E19" s="139"/>
      <c r="F19" s="139"/>
      <c r="G19" s="139"/>
      <c r="H19" s="139"/>
      <c r="I19" s="139"/>
      <c r="J19" s="125"/>
      <c r="K19" s="51"/>
      <c r="L19" s="141" t="s">
        <v>337</v>
      </c>
      <c r="M19" s="125"/>
      <c r="P19" s="125"/>
    </row>
    <row r="20" spans="1:16" ht="15" customHeight="1">
      <c r="A20" s="139" t="s">
        <v>723</v>
      </c>
      <c r="B20" s="139"/>
      <c r="C20" s="139"/>
      <c r="D20" s="139"/>
      <c r="E20" s="139"/>
      <c r="F20" s="139"/>
      <c r="G20" s="139"/>
      <c r="H20" s="139"/>
      <c r="I20" s="139"/>
      <c r="J20" s="125"/>
      <c r="K20" s="51"/>
      <c r="L20" s="142" t="s">
        <v>749</v>
      </c>
      <c r="M20" s="125"/>
      <c r="P20" s="125"/>
    </row>
    <row r="21" spans="1:16" ht="15" customHeight="1">
      <c r="A21" s="139" t="s">
        <v>231</v>
      </c>
      <c r="B21" s="139"/>
      <c r="C21" s="139"/>
      <c r="D21" s="139"/>
      <c r="E21" s="139"/>
      <c r="F21" s="139"/>
      <c r="G21" s="139"/>
      <c r="H21" s="139"/>
      <c r="I21" s="139"/>
      <c r="J21" s="125"/>
      <c r="K21" s="51"/>
      <c r="L21" s="141" t="s">
        <v>337</v>
      </c>
      <c r="M21" s="125"/>
      <c r="P21" s="125"/>
    </row>
    <row r="22" spans="1:16" ht="15" customHeight="1">
      <c r="A22" s="139" t="s">
        <v>724</v>
      </c>
      <c r="B22" s="139"/>
      <c r="C22" s="139"/>
      <c r="D22" s="139"/>
      <c r="E22" s="139"/>
      <c r="F22" s="139"/>
      <c r="G22" s="139"/>
      <c r="H22" s="139"/>
      <c r="I22" s="139"/>
      <c r="J22" s="125"/>
      <c r="K22" s="51"/>
      <c r="L22" s="141" t="s">
        <v>337</v>
      </c>
      <c r="M22" s="125"/>
      <c r="P22" s="125"/>
    </row>
    <row r="23" spans="1:16" ht="15" customHeight="1">
      <c r="A23" s="139" t="s">
        <v>64</v>
      </c>
      <c r="B23" s="139"/>
      <c r="C23" s="139"/>
      <c r="D23" s="139"/>
      <c r="E23" s="139"/>
      <c r="F23" s="139"/>
      <c r="G23" s="139"/>
      <c r="H23" s="139"/>
      <c r="I23" s="139"/>
      <c r="J23" s="125"/>
      <c r="K23" s="51"/>
      <c r="L23" s="141" t="s">
        <v>337</v>
      </c>
      <c r="M23" s="125"/>
      <c r="P23" s="125"/>
    </row>
    <row r="24" spans="1:16" ht="15" customHeight="1">
      <c r="A24" s="139" t="s">
        <v>725</v>
      </c>
      <c r="B24" s="139"/>
      <c r="C24" s="139"/>
      <c r="D24" s="139"/>
      <c r="E24" s="139"/>
      <c r="F24" s="139"/>
      <c r="G24" s="139"/>
      <c r="H24" s="139"/>
      <c r="I24" s="139"/>
      <c r="J24" s="125"/>
      <c r="K24" s="51"/>
      <c r="L24" s="141"/>
      <c r="M24" s="125"/>
      <c r="P24" s="125"/>
    </row>
    <row r="25" spans="1:16" ht="15" customHeight="1">
      <c r="A25" s="139" t="s">
        <v>726</v>
      </c>
      <c r="B25" s="139"/>
      <c r="C25" s="139"/>
      <c r="D25" s="139"/>
      <c r="E25" s="139"/>
      <c r="F25" s="139"/>
      <c r="G25" s="139"/>
      <c r="H25" s="139"/>
      <c r="I25" s="139"/>
      <c r="J25" s="125"/>
      <c r="K25" s="51"/>
      <c r="L25" s="141" t="s">
        <v>337</v>
      </c>
      <c r="M25" s="125"/>
      <c r="P25" s="125"/>
    </row>
    <row r="26" spans="1:16" ht="15" customHeight="1">
      <c r="A26" s="139" t="s">
        <v>755</v>
      </c>
      <c r="B26" s="139"/>
      <c r="C26" s="139"/>
      <c r="D26" s="139"/>
      <c r="E26" s="139"/>
      <c r="F26" s="139"/>
      <c r="G26" s="139"/>
      <c r="H26" s="139"/>
      <c r="I26" s="139"/>
      <c r="J26" s="125"/>
      <c r="K26" s="51"/>
      <c r="L26" s="141" t="s">
        <v>337</v>
      </c>
      <c r="M26" s="125"/>
      <c r="P26" s="125"/>
    </row>
    <row r="27" spans="1:16" ht="15" customHeight="1">
      <c r="A27" s="139" t="s">
        <v>831</v>
      </c>
      <c r="B27" s="139"/>
      <c r="C27" s="139"/>
      <c r="D27" s="139"/>
      <c r="E27" s="139"/>
      <c r="F27" s="139"/>
      <c r="G27" s="139"/>
      <c r="H27" s="139"/>
      <c r="I27" s="139"/>
      <c r="J27" s="125"/>
      <c r="K27" s="51"/>
      <c r="L27" s="141" t="s">
        <v>337</v>
      </c>
      <c r="M27" s="125"/>
      <c r="P27" s="125"/>
    </row>
    <row r="28" spans="1:16" ht="15" customHeight="1">
      <c r="A28" s="139" t="s">
        <v>310</v>
      </c>
      <c r="B28" s="139"/>
      <c r="C28" s="139"/>
      <c r="D28" s="139"/>
      <c r="E28" s="139"/>
      <c r="F28" s="139"/>
      <c r="G28" s="139"/>
      <c r="H28" s="139"/>
      <c r="I28" s="139"/>
      <c r="J28" s="125"/>
      <c r="K28" s="51"/>
      <c r="L28" s="141" t="s">
        <v>516</v>
      </c>
      <c r="M28" s="125"/>
      <c r="P28" s="125"/>
    </row>
    <row r="29" spans="1:16" ht="15" customHeight="1">
      <c r="A29" s="139" t="s">
        <v>727</v>
      </c>
      <c r="B29" s="139"/>
      <c r="C29" s="139"/>
      <c r="D29" s="139"/>
      <c r="E29" s="139"/>
      <c r="F29" s="139"/>
      <c r="G29" s="139"/>
      <c r="H29" s="139"/>
      <c r="I29" s="139"/>
      <c r="J29" s="125"/>
      <c r="K29" s="51"/>
      <c r="L29" s="141" t="s">
        <v>516</v>
      </c>
      <c r="M29" s="125"/>
      <c r="P29" s="125"/>
    </row>
    <row r="30" spans="1:16" ht="15" customHeight="1">
      <c r="A30" s="139" t="s">
        <v>957</v>
      </c>
      <c r="B30" s="139"/>
      <c r="C30" s="139"/>
      <c r="D30" s="139"/>
      <c r="E30" s="139"/>
      <c r="F30" s="139"/>
      <c r="G30" s="139"/>
      <c r="H30" s="139"/>
      <c r="I30" s="139"/>
      <c r="J30" s="125"/>
      <c r="K30" s="51"/>
      <c r="L30" s="141" t="s">
        <v>337</v>
      </c>
      <c r="M30" s="125"/>
      <c r="P30" s="125"/>
    </row>
    <row r="31" spans="1:16" ht="15" customHeight="1">
      <c r="A31" s="139" t="s">
        <v>636</v>
      </c>
      <c r="B31" s="139"/>
      <c r="C31" s="139"/>
      <c r="D31" s="139"/>
      <c r="E31" s="139"/>
      <c r="F31" s="139"/>
      <c r="G31" s="139"/>
      <c r="H31" s="139"/>
      <c r="I31" s="139"/>
      <c r="J31" s="125"/>
      <c r="K31" s="51"/>
      <c r="L31" s="141" t="s">
        <v>337</v>
      </c>
      <c r="M31" s="125"/>
      <c r="P31" s="125"/>
    </row>
    <row r="32" spans="1:16" ht="15" customHeight="1">
      <c r="A32" s="385" t="s">
        <v>912</v>
      </c>
      <c r="B32" s="139"/>
      <c r="C32" s="139"/>
      <c r="D32" s="139"/>
      <c r="E32" s="139"/>
      <c r="F32" s="139"/>
      <c r="G32" s="139"/>
      <c r="H32" s="139"/>
      <c r="I32" s="139"/>
      <c r="J32" s="125"/>
      <c r="K32" s="51"/>
      <c r="L32" s="141" t="s">
        <v>337</v>
      </c>
      <c r="M32" s="125"/>
      <c r="P32" s="125"/>
    </row>
    <row r="33" spans="1:16" ht="15" customHeight="1">
      <c r="A33" s="139"/>
      <c r="B33" s="139"/>
      <c r="C33" s="139"/>
      <c r="D33" s="139"/>
      <c r="E33" s="139"/>
      <c r="F33" s="139"/>
      <c r="G33" s="139"/>
      <c r="H33" s="139"/>
      <c r="I33" s="139"/>
      <c r="J33" s="125"/>
      <c r="K33" s="125"/>
      <c r="L33" s="125"/>
      <c r="M33" s="125"/>
      <c r="P33" s="125"/>
    </row>
    <row r="34" spans="1:16" ht="15" customHeight="1">
      <c r="A34" s="143" t="s">
        <v>728</v>
      </c>
      <c r="B34" s="139"/>
      <c r="C34" s="139"/>
      <c r="D34" s="139"/>
      <c r="E34" s="139"/>
      <c r="F34" s="139"/>
      <c r="G34" s="139"/>
      <c r="H34" s="139"/>
      <c r="I34" s="139"/>
      <c r="J34" s="125"/>
      <c r="K34" s="144"/>
      <c r="L34" s="144"/>
      <c r="M34" s="125"/>
      <c r="P34" s="125"/>
    </row>
    <row r="35" spans="1:16" ht="15" customHeight="1">
      <c r="A35" s="139" t="s">
        <v>377</v>
      </c>
      <c r="B35" s="139"/>
      <c r="C35" s="139"/>
      <c r="D35" s="139"/>
      <c r="E35" s="139" t="s">
        <v>729</v>
      </c>
      <c r="F35" s="139"/>
      <c r="G35" s="139"/>
      <c r="H35" s="139"/>
      <c r="I35" s="139"/>
      <c r="J35" s="125"/>
      <c r="K35" s="52"/>
      <c r="L35" s="140" t="s">
        <v>337</v>
      </c>
      <c r="M35" s="125"/>
      <c r="P35" s="125"/>
    </row>
    <row r="36" spans="1:16" ht="15" customHeight="1">
      <c r="A36" s="139"/>
      <c r="B36" s="139"/>
      <c r="C36" s="139"/>
      <c r="D36" s="139"/>
      <c r="E36" s="139" t="s">
        <v>730</v>
      </c>
      <c r="F36" s="139"/>
      <c r="G36" s="139"/>
      <c r="H36" s="139"/>
      <c r="I36" s="139"/>
      <c r="J36" s="125"/>
      <c r="K36" s="51"/>
      <c r="L36" s="141" t="s">
        <v>337</v>
      </c>
      <c r="M36" s="125"/>
      <c r="P36" s="125"/>
    </row>
    <row r="37" spans="1:16" ht="15" customHeight="1">
      <c r="A37" s="139"/>
      <c r="B37" s="139"/>
      <c r="C37" s="139"/>
      <c r="D37" s="139"/>
      <c r="E37" s="139" t="s">
        <v>731</v>
      </c>
      <c r="F37" s="139"/>
      <c r="G37" s="139"/>
      <c r="H37" s="139"/>
      <c r="I37" s="139"/>
      <c r="J37" s="125"/>
      <c r="K37" s="51"/>
      <c r="L37" s="141" t="s">
        <v>337</v>
      </c>
      <c r="M37" s="125"/>
      <c r="P37" s="125"/>
    </row>
    <row r="38" spans="1:16" ht="15" customHeight="1">
      <c r="A38" s="139" t="s">
        <v>771</v>
      </c>
      <c r="B38" s="139"/>
      <c r="C38" s="139"/>
      <c r="D38" s="139"/>
      <c r="E38" s="139"/>
      <c r="F38" s="139"/>
      <c r="G38" s="139"/>
      <c r="H38" s="139"/>
      <c r="I38" s="139"/>
      <c r="J38" s="125"/>
      <c r="K38" s="50"/>
      <c r="L38" s="141"/>
      <c r="M38" s="125"/>
      <c r="P38" s="125"/>
    </row>
    <row r="39" spans="1:16" ht="15" customHeight="1">
      <c r="A39" s="139" t="s">
        <v>314</v>
      </c>
      <c r="B39" s="139"/>
      <c r="C39" s="139"/>
      <c r="D39" s="139"/>
      <c r="E39" s="139"/>
      <c r="F39" s="139"/>
      <c r="G39" s="139"/>
      <c r="H39" s="139"/>
      <c r="I39" s="139"/>
      <c r="J39" s="125"/>
      <c r="K39" s="51"/>
      <c r="L39" s="141" t="s">
        <v>337</v>
      </c>
      <c r="M39" s="125"/>
      <c r="P39" s="125"/>
    </row>
    <row r="40" spans="1:16" ht="15" customHeight="1">
      <c r="A40" s="139"/>
      <c r="B40" s="139"/>
      <c r="C40" s="139"/>
      <c r="D40" s="139"/>
      <c r="E40" s="139"/>
      <c r="F40" s="139"/>
      <c r="G40" s="139"/>
      <c r="H40" s="139"/>
      <c r="I40" s="139"/>
      <c r="J40" s="125"/>
      <c r="K40" s="125"/>
      <c r="L40" s="125"/>
      <c r="M40" s="125"/>
      <c r="P40" s="125"/>
    </row>
    <row r="41" spans="1:16" ht="15" customHeight="1">
      <c r="A41" s="143" t="s">
        <v>732</v>
      </c>
      <c r="B41" s="139"/>
      <c r="C41" s="139"/>
      <c r="D41" s="139"/>
      <c r="E41" s="139"/>
      <c r="F41" s="139"/>
      <c r="G41" s="139"/>
      <c r="H41" s="139"/>
      <c r="I41" s="139"/>
      <c r="J41" s="125"/>
      <c r="K41" s="144"/>
      <c r="L41" s="144"/>
      <c r="M41" s="125"/>
      <c r="P41" s="125"/>
    </row>
    <row r="42" spans="1:16" ht="15" customHeight="1">
      <c r="A42" s="145" t="s">
        <v>246</v>
      </c>
      <c r="B42" s="139"/>
      <c r="C42" s="139"/>
      <c r="D42" s="139"/>
      <c r="E42" s="139"/>
      <c r="F42" s="139"/>
      <c r="G42" s="139"/>
      <c r="H42" s="139"/>
      <c r="I42" s="139"/>
      <c r="J42" s="125"/>
      <c r="K42" s="53"/>
      <c r="L42" s="140"/>
      <c r="M42" s="125"/>
      <c r="P42" s="125"/>
    </row>
    <row r="43" spans="1:16" ht="15" customHeight="1">
      <c r="A43" s="139" t="s">
        <v>736</v>
      </c>
      <c r="B43" s="139"/>
      <c r="C43" s="139"/>
      <c r="D43" s="139"/>
      <c r="E43" s="139"/>
      <c r="F43" s="139" t="s">
        <v>733</v>
      </c>
      <c r="G43" s="139"/>
      <c r="H43" s="139"/>
      <c r="I43" s="139"/>
      <c r="J43" s="125"/>
      <c r="K43" s="57"/>
      <c r="L43" s="141" t="s">
        <v>338</v>
      </c>
      <c r="M43" s="125"/>
      <c r="P43" s="125"/>
    </row>
    <row r="44" spans="1:16" ht="15" customHeight="1">
      <c r="A44" s="139"/>
      <c r="B44" s="139"/>
      <c r="C44" s="139"/>
      <c r="D44" s="139"/>
      <c r="E44" s="139"/>
      <c r="F44" s="139" t="s">
        <v>734</v>
      </c>
      <c r="G44" s="139"/>
      <c r="H44" s="139"/>
      <c r="I44" s="139"/>
      <c r="J44" s="125"/>
      <c r="K44" s="57"/>
      <c r="L44" s="141" t="s">
        <v>338</v>
      </c>
      <c r="M44" s="125"/>
      <c r="P44" s="125"/>
    </row>
    <row r="45" spans="1:16" ht="15" customHeight="1">
      <c r="A45" s="139" t="s">
        <v>735</v>
      </c>
      <c r="B45" s="139"/>
      <c r="C45" s="139"/>
      <c r="D45" s="139"/>
      <c r="E45" s="139"/>
      <c r="F45" s="139" t="s">
        <v>737</v>
      </c>
      <c r="G45" s="139"/>
      <c r="H45" s="139"/>
      <c r="I45" s="139"/>
      <c r="J45" s="125"/>
      <c r="K45" s="57"/>
      <c r="L45" s="141" t="s">
        <v>338</v>
      </c>
      <c r="M45" s="125"/>
      <c r="P45" s="125"/>
    </row>
    <row r="46" spans="1:16" ht="15" customHeight="1">
      <c r="A46" s="139" t="s">
        <v>738</v>
      </c>
      <c r="B46" s="139"/>
      <c r="C46" s="139"/>
      <c r="D46" s="139"/>
      <c r="E46" s="139"/>
      <c r="F46" s="139" t="s">
        <v>737</v>
      </c>
      <c r="G46" s="139"/>
      <c r="H46" s="139"/>
      <c r="I46" s="139"/>
      <c r="J46" s="125"/>
      <c r="K46" s="57"/>
      <c r="L46" s="141" t="s">
        <v>338</v>
      </c>
      <c r="M46" s="125"/>
      <c r="P46" s="125"/>
    </row>
    <row r="47" spans="1:16" ht="15" customHeight="1">
      <c r="A47" s="139" t="s">
        <v>884</v>
      </c>
      <c r="B47" s="139"/>
      <c r="C47" s="139"/>
      <c r="D47" s="139"/>
      <c r="E47" s="139"/>
      <c r="F47" s="139"/>
      <c r="G47" s="139"/>
      <c r="H47" s="139"/>
      <c r="I47" s="139"/>
      <c r="J47" s="125"/>
      <c r="K47" s="108"/>
      <c r="L47" s="141"/>
      <c r="M47" s="125"/>
      <c r="P47" s="125"/>
    </row>
    <row r="48" spans="1:16" ht="15" customHeight="1">
      <c r="A48" s="385" t="s">
        <v>885</v>
      </c>
      <c r="B48" s="139"/>
      <c r="C48" s="139"/>
      <c r="D48" s="139"/>
      <c r="E48" s="139"/>
      <c r="F48" s="139"/>
      <c r="G48" s="139"/>
      <c r="H48" s="139"/>
      <c r="I48" s="139"/>
      <c r="J48" s="125"/>
      <c r="K48" s="108"/>
      <c r="L48" s="141"/>
      <c r="M48" s="125"/>
      <c r="P48" s="125"/>
    </row>
    <row r="49" spans="1:16" ht="15" customHeight="1">
      <c r="A49" s="385" t="s">
        <v>847</v>
      </c>
      <c r="B49" s="139"/>
      <c r="C49" s="139"/>
      <c r="D49" s="139"/>
      <c r="E49" s="139"/>
      <c r="F49" s="139"/>
      <c r="G49" s="146"/>
      <c r="H49" s="147" t="s">
        <v>739</v>
      </c>
      <c r="I49" s="139"/>
      <c r="J49" s="125"/>
      <c r="K49" s="57"/>
      <c r="L49" s="141" t="s">
        <v>338</v>
      </c>
      <c r="M49" s="125"/>
      <c r="P49" s="125"/>
    </row>
    <row r="50" spans="1:16" ht="15" customHeight="1">
      <c r="A50" s="139"/>
      <c r="B50" s="139"/>
      <c r="C50" s="139"/>
      <c r="D50" s="139"/>
      <c r="E50" s="139"/>
      <c r="F50" s="139"/>
      <c r="G50" s="146"/>
      <c r="H50" s="147" t="s">
        <v>821</v>
      </c>
      <c r="I50" s="139"/>
      <c r="J50" s="125"/>
      <c r="K50" s="57"/>
      <c r="L50" s="141" t="s">
        <v>338</v>
      </c>
      <c r="M50" s="125"/>
      <c r="P50" s="125"/>
    </row>
    <row r="51" spans="1:16" ht="15" customHeight="1">
      <c r="A51" s="139"/>
      <c r="B51" s="139"/>
      <c r="C51" s="139"/>
      <c r="D51" s="139"/>
      <c r="E51" s="139"/>
      <c r="F51" s="139"/>
      <c r="G51" s="146"/>
      <c r="H51" s="147" t="s">
        <v>740</v>
      </c>
      <c r="I51" s="139"/>
      <c r="J51" s="125"/>
      <c r="K51" s="57"/>
      <c r="L51" s="141" t="s">
        <v>338</v>
      </c>
      <c r="M51" s="125"/>
      <c r="P51" s="125"/>
    </row>
    <row r="52" spans="1:16" ht="15" customHeight="1">
      <c r="A52" s="139"/>
      <c r="B52" s="139"/>
      <c r="C52" s="139"/>
      <c r="D52" s="139"/>
      <c r="E52" s="139"/>
      <c r="F52" s="139"/>
      <c r="G52" s="146"/>
      <c r="H52" s="147" t="s">
        <v>821</v>
      </c>
      <c r="I52" s="139"/>
      <c r="J52" s="125"/>
      <c r="K52" s="57"/>
      <c r="L52" s="141" t="s">
        <v>338</v>
      </c>
      <c r="M52" s="125"/>
      <c r="P52" s="125"/>
    </row>
    <row r="53" spans="1:16" ht="15" customHeight="1">
      <c r="A53" s="139" t="s">
        <v>141</v>
      </c>
      <c r="B53" s="139"/>
      <c r="C53" s="139"/>
      <c r="D53" s="139"/>
      <c r="E53" s="139"/>
      <c r="F53" s="139"/>
      <c r="G53" s="146"/>
      <c r="H53" s="147"/>
      <c r="I53" s="139"/>
      <c r="J53" s="125"/>
      <c r="K53" s="55"/>
      <c r="L53" s="141"/>
      <c r="M53" s="125"/>
      <c r="P53" s="125"/>
    </row>
    <row r="54" spans="1:16" ht="15" customHeight="1">
      <c r="A54" s="385" t="s">
        <v>848</v>
      </c>
      <c r="B54" s="139"/>
      <c r="C54" s="139"/>
      <c r="D54" s="139"/>
      <c r="E54" s="139"/>
      <c r="F54" s="139"/>
      <c r="G54" s="139"/>
      <c r="H54" s="147" t="s">
        <v>739</v>
      </c>
      <c r="I54" s="139"/>
      <c r="J54" s="125"/>
      <c r="K54" s="509"/>
      <c r="L54" s="141" t="s">
        <v>834</v>
      </c>
      <c r="M54" s="125"/>
      <c r="P54" s="125"/>
    </row>
    <row r="55" spans="1:16" ht="15" customHeight="1">
      <c r="A55" s="139"/>
      <c r="B55" s="139"/>
      <c r="C55" s="139"/>
      <c r="D55" s="139"/>
      <c r="E55" s="139"/>
      <c r="F55" s="139"/>
      <c r="G55" s="139"/>
      <c r="H55" s="147" t="s">
        <v>821</v>
      </c>
      <c r="I55" s="139"/>
      <c r="J55" s="125"/>
      <c r="K55" s="509"/>
      <c r="L55" s="141" t="s">
        <v>834</v>
      </c>
      <c r="M55" s="125"/>
      <c r="P55" s="125"/>
    </row>
    <row r="56" spans="1:16" ht="15" customHeight="1">
      <c r="A56" s="139"/>
      <c r="B56" s="139"/>
      <c r="C56" s="139"/>
      <c r="D56" s="139"/>
      <c r="E56" s="139"/>
      <c r="F56" s="139"/>
      <c r="G56" s="139"/>
      <c r="H56" s="147" t="s">
        <v>740</v>
      </c>
      <c r="I56" s="139"/>
      <c r="J56" s="125"/>
      <c r="K56" s="509"/>
      <c r="L56" s="141" t="s">
        <v>834</v>
      </c>
      <c r="M56" s="125"/>
      <c r="P56" s="125"/>
    </row>
    <row r="57" spans="1:16" ht="15" customHeight="1">
      <c r="A57" s="139"/>
      <c r="B57" s="139"/>
      <c r="C57" s="139"/>
      <c r="D57" s="139"/>
      <c r="E57" s="139"/>
      <c r="F57" s="139"/>
      <c r="G57" s="139"/>
      <c r="H57" s="147" t="s">
        <v>821</v>
      </c>
      <c r="I57" s="139"/>
      <c r="J57" s="125"/>
      <c r="K57" s="509"/>
      <c r="L57" s="141" t="s">
        <v>834</v>
      </c>
      <c r="M57" s="125"/>
      <c r="P57" s="125"/>
    </row>
    <row r="58" spans="1:16" ht="15" customHeight="1">
      <c r="A58" s="385" t="s">
        <v>846</v>
      </c>
      <c r="B58" s="139"/>
      <c r="C58" s="139"/>
      <c r="D58" s="139"/>
      <c r="E58" s="139"/>
      <c r="F58" s="139"/>
      <c r="G58" s="139"/>
      <c r="H58" s="139"/>
      <c r="I58" s="139"/>
      <c r="J58" s="125"/>
      <c r="K58" s="509"/>
      <c r="L58" s="141" t="s">
        <v>834</v>
      </c>
      <c r="M58" s="125"/>
      <c r="P58" s="125"/>
    </row>
    <row r="59" spans="1:16" ht="15" customHeight="1">
      <c r="A59" s="139" t="s">
        <v>359</v>
      </c>
      <c r="B59" s="139"/>
      <c r="C59" s="139"/>
      <c r="D59" s="139"/>
      <c r="E59" s="139"/>
      <c r="F59" s="139"/>
      <c r="G59" s="139"/>
      <c r="H59" s="139"/>
      <c r="I59" s="139"/>
      <c r="J59" s="125"/>
      <c r="K59" s="51"/>
      <c r="L59" s="141" t="s">
        <v>317</v>
      </c>
      <c r="M59" s="125"/>
      <c r="P59" s="125"/>
    </row>
    <row r="60" spans="1:16" ht="15" customHeight="1">
      <c r="A60" s="139" t="s">
        <v>598</v>
      </c>
      <c r="B60" s="139"/>
      <c r="C60" s="139"/>
      <c r="D60" s="139"/>
      <c r="E60" s="139"/>
      <c r="F60" s="139"/>
      <c r="G60" s="139"/>
      <c r="H60" s="139"/>
      <c r="I60" s="139"/>
      <c r="J60" s="125"/>
      <c r="K60" s="54"/>
      <c r="L60" s="141" t="s">
        <v>338</v>
      </c>
      <c r="M60" s="125"/>
      <c r="P60" s="125"/>
    </row>
    <row r="61" spans="1:16" ht="15" customHeight="1">
      <c r="A61" s="139"/>
      <c r="B61" s="139"/>
      <c r="C61" s="139"/>
      <c r="D61" s="139"/>
      <c r="E61" s="139"/>
      <c r="F61" s="139"/>
      <c r="G61" s="139"/>
      <c r="H61" s="139"/>
      <c r="I61" s="139"/>
      <c r="J61" s="125"/>
      <c r="K61" s="125"/>
      <c r="L61" s="125"/>
      <c r="M61" s="125"/>
      <c r="P61" s="125"/>
    </row>
    <row r="62" spans="1:16" ht="15" customHeight="1">
      <c r="A62" s="143" t="s">
        <v>741</v>
      </c>
      <c r="B62" s="139"/>
      <c r="C62" s="139"/>
      <c r="D62" s="139"/>
      <c r="E62" s="139"/>
      <c r="F62" s="139"/>
      <c r="G62" s="139"/>
      <c r="H62" s="139"/>
      <c r="I62" s="139"/>
      <c r="J62" s="125"/>
      <c r="K62" s="144"/>
      <c r="L62" s="144"/>
      <c r="M62" s="125"/>
      <c r="P62" s="125"/>
    </row>
    <row r="63" spans="1:16" ht="15" customHeight="1">
      <c r="A63" s="139" t="s">
        <v>742</v>
      </c>
      <c r="B63" s="139"/>
      <c r="C63" s="139"/>
      <c r="D63" s="139"/>
      <c r="E63" s="139"/>
      <c r="F63" s="139"/>
      <c r="G63" s="139"/>
      <c r="H63" s="139"/>
      <c r="I63" s="139"/>
      <c r="J63" s="125"/>
      <c r="K63" s="362"/>
      <c r="L63" s="140"/>
      <c r="M63" s="125"/>
      <c r="P63" s="125"/>
    </row>
    <row r="64" spans="1:16" ht="15" customHeight="1">
      <c r="A64" s="139" t="s">
        <v>311</v>
      </c>
      <c r="B64" s="139"/>
      <c r="C64" s="139"/>
      <c r="D64" s="139"/>
      <c r="E64" s="139"/>
      <c r="F64" s="139"/>
      <c r="G64" s="139"/>
      <c r="H64" s="139"/>
      <c r="I64" s="139"/>
      <c r="J64" s="125"/>
      <c r="K64" s="50"/>
      <c r="L64" s="141"/>
      <c r="M64" s="125"/>
      <c r="P64" s="125"/>
    </row>
    <row r="65" spans="1:16" ht="15" customHeight="1">
      <c r="A65" s="139" t="s">
        <v>276</v>
      </c>
      <c r="B65" s="139"/>
      <c r="C65" s="139"/>
      <c r="D65" s="139"/>
      <c r="E65" s="139"/>
      <c r="F65" s="139"/>
      <c r="G65" s="139"/>
      <c r="H65" s="139"/>
      <c r="I65" s="139"/>
      <c r="J65" s="125"/>
      <c r="K65" s="51"/>
      <c r="L65" s="141" t="s">
        <v>829</v>
      </c>
      <c r="M65" s="125"/>
      <c r="P65" s="125"/>
    </row>
    <row r="66" spans="1:16" ht="15" customHeight="1">
      <c r="A66" s="148" t="s">
        <v>573</v>
      </c>
      <c r="B66" s="146"/>
      <c r="C66" s="146"/>
      <c r="D66" s="146"/>
      <c r="E66" s="146"/>
      <c r="F66" s="146"/>
      <c r="G66" s="146"/>
      <c r="H66" s="146"/>
      <c r="I66" s="146"/>
      <c r="J66" s="125"/>
      <c r="K66" s="52"/>
      <c r="L66" s="149" t="s">
        <v>516</v>
      </c>
      <c r="M66" s="125"/>
      <c r="P66" s="125"/>
    </row>
    <row r="67" spans="1:16" ht="15" customHeight="1">
      <c r="A67" s="139" t="s">
        <v>744</v>
      </c>
      <c r="B67" s="139"/>
      <c r="C67" s="139"/>
      <c r="D67" s="139"/>
      <c r="E67" s="139"/>
      <c r="F67" s="139"/>
      <c r="G67" s="139"/>
      <c r="H67" s="139"/>
      <c r="I67" s="139"/>
      <c r="J67" s="125"/>
      <c r="K67" s="52"/>
      <c r="L67" s="140" t="s">
        <v>829</v>
      </c>
      <c r="P67" s="125"/>
    </row>
    <row r="68" spans="1:16" ht="15" customHeight="1">
      <c r="A68" s="139" t="s">
        <v>281</v>
      </c>
      <c r="B68" s="139"/>
      <c r="C68" s="139"/>
      <c r="D68" s="139"/>
      <c r="E68" s="139"/>
      <c r="F68" s="139"/>
      <c r="G68" s="139"/>
      <c r="H68" s="139"/>
      <c r="I68" s="139"/>
      <c r="J68" s="125"/>
      <c r="K68" s="52"/>
      <c r="L68" s="141" t="s">
        <v>516</v>
      </c>
      <c r="M68" s="125"/>
      <c r="P68" s="125"/>
    </row>
    <row r="69" spans="1:16" ht="15" customHeight="1">
      <c r="A69" s="139" t="s">
        <v>799</v>
      </c>
      <c r="B69" s="139"/>
      <c r="C69" s="139"/>
      <c r="D69" s="139"/>
      <c r="E69" s="139"/>
      <c r="F69" s="139"/>
      <c r="G69" s="139"/>
      <c r="H69" s="139"/>
      <c r="I69" s="139"/>
      <c r="J69" s="125"/>
      <c r="K69" s="51"/>
      <c r="L69" s="141" t="s">
        <v>516</v>
      </c>
      <c r="M69" s="125"/>
      <c r="P69" s="125"/>
    </row>
    <row r="70" spans="1:16" ht="15" customHeight="1">
      <c r="A70" s="139" t="s">
        <v>277</v>
      </c>
      <c r="B70" s="139"/>
      <c r="C70" s="139"/>
      <c r="D70" s="139"/>
      <c r="E70" s="139"/>
      <c r="F70" s="139"/>
      <c r="G70" s="139"/>
      <c r="H70" s="139"/>
      <c r="I70" s="139"/>
      <c r="J70" s="125"/>
      <c r="K70" s="51"/>
      <c r="L70" s="141" t="s">
        <v>510</v>
      </c>
      <c r="M70" s="125"/>
      <c r="P70" s="125"/>
    </row>
    <row r="71" spans="1:16" ht="15" customHeight="1">
      <c r="A71" s="139" t="s">
        <v>800</v>
      </c>
      <c r="B71" s="139"/>
      <c r="C71" s="139"/>
      <c r="D71" s="139"/>
      <c r="E71" s="139"/>
      <c r="F71" s="139"/>
      <c r="G71" s="139"/>
      <c r="H71" s="139"/>
      <c r="I71" s="139"/>
      <c r="J71" s="125"/>
      <c r="K71" s="54"/>
      <c r="L71" s="141" t="s">
        <v>512</v>
      </c>
      <c r="M71" s="125"/>
      <c r="P71" s="125"/>
    </row>
    <row r="72" spans="1:16" ht="15" customHeight="1">
      <c r="A72" s="139" t="s">
        <v>801</v>
      </c>
      <c r="B72" s="139"/>
      <c r="C72" s="139"/>
      <c r="D72" s="139"/>
      <c r="E72" s="139"/>
      <c r="F72" s="139"/>
      <c r="G72" s="139"/>
      <c r="H72" s="139"/>
      <c r="I72" s="139"/>
      <c r="J72" s="125"/>
      <c r="K72" s="54"/>
      <c r="L72" s="141" t="s">
        <v>515</v>
      </c>
      <c r="M72" s="125"/>
      <c r="P72" s="125"/>
    </row>
    <row r="73" spans="1:16" ht="15" customHeight="1">
      <c r="A73" s="139" t="s">
        <v>514</v>
      </c>
      <c r="B73" s="139"/>
      <c r="C73" s="139"/>
      <c r="D73" s="139"/>
      <c r="E73" s="139"/>
      <c r="F73" s="139"/>
      <c r="G73" s="139"/>
      <c r="H73" s="139"/>
      <c r="I73" s="139"/>
      <c r="J73" s="125"/>
      <c r="K73" s="51"/>
      <c r="L73" s="141" t="s">
        <v>516</v>
      </c>
      <c r="M73" s="125"/>
      <c r="P73" s="125"/>
    </row>
    <row r="74" spans="1:16" ht="15" customHeight="1">
      <c r="A74" s="139" t="s">
        <v>518</v>
      </c>
      <c r="B74" s="139"/>
      <c r="C74" s="139"/>
      <c r="D74" s="139"/>
      <c r="E74" s="139"/>
      <c r="F74" s="139"/>
      <c r="G74" s="139"/>
      <c r="H74" s="139"/>
      <c r="I74" s="139"/>
      <c r="J74" s="125"/>
      <c r="K74" s="54"/>
      <c r="L74" s="141" t="s">
        <v>515</v>
      </c>
      <c r="M74" s="125"/>
      <c r="P74" s="125"/>
    </row>
    <row r="75" spans="1:16" ht="15" customHeight="1">
      <c r="A75" s="139" t="s">
        <v>835</v>
      </c>
      <c r="B75" s="139"/>
      <c r="C75" s="139"/>
      <c r="D75" s="139"/>
      <c r="E75" s="139"/>
      <c r="F75" s="139"/>
      <c r="G75" s="139"/>
      <c r="H75" s="139"/>
      <c r="I75" s="139"/>
      <c r="J75" s="125"/>
      <c r="K75" s="48"/>
      <c r="L75" s="125"/>
      <c r="M75" s="125"/>
      <c r="P75" s="125"/>
    </row>
    <row r="76" spans="1:16" ht="15" customHeight="1">
      <c r="A76" s="139" t="s">
        <v>745</v>
      </c>
      <c r="B76" s="139"/>
      <c r="C76" s="139"/>
      <c r="D76" s="139"/>
      <c r="E76" s="139"/>
      <c r="F76" s="139"/>
      <c r="G76" s="139"/>
      <c r="H76" s="139"/>
      <c r="I76" s="139"/>
      <c r="J76" s="125"/>
      <c r="K76" s="51"/>
      <c r="L76" s="141" t="s">
        <v>337</v>
      </c>
      <c r="M76" s="125"/>
      <c r="P76" s="125"/>
    </row>
    <row r="77" spans="1:16" ht="15" customHeight="1">
      <c r="A77" s="148" t="s">
        <v>275</v>
      </c>
      <c r="B77" s="146"/>
      <c r="C77" s="146"/>
      <c r="D77" s="146"/>
      <c r="E77" s="146"/>
      <c r="F77" s="146"/>
      <c r="G77" s="146"/>
      <c r="H77" s="146"/>
      <c r="I77" s="146"/>
      <c r="J77" s="125"/>
      <c r="K77" s="51"/>
      <c r="L77" s="141" t="s">
        <v>337</v>
      </c>
      <c r="P77" s="125"/>
    </row>
    <row r="78" spans="1:16" ht="15" customHeight="1">
      <c r="A78" s="139" t="s">
        <v>746</v>
      </c>
      <c r="B78" s="139"/>
      <c r="C78" s="139"/>
      <c r="D78" s="139"/>
      <c r="E78" s="139"/>
      <c r="F78" s="139"/>
      <c r="G78" s="139"/>
      <c r="H78" s="139"/>
      <c r="I78" s="139"/>
      <c r="J78" s="125"/>
      <c r="K78" s="51"/>
      <c r="L78" s="141" t="s">
        <v>337</v>
      </c>
      <c r="M78" s="125"/>
      <c r="P78" s="125"/>
    </row>
    <row r="79" spans="1:16" ht="15" customHeight="1">
      <c r="A79" s="139"/>
      <c r="B79" s="139"/>
      <c r="C79" s="139"/>
      <c r="D79" s="139"/>
      <c r="E79" s="139"/>
      <c r="F79" s="139"/>
      <c r="G79" s="139"/>
      <c r="H79" s="139"/>
      <c r="I79" s="139"/>
      <c r="J79" s="125"/>
      <c r="K79" s="144"/>
      <c r="L79" s="144"/>
      <c r="M79" s="125"/>
      <c r="P79" s="125"/>
    </row>
    <row r="80" spans="1:16" ht="15" customHeight="1">
      <c r="A80" s="143" t="s">
        <v>747</v>
      </c>
      <c r="B80" s="139"/>
      <c r="C80" s="139"/>
      <c r="D80" s="139"/>
      <c r="E80" s="139"/>
      <c r="F80" s="139"/>
      <c r="G80" s="139"/>
      <c r="H80" s="139"/>
      <c r="I80" s="139"/>
      <c r="J80" s="125"/>
      <c r="K80" s="125"/>
      <c r="L80" s="125"/>
      <c r="M80" s="125"/>
      <c r="P80" s="125"/>
    </row>
    <row r="81" spans="1:16" ht="15" customHeight="1">
      <c r="A81" s="148" t="s">
        <v>958</v>
      </c>
      <c r="B81" s="146"/>
      <c r="C81" s="146"/>
      <c r="D81" s="146"/>
      <c r="E81" s="146"/>
      <c r="F81" s="146"/>
      <c r="G81" s="146"/>
      <c r="H81" s="146"/>
      <c r="I81" s="146"/>
      <c r="J81" s="125"/>
      <c r="K81" s="48"/>
      <c r="L81" s="125" t="s">
        <v>825</v>
      </c>
      <c r="P81" s="125"/>
    </row>
    <row r="82" spans="1:16" ht="15" customHeight="1">
      <c r="A82" s="148" t="s">
        <v>748</v>
      </c>
      <c r="B82" s="146"/>
      <c r="C82" s="146"/>
      <c r="D82" s="146"/>
      <c r="E82" s="146"/>
      <c r="F82" s="146"/>
      <c r="G82" s="146"/>
      <c r="H82" s="146"/>
      <c r="I82" s="146"/>
      <c r="J82" s="125"/>
      <c r="K82" s="51"/>
      <c r="L82" s="141" t="s">
        <v>509</v>
      </c>
      <c r="P82" s="125"/>
    </row>
    <row r="83" spans="1:16" ht="15" customHeight="1">
      <c r="A83" s="146"/>
      <c r="B83" s="146"/>
      <c r="C83" s="146"/>
      <c r="D83" s="146"/>
      <c r="E83" s="146"/>
      <c r="F83" s="146"/>
      <c r="G83" s="146"/>
      <c r="H83" s="146"/>
      <c r="I83" s="146"/>
      <c r="J83" s="125"/>
      <c r="P83" s="125"/>
    </row>
    <row r="84" spans="1:16" ht="15" customHeight="1">
      <c r="A84" s="150" t="s">
        <v>805</v>
      </c>
      <c r="B84" s="146"/>
      <c r="C84" s="146"/>
      <c r="D84" s="146"/>
      <c r="E84" s="146"/>
      <c r="F84" s="146"/>
      <c r="G84" s="146"/>
      <c r="H84" s="146"/>
      <c r="I84" s="146"/>
      <c r="J84" s="125"/>
      <c r="P84" s="125"/>
    </row>
    <row r="85" spans="1:16" ht="15" customHeight="1">
      <c r="A85" s="148" t="s">
        <v>750</v>
      </c>
      <c r="B85" s="146"/>
      <c r="C85" s="146"/>
      <c r="D85" s="146"/>
      <c r="E85" s="146"/>
      <c r="F85" s="146"/>
      <c r="G85" s="146"/>
      <c r="H85" s="146"/>
      <c r="I85" s="146"/>
      <c r="J85" s="125"/>
      <c r="K85" s="48"/>
      <c r="L85" s="125" t="s">
        <v>516</v>
      </c>
      <c r="P85" s="125"/>
    </row>
    <row r="86" spans="1:16" ht="15" customHeight="1">
      <c r="A86" s="148" t="s">
        <v>466</v>
      </c>
      <c r="B86" s="146"/>
      <c r="C86" s="146"/>
      <c r="D86" s="146"/>
      <c r="E86" s="146"/>
      <c r="F86" s="146"/>
      <c r="G86" s="146"/>
      <c r="H86" s="146"/>
      <c r="I86" s="146"/>
      <c r="J86" s="125"/>
      <c r="K86" s="51"/>
      <c r="L86" s="141" t="s">
        <v>516</v>
      </c>
      <c r="P86" s="125"/>
    </row>
    <row r="87" spans="1:16" ht="15" customHeight="1">
      <c r="A87" s="148" t="s">
        <v>467</v>
      </c>
      <c r="B87" s="146"/>
      <c r="C87" s="146"/>
      <c r="D87" s="146"/>
      <c r="E87" s="146"/>
      <c r="F87" s="146"/>
      <c r="G87" s="146"/>
      <c r="H87" s="146"/>
      <c r="I87" s="146"/>
      <c r="J87" s="125"/>
      <c r="K87" s="51"/>
      <c r="L87" s="141" t="s">
        <v>516</v>
      </c>
      <c r="P87" s="125"/>
    </row>
    <row r="88" spans="1:16" ht="15" customHeight="1">
      <c r="A88" s="148" t="s">
        <v>752</v>
      </c>
      <c r="B88" s="146"/>
      <c r="C88" s="146"/>
      <c r="D88" s="146"/>
      <c r="E88" s="146"/>
      <c r="F88" s="146"/>
      <c r="G88" s="146"/>
      <c r="H88" s="146"/>
      <c r="I88" s="146"/>
      <c r="J88" s="125"/>
      <c r="K88" s="51"/>
      <c r="L88" s="141" t="s">
        <v>516</v>
      </c>
      <c r="P88" s="125"/>
    </row>
    <row r="89" spans="1:16" ht="15" customHeight="1">
      <c r="A89" s="148" t="s">
        <v>751</v>
      </c>
      <c r="B89" s="146"/>
      <c r="C89" s="146"/>
      <c r="D89" s="146"/>
      <c r="E89" s="146"/>
      <c r="F89" s="146"/>
      <c r="G89" s="146"/>
      <c r="H89" s="146"/>
      <c r="I89" s="146"/>
      <c r="J89" s="125"/>
      <c r="K89" s="51"/>
      <c r="L89" s="141" t="s">
        <v>830</v>
      </c>
      <c r="P89" s="125"/>
    </row>
    <row r="90" spans="1:16" ht="15" customHeight="1">
      <c r="A90" s="146"/>
      <c r="B90" s="146"/>
      <c r="C90" s="146"/>
      <c r="D90" s="146"/>
      <c r="E90" s="146"/>
      <c r="F90" s="146"/>
      <c r="G90" s="146"/>
      <c r="H90" s="146"/>
      <c r="I90" s="146"/>
      <c r="J90" s="125"/>
      <c r="P90" s="125"/>
    </row>
    <row r="91" spans="1:16" ht="15" customHeight="1">
      <c r="A91" s="150" t="s">
        <v>753</v>
      </c>
      <c r="B91" s="146"/>
      <c r="C91" s="146"/>
      <c r="D91" s="146"/>
      <c r="E91" s="146"/>
      <c r="F91" s="146"/>
      <c r="G91" s="146"/>
      <c r="H91" s="146"/>
      <c r="I91" s="146"/>
      <c r="J91" s="125"/>
      <c r="P91" s="125"/>
    </row>
    <row r="92" spans="1:16" ht="15" customHeight="1">
      <c r="A92" s="139" t="s">
        <v>552</v>
      </c>
      <c r="B92" s="146"/>
      <c r="C92" s="146"/>
      <c r="D92" s="146"/>
      <c r="E92" s="146"/>
      <c r="F92" s="146"/>
      <c r="G92" s="146"/>
      <c r="H92" s="146"/>
      <c r="I92" s="146"/>
      <c r="J92" s="125"/>
      <c r="K92" s="56"/>
      <c r="L92" s="125"/>
      <c r="P92" s="125"/>
    </row>
    <row r="93" spans="1:16" ht="15" customHeight="1">
      <c r="A93" s="148" t="s">
        <v>554</v>
      </c>
      <c r="B93" s="139"/>
      <c r="C93" s="139"/>
      <c r="D93" s="151"/>
      <c r="E93" s="151"/>
      <c r="G93" s="152"/>
      <c r="H93" s="151"/>
      <c r="I93" s="152"/>
      <c r="J93" s="125"/>
      <c r="K93" s="57"/>
      <c r="L93" s="141"/>
      <c r="P93" s="125"/>
    </row>
    <row r="94" spans="1:16" ht="15" customHeight="1">
      <c r="A94" s="148" t="s">
        <v>368</v>
      </c>
      <c r="B94" s="146"/>
      <c r="C94" s="146"/>
      <c r="D94" s="146"/>
      <c r="E94" s="146"/>
      <c r="F94" s="146"/>
      <c r="G94" s="146"/>
      <c r="H94" s="146"/>
      <c r="I94" s="146"/>
      <c r="J94" s="125"/>
      <c r="K94" s="51"/>
      <c r="L94" s="141" t="s">
        <v>312</v>
      </c>
      <c r="P94" s="125"/>
    </row>
    <row r="95" spans="1:16" ht="15" customHeight="1">
      <c r="A95" s="148" t="s">
        <v>369</v>
      </c>
      <c r="B95" s="146"/>
      <c r="C95" s="146"/>
      <c r="D95" s="146"/>
      <c r="E95" s="146"/>
      <c r="F95" s="146"/>
      <c r="G95" s="146"/>
      <c r="H95" s="146"/>
      <c r="I95" s="146"/>
      <c r="J95" s="125"/>
      <c r="K95" s="51"/>
      <c r="L95" s="141" t="s">
        <v>312</v>
      </c>
      <c r="P95" s="125"/>
    </row>
    <row r="96" spans="1:16" ht="15" customHeight="1">
      <c r="A96" s="146"/>
      <c r="B96" s="146"/>
      <c r="C96" s="146"/>
      <c r="D96" s="146"/>
      <c r="E96" s="146"/>
      <c r="F96" s="146"/>
      <c r="G96" s="146"/>
      <c r="H96" s="146"/>
      <c r="I96" s="146"/>
      <c r="J96" s="125"/>
      <c r="P96" s="125"/>
    </row>
    <row r="97" spans="1:21" ht="15" customHeight="1">
      <c r="A97" s="150" t="s">
        <v>754</v>
      </c>
      <c r="B97" s="146"/>
      <c r="C97" s="146"/>
      <c r="D97" s="146"/>
      <c r="E97" s="146"/>
      <c r="F97" s="146"/>
      <c r="G97" s="146"/>
      <c r="H97" s="146"/>
      <c r="I97" s="146"/>
      <c r="J97" s="125"/>
      <c r="P97" s="125"/>
    </row>
    <row r="98" spans="1:21" ht="15" customHeight="1">
      <c r="A98" s="148" t="s">
        <v>907</v>
      </c>
      <c r="B98" s="146"/>
      <c r="C98" s="146"/>
      <c r="D98" s="146"/>
      <c r="E98" s="146"/>
      <c r="F98" s="146"/>
      <c r="G98" s="146"/>
      <c r="H98" s="146"/>
      <c r="I98" s="146"/>
      <c r="J98" s="125"/>
      <c r="K98" s="57"/>
      <c r="L98" s="140"/>
      <c r="P98" s="125"/>
    </row>
    <row r="99" spans="1:21" ht="15" customHeight="1">
      <c r="A99" s="148" t="s">
        <v>849</v>
      </c>
      <c r="B99" s="146"/>
      <c r="C99" s="146"/>
      <c r="D99" s="146"/>
      <c r="E99" s="146"/>
      <c r="F99" s="146"/>
      <c r="G99" s="146"/>
      <c r="H99" s="146"/>
      <c r="I99" s="146"/>
      <c r="J99" s="125"/>
      <c r="K99" s="56"/>
      <c r="L99" s="125"/>
      <c r="P99" s="125"/>
    </row>
    <row r="100" spans="1:21" ht="15" customHeight="1">
      <c r="A100" s="148" t="s">
        <v>850</v>
      </c>
      <c r="B100" s="153"/>
      <c r="C100" s="153"/>
      <c r="D100" s="153"/>
      <c r="E100" s="153"/>
      <c r="F100" s="153"/>
      <c r="G100" s="153"/>
      <c r="H100" s="153"/>
      <c r="I100" s="153"/>
      <c r="J100" s="125"/>
      <c r="K100" s="57"/>
      <c r="L100" s="141"/>
      <c r="M100" s="132"/>
      <c r="N100" s="153"/>
      <c r="O100" s="153"/>
      <c r="P100" s="153"/>
      <c r="Q100" s="153"/>
      <c r="R100" s="153"/>
      <c r="S100" s="153"/>
      <c r="T100" s="153"/>
      <c r="U100" s="153"/>
    </row>
    <row r="101" spans="1:21" ht="15" customHeight="1">
      <c r="A101" s="148" t="s">
        <v>851</v>
      </c>
      <c r="B101" s="153"/>
      <c r="C101" s="153"/>
      <c r="D101" s="153"/>
      <c r="E101" s="153"/>
      <c r="F101" s="153"/>
      <c r="G101" s="153"/>
      <c r="H101" s="153"/>
      <c r="I101" s="153"/>
      <c r="J101" s="125"/>
      <c r="K101" s="57"/>
      <c r="L101" s="141"/>
      <c r="M101" s="153"/>
      <c r="N101" s="153"/>
      <c r="O101" s="153"/>
      <c r="P101" s="153"/>
      <c r="Q101" s="153"/>
      <c r="R101" s="153"/>
      <c r="S101" s="153"/>
      <c r="T101" s="153"/>
      <c r="U101" s="153"/>
    </row>
    <row r="102" spans="1:21" ht="15" customHeight="1">
      <c r="A102" s="146"/>
      <c r="B102" s="146"/>
      <c r="C102" s="146"/>
      <c r="D102" s="146"/>
      <c r="E102" s="146"/>
      <c r="F102" s="146"/>
      <c r="G102" s="146"/>
      <c r="H102" s="146"/>
      <c r="I102" s="146"/>
      <c r="J102" s="125"/>
      <c r="P102" s="125"/>
    </row>
    <row r="103" spans="1:21" ht="15" customHeight="1">
      <c r="A103" s="150" t="s">
        <v>757</v>
      </c>
      <c r="B103" s="146"/>
      <c r="C103" s="146"/>
      <c r="D103" s="146"/>
      <c r="E103" s="146"/>
      <c r="F103" s="146"/>
      <c r="G103" s="146"/>
      <c r="H103" s="146"/>
      <c r="I103" s="146"/>
      <c r="J103" s="125"/>
      <c r="K103" s="154"/>
      <c r="L103" s="154"/>
      <c r="P103" s="125"/>
    </row>
    <row r="104" spans="1:21" ht="15" customHeight="1">
      <c r="A104" s="148" t="s">
        <v>743</v>
      </c>
      <c r="B104" s="146"/>
      <c r="C104" s="146"/>
      <c r="D104" s="146"/>
      <c r="E104" s="146"/>
      <c r="F104" s="146"/>
      <c r="G104" s="146"/>
      <c r="H104" s="146"/>
      <c r="I104" s="146"/>
      <c r="J104" s="125"/>
      <c r="K104" s="52"/>
      <c r="L104" s="140" t="s">
        <v>829</v>
      </c>
      <c r="P104" s="125"/>
    </row>
    <row r="105" spans="1:21" ht="15" customHeight="1">
      <c r="A105" s="148" t="s">
        <v>845</v>
      </c>
      <c r="B105" s="146"/>
      <c r="C105" s="146"/>
      <c r="D105" s="146"/>
      <c r="E105" s="146"/>
      <c r="F105" s="146"/>
      <c r="G105" s="146"/>
      <c r="H105" s="146"/>
      <c r="I105" s="146"/>
      <c r="J105" s="125"/>
      <c r="K105" s="51"/>
      <c r="L105" s="141" t="s">
        <v>829</v>
      </c>
      <c r="P105" s="125"/>
    </row>
    <row r="106" spans="1:21" ht="15" customHeight="1">
      <c r="A106" s="155" t="s">
        <v>569</v>
      </c>
      <c r="B106" s="146"/>
      <c r="C106" s="146"/>
      <c r="D106" s="146"/>
      <c r="E106" s="146"/>
      <c r="F106" s="146"/>
      <c r="G106" s="146"/>
      <c r="H106" s="146"/>
      <c r="I106" s="146"/>
      <c r="J106" s="125"/>
      <c r="K106" s="144"/>
      <c r="L106" s="144"/>
      <c r="P106" s="125"/>
    </row>
    <row r="107" spans="1:21" ht="15" customHeight="1">
      <c r="A107" s="150" t="s">
        <v>802</v>
      </c>
      <c r="B107" s="146"/>
      <c r="C107" s="146"/>
      <c r="D107" s="146"/>
      <c r="E107" s="146"/>
      <c r="F107" s="146"/>
      <c r="G107" s="146"/>
      <c r="H107" s="146"/>
      <c r="I107" s="146"/>
      <c r="J107" s="125"/>
      <c r="P107" s="125"/>
    </row>
    <row r="108" spans="1:21" ht="15" customHeight="1">
      <c r="A108" s="139" t="s">
        <v>176</v>
      </c>
      <c r="B108" s="139"/>
      <c r="C108" s="139"/>
      <c r="D108" s="139"/>
      <c r="E108" s="139"/>
      <c r="F108" s="139"/>
      <c r="G108" s="139"/>
      <c r="H108" s="139"/>
      <c r="I108" s="139"/>
      <c r="J108" s="125"/>
      <c r="K108" s="362"/>
      <c r="L108" s="140"/>
      <c r="P108" s="125"/>
    </row>
    <row r="109" spans="1:21" ht="15" customHeight="1">
      <c r="A109" s="148" t="s">
        <v>313</v>
      </c>
      <c r="B109" s="146"/>
      <c r="C109" s="146"/>
      <c r="D109" s="146"/>
      <c r="E109" s="146"/>
      <c r="F109" s="146"/>
      <c r="G109" s="146"/>
      <c r="H109" s="146"/>
      <c r="I109" s="146"/>
      <c r="J109" s="125"/>
      <c r="K109" s="52"/>
      <c r="L109" s="140" t="s">
        <v>516</v>
      </c>
      <c r="P109" s="125"/>
    </row>
    <row r="110" spans="1:21" ht="15" customHeight="1">
      <c r="A110" s="146"/>
      <c r="B110" s="146"/>
      <c r="C110" s="146"/>
      <c r="D110" s="146"/>
      <c r="E110" s="146"/>
      <c r="F110" s="146"/>
      <c r="G110" s="146"/>
      <c r="H110" s="146"/>
      <c r="I110" s="146"/>
      <c r="P110" s="125"/>
    </row>
    <row r="111" spans="1:21" ht="15" customHeight="1">
      <c r="A111" s="150" t="s">
        <v>804</v>
      </c>
      <c r="B111" s="146"/>
      <c r="C111" s="146"/>
      <c r="D111" s="146"/>
      <c r="E111" s="146"/>
      <c r="F111" s="146"/>
      <c r="G111" s="146"/>
      <c r="H111" s="146"/>
      <c r="I111" s="146"/>
      <c r="J111" s="125"/>
      <c r="P111" s="125"/>
    </row>
    <row r="112" spans="1:21" ht="15" customHeight="1">
      <c r="A112" s="148" t="s">
        <v>609</v>
      </c>
      <c r="B112" s="146"/>
      <c r="C112" s="146"/>
      <c r="D112" s="146"/>
      <c r="E112" s="146"/>
      <c r="F112" s="146"/>
      <c r="G112" s="146"/>
      <c r="H112" s="146"/>
      <c r="I112" s="146"/>
      <c r="J112" s="125"/>
      <c r="K112" s="52"/>
      <c r="L112" s="386" t="s">
        <v>852</v>
      </c>
      <c r="M112" s="388"/>
      <c r="P112" s="125"/>
    </row>
    <row r="113" spans="1:16" ht="15" customHeight="1">
      <c r="A113" s="148" t="s">
        <v>610</v>
      </c>
      <c r="B113" s="146"/>
      <c r="C113" s="146"/>
      <c r="D113" s="146"/>
      <c r="E113" s="146"/>
      <c r="F113" s="146"/>
      <c r="G113" s="146"/>
      <c r="H113" s="146"/>
      <c r="I113" s="146"/>
      <c r="J113" s="125"/>
      <c r="K113" s="52"/>
      <c r="L113" s="386" t="s">
        <v>852</v>
      </c>
      <c r="M113" s="389"/>
      <c r="P113" s="125"/>
    </row>
    <row r="114" spans="1:16" ht="15" customHeight="1">
      <c r="A114" s="148" t="s">
        <v>863</v>
      </c>
      <c r="B114" s="146"/>
      <c r="C114" s="146"/>
      <c r="D114" s="146"/>
      <c r="E114" s="146"/>
      <c r="F114" s="146"/>
      <c r="G114" s="146"/>
      <c r="H114" s="146"/>
      <c r="I114" s="146"/>
      <c r="J114" s="125"/>
      <c r="K114" s="51"/>
      <c r="L114" s="387" t="s">
        <v>852</v>
      </c>
      <c r="M114" s="389"/>
      <c r="P114" s="125"/>
    </row>
    <row r="115" spans="1:16" ht="15" customHeight="1">
      <c r="A115" s="148" t="s">
        <v>611</v>
      </c>
      <c r="B115" s="146"/>
      <c r="C115" s="146"/>
      <c r="D115" s="146"/>
      <c r="E115" s="146"/>
      <c r="F115" s="146"/>
      <c r="G115" s="146"/>
      <c r="H115" s="146"/>
      <c r="I115" s="146"/>
      <c r="J115" s="125"/>
      <c r="K115" s="51"/>
      <c r="L115" s="387" t="s">
        <v>853</v>
      </c>
      <c r="M115" s="389"/>
      <c r="P115" s="125"/>
    </row>
    <row r="116" spans="1:16" ht="15" customHeight="1">
      <c r="A116" s="148" t="s">
        <v>862</v>
      </c>
      <c r="B116" s="146"/>
      <c r="C116" s="146"/>
      <c r="D116" s="146"/>
      <c r="E116" s="146"/>
      <c r="F116" s="146"/>
      <c r="G116" s="146"/>
      <c r="H116" s="146"/>
      <c r="I116" s="146"/>
      <c r="J116" s="125"/>
      <c r="K116" s="51"/>
      <c r="L116" s="387" t="s">
        <v>853</v>
      </c>
      <c r="M116" s="389"/>
      <c r="P116" s="125"/>
    </row>
    <row r="117" spans="1:16" ht="15" customHeight="1">
      <c r="A117" s="148" t="s">
        <v>609</v>
      </c>
      <c r="B117" s="146"/>
      <c r="C117" s="146"/>
      <c r="D117" s="146"/>
      <c r="E117" s="146"/>
      <c r="F117" s="146"/>
      <c r="G117" s="146"/>
      <c r="H117" s="146"/>
      <c r="I117" s="146"/>
      <c r="J117" s="125"/>
      <c r="K117" s="52"/>
      <c r="L117" s="386" t="s">
        <v>854</v>
      </c>
      <c r="M117" s="389"/>
      <c r="P117" s="125"/>
    </row>
    <row r="118" spans="1:16" ht="15" customHeight="1">
      <c r="A118" s="148" t="s">
        <v>611</v>
      </c>
      <c r="B118" s="146"/>
      <c r="C118" s="146"/>
      <c r="D118" s="146"/>
      <c r="E118" s="146"/>
      <c r="F118" s="146"/>
      <c r="G118" s="146"/>
      <c r="H118" s="146"/>
      <c r="I118" s="146"/>
      <c r="J118" s="125"/>
      <c r="K118" s="51"/>
      <c r="L118" s="387" t="s">
        <v>855</v>
      </c>
      <c r="M118" s="389"/>
      <c r="P118" s="125"/>
    </row>
  </sheetData>
  <sheetProtection password="9A49" sheet="1" objects="1" scenarios="1"/>
  <mergeCells count="1">
    <mergeCell ref="A6:L13"/>
  </mergeCells>
  <phoneticPr fontId="27" type="noConversion"/>
  <dataValidations disablePrompts="1" count="5">
    <dataValidation type="list" allowBlank="1" showInputMessage="1" showErrorMessage="1" sqref="K108 K53" xr:uid="{00000000-0002-0000-0000-000000000000}">
      <formula1>"Y,N"</formula1>
    </dataValidation>
    <dataValidation type="list" allowBlank="1" showInputMessage="1" showErrorMessage="1" sqref="K16" xr:uid="{00000000-0002-0000-0000-000001000000}">
      <formula1>"S,C"</formula1>
    </dataValidation>
    <dataValidation type="list" allowBlank="1" showInputMessage="1" showErrorMessage="1" sqref="K17" xr:uid="{00000000-0002-0000-0000-000002000000}">
      <formula1>"I,B"</formula1>
    </dataValidation>
    <dataValidation type="list" allowBlank="1" showInputMessage="1" showErrorMessage="1" sqref="K38" xr:uid="{00000000-0002-0000-0000-000003000000}">
      <formula1>"R,T,D"</formula1>
    </dataValidation>
    <dataValidation type="list" allowBlank="1" showInputMessage="1" showErrorMessage="1" sqref="K63" xr:uid="{00000000-0002-0000-0000-000004000000}">
      <formula1>"H,P"</formula1>
    </dataValidation>
  </dataValidations>
  <pageMargins left="0.99" right="0.62" top="0.55000000000000004" bottom="0.51" header="0.24" footer="0.21"/>
  <pageSetup scale="80" fitToHeight="2" orientation="portrait" horizontalDpi="300" verticalDpi="300" r:id="rId1"/>
  <headerFooter alignWithMargins="0">
    <oddHeader xml:space="preserve">&amp;L         PennDOT Integral Abutment Spreadsheet, Version 2.2
         Filename: &amp;F&amp;R&amp;A Sheet    
Sheet &amp;P of &amp;N   </oddHeader>
    <oddFooter>&amp;L         &amp;Z&amp;F</oddFooter>
  </headerFooter>
  <rowBreaks count="1" manualBreakCount="1">
    <brk id="61" max="16383" man="1"/>
  </rowBreaks>
  <drawing r:id="rId2"/>
  <legacyDrawing r:id="rId3"/>
  <controls>
    <mc:AlternateContent xmlns:mc="http://schemas.openxmlformats.org/markup-compatibility/2006">
      <mc:Choice Requires="x14">
        <control shapeId="17430" r:id="rId4" name="CommandButton1">
          <controlPr defaultSize="0" autoLine="0" r:id="rId5">
            <anchor moveWithCells="1">
              <from>
                <xdr:col>12</xdr:col>
                <xdr:colOff>19050</xdr:colOff>
                <xdr:row>5</xdr:row>
                <xdr:rowOff>76200</xdr:rowOff>
              </from>
              <to>
                <xdr:col>12</xdr:col>
                <xdr:colOff>590550</xdr:colOff>
                <xdr:row>8</xdr:row>
                <xdr:rowOff>142875</xdr:rowOff>
              </to>
            </anchor>
          </controlPr>
        </control>
      </mc:Choice>
      <mc:Fallback>
        <control shapeId="17430" r:id="rId4" name="CommandButton1"/>
      </mc:Fallback>
    </mc:AlternateContent>
    <mc:AlternateContent xmlns:mc="http://schemas.openxmlformats.org/markup-compatibility/2006">
      <mc:Choice Requires="x14">
        <control shapeId="17431" r:id="rId6" name="CommandButton2">
          <controlPr defaultSize="0" autoLine="0" r:id="rId7">
            <anchor moveWithCells="1">
              <from>
                <xdr:col>12</xdr:col>
                <xdr:colOff>19050</xdr:colOff>
                <xdr:row>9</xdr:row>
                <xdr:rowOff>19050</xdr:rowOff>
              </from>
              <to>
                <xdr:col>12</xdr:col>
                <xdr:colOff>590550</xdr:colOff>
                <xdr:row>12</xdr:row>
                <xdr:rowOff>95250</xdr:rowOff>
              </to>
            </anchor>
          </controlPr>
        </control>
      </mc:Choice>
      <mc:Fallback>
        <control shapeId="17431" r:id="rId6" name="CommandButton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1855"/>
  <sheetViews>
    <sheetView showGridLines="0" zoomScale="145" zoomScaleNormal="145" zoomScaleSheetLayoutView="100" workbookViewId="0"/>
  </sheetViews>
  <sheetFormatPr defaultColWidth="9.1328125" defaultRowHeight="12.75"/>
  <cols>
    <col min="1" max="1" width="5" style="125" customWidth="1"/>
    <col min="2" max="2" width="4.73046875" style="125" customWidth="1"/>
    <col min="3" max="3" width="5.73046875" style="125" customWidth="1"/>
    <col min="4" max="4" width="9.3984375" style="125" customWidth="1"/>
    <col min="5" max="5" width="9.265625" style="125" customWidth="1"/>
    <col min="6" max="6" width="10.73046875" style="125" customWidth="1"/>
    <col min="7" max="7" width="13.1328125" style="125" customWidth="1"/>
    <col min="8" max="9" width="9.1328125" style="125"/>
    <col min="10" max="10" width="9.73046875" style="125" customWidth="1"/>
    <col min="11" max="11" width="6.86328125" style="125" customWidth="1"/>
    <col min="12" max="12" width="5" style="125" customWidth="1"/>
    <col min="13" max="13" width="8.86328125" style="125" customWidth="1"/>
    <col min="14" max="15" width="9.1328125" style="125"/>
    <col min="16" max="16" width="6.59765625" style="125" customWidth="1"/>
    <col min="17" max="16384" width="9.1328125" style="125"/>
  </cols>
  <sheetData>
    <row r="1" spans="1:19" ht="13.15">
      <c r="A1" s="120" t="s">
        <v>434</v>
      </c>
      <c r="B1" s="109"/>
      <c r="C1" s="110"/>
      <c r="D1" s="110"/>
      <c r="E1" s="110"/>
      <c r="F1" s="110"/>
      <c r="G1" s="110"/>
      <c r="H1" s="110"/>
      <c r="I1" s="110"/>
      <c r="J1" s="122" t="s">
        <v>682</v>
      </c>
      <c r="K1" s="375"/>
      <c r="L1" s="123" t="s">
        <v>684</v>
      </c>
      <c r="M1" s="368"/>
      <c r="R1" s="157"/>
      <c r="S1" s="157"/>
    </row>
    <row r="2" spans="1:19" ht="13.15">
      <c r="A2" s="126"/>
      <c r="B2" s="111"/>
      <c r="C2" s="112"/>
      <c r="D2" s="112"/>
      <c r="E2" s="112"/>
      <c r="F2" s="112"/>
      <c r="G2" s="112"/>
      <c r="H2" s="112"/>
      <c r="I2" s="112"/>
      <c r="J2" s="128" t="s">
        <v>683</v>
      </c>
      <c r="K2" s="367"/>
      <c r="L2" s="129" t="s">
        <v>684</v>
      </c>
      <c r="M2" s="369"/>
      <c r="R2" s="157"/>
      <c r="S2" s="157"/>
    </row>
    <row r="3" spans="1:19" ht="13.15">
      <c r="B3" s="130"/>
      <c r="C3" s="131"/>
      <c r="D3" s="131"/>
      <c r="E3" s="131"/>
      <c r="F3" s="131"/>
      <c r="G3" s="131"/>
      <c r="H3" s="131"/>
      <c r="I3" s="133"/>
      <c r="J3" s="134"/>
      <c r="L3" s="135"/>
      <c r="M3" s="134"/>
      <c r="R3" s="157"/>
      <c r="S3" s="157"/>
    </row>
    <row r="4" spans="1:19" ht="13.15">
      <c r="A4" s="253" t="s">
        <v>781</v>
      </c>
      <c r="R4" s="157"/>
      <c r="S4" s="157"/>
    </row>
    <row r="5" spans="1:19" ht="13.15">
      <c r="A5" s="253"/>
      <c r="R5" s="157"/>
      <c r="S5" s="157"/>
    </row>
    <row r="6" spans="1:19" ht="13.15" customHeight="1">
      <c r="A6" s="588" t="s">
        <v>972</v>
      </c>
      <c r="B6" s="588"/>
      <c r="C6" s="588"/>
      <c r="D6" s="588"/>
      <c r="E6" s="588"/>
      <c r="F6" s="588"/>
      <c r="G6" s="588"/>
      <c r="H6" s="588"/>
      <c r="I6" s="588"/>
      <c r="J6" s="588"/>
      <c r="K6" s="588"/>
      <c r="L6" s="588"/>
      <c r="M6" s="588"/>
      <c r="R6" s="157"/>
      <c r="S6" s="157"/>
    </row>
    <row r="7" spans="1:19">
      <c r="A7" s="588"/>
      <c r="B7" s="588"/>
      <c r="C7" s="588"/>
      <c r="D7" s="588"/>
      <c r="E7" s="588"/>
      <c r="F7" s="588"/>
      <c r="G7" s="588"/>
      <c r="H7" s="588"/>
      <c r="I7" s="588"/>
      <c r="J7" s="588"/>
      <c r="K7" s="588"/>
      <c r="L7" s="588"/>
      <c r="M7" s="588"/>
      <c r="R7" s="157"/>
      <c r="S7" s="157"/>
    </row>
    <row r="8" spans="1:19">
      <c r="A8" s="588"/>
      <c r="B8" s="588"/>
      <c r="C8" s="588"/>
      <c r="D8" s="588"/>
      <c r="E8" s="588"/>
      <c r="F8" s="588"/>
      <c r="G8" s="588"/>
      <c r="H8" s="588"/>
      <c r="I8" s="588"/>
      <c r="J8" s="588"/>
      <c r="K8" s="588"/>
      <c r="L8" s="588"/>
      <c r="M8" s="588"/>
      <c r="R8" s="157"/>
      <c r="S8" s="157"/>
    </row>
    <row r="9" spans="1:19">
      <c r="A9" s="588"/>
      <c r="B9" s="588"/>
      <c r="C9" s="588"/>
      <c r="D9" s="588"/>
      <c r="E9" s="588"/>
      <c r="F9" s="588"/>
      <c r="G9" s="588"/>
      <c r="H9" s="588"/>
      <c r="I9" s="588"/>
      <c r="J9" s="588"/>
      <c r="K9" s="588"/>
      <c r="L9" s="588"/>
      <c r="M9" s="588"/>
      <c r="R9" s="157"/>
      <c r="S9" s="157"/>
    </row>
    <row r="10" spans="1:19">
      <c r="A10" s="588"/>
      <c r="B10" s="588"/>
      <c r="C10" s="588"/>
      <c r="D10" s="588"/>
      <c r="E10" s="588"/>
      <c r="F10" s="588"/>
      <c r="G10" s="588"/>
      <c r="H10" s="588"/>
      <c r="I10" s="588"/>
      <c r="J10" s="588"/>
      <c r="K10" s="588"/>
      <c r="L10" s="588"/>
      <c r="M10" s="588"/>
      <c r="R10" s="157"/>
      <c r="S10" s="157"/>
    </row>
    <row r="11" spans="1:19">
      <c r="A11" s="588"/>
      <c r="B11" s="588"/>
      <c r="C11" s="588"/>
      <c r="D11" s="588"/>
      <c r="E11" s="588"/>
      <c r="F11" s="588"/>
      <c r="G11" s="588"/>
      <c r="H11" s="588"/>
      <c r="I11" s="588"/>
      <c r="J11" s="588"/>
      <c r="K11" s="588"/>
      <c r="L11" s="588"/>
      <c r="M11" s="588"/>
      <c r="R11" s="157"/>
      <c r="S11" s="157"/>
    </row>
    <row r="12" spans="1:19">
      <c r="A12" s="588"/>
      <c r="B12" s="588"/>
      <c r="C12" s="588"/>
      <c r="D12" s="588"/>
      <c r="E12" s="588"/>
      <c r="F12" s="588"/>
      <c r="G12" s="588"/>
      <c r="H12" s="588"/>
      <c r="I12" s="588"/>
      <c r="J12" s="588"/>
      <c r="K12" s="588"/>
      <c r="L12" s="588"/>
      <c r="M12" s="588"/>
      <c r="R12" s="157"/>
      <c r="S12" s="157"/>
    </row>
    <row r="13" spans="1:19">
      <c r="A13" s="588"/>
      <c r="B13" s="588"/>
      <c r="C13" s="588"/>
      <c r="D13" s="588"/>
      <c r="E13" s="588"/>
      <c r="F13" s="588"/>
      <c r="G13" s="588"/>
      <c r="H13" s="588"/>
      <c r="I13" s="588"/>
      <c r="J13" s="588"/>
      <c r="K13" s="588"/>
      <c r="L13" s="588"/>
      <c r="M13" s="588"/>
      <c r="R13" s="157"/>
      <c r="S13" s="157"/>
    </row>
    <row r="14" spans="1:19">
      <c r="A14" s="588"/>
      <c r="B14" s="588"/>
      <c r="C14" s="588"/>
      <c r="D14" s="588"/>
      <c r="E14" s="588"/>
      <c r="F14" s="588"/>
      <c r="G14" s="588"/>
      <c r="H14" s="588"/>
      <c r="I14" s="588"/>
      <c r="J14" s="588"/>
      <c r="K14" s="588"/>
      <c r="L14" s="588"/>
      <c r="M14" s="588"/>
      <c r="R14" s="157"/>
      <c r="S14" s="157"/>
    </row>
    <row r="15" spans="1:19" ht="13.15" customHeight="1">
      <c r="A15" s="588"/>
      <c r="B15" s="588"/>
      <c r="C15" s="588"/>
      <c r="D15" s="588"/>
      <c r="E15" s="588"/>
      <c r="F15" s="588"/>
      <c r="G15" s="588"/>
      <c r="H15" s="588"/>
      <c r="I15" s="588"/>
      <c r="J15" s="588"/>
      <c r="K15" s="588"/>
      <c r="L15" s="588"/>
      <c r="M15" s="588"/>
      <c r="R15" s="157"/>
      <c r="S15" s="157"/>
    </row>
    <row r="16" spans="1:19">
      <c r="B16" s="574"/>
      <c r="C16" s="574"/>
      <c r="D16" s="574"/>
      <c r="E16" s="574"/>
      <c r="F16" s="574"/>
      <c r="G16" s="574"/>
      <c r="H16" s="574"/>
      <c r="I16" s="574"/>
      <c r="J16" s="574"/>
      <c r="K16" s="574"/>
      <c r="L16" s="574"/>
      <c r="M16" s="574"/>
      <c r="R16" s="157"/>
      <c r="S16" s="157"/>
    </row>
    <row r="17" spans="1:19">
      <c r="A17" s="588" t="s">
        <v>971</v>
      </c>
      <c r="B17" s="588"/>
      <c r="C17" s="588"/>
      <c r="D17" s="588"/>
      <c r="E17" s="588"/>
      <c r="F17" s="588"/>
      <c r="G17" s="588"/>
      <c r="H17" s="588"/>
      <c r="I17" s="588"/>
      <c r="J17" s="588"/>
      <c r="K17" s="588"/>
      <c r="L17" s="588"/>
      <c r="M17" s="588"/>
      <c r="R17" s="157"/>
      <c r="S17" s="157"/>
    </row>
    <row r="18" spans="1:19">
      <c r="A18" s="588"/>
      <c r="B18" s="588"/>
      <c r="C18" s="588"/>
      <c r="D18" s="588"/>
      <c r="E18" s="588"/>
      <c r="F18" s="588"/>
      <c r="G18" s="588"/>
      <c r="H18" s="588"/>
      <c r="I18" s="588"/>
      <c r="J18" s="588"/>
      <c r="K18" s="588"/>
      <c r="L18" s="588"/>
      <c r="M18" s="588"/>
      <c r="R18" s="157"/>
      <c r="S18" s="157"/>
    </row>
    <row r="19" spans="1:19">
      <c r="A19" s="588"/>
      <c r="B19" s="588"/>
      <c r="C19" s="588"/>
      <c r="D19" s="588"/>
      <c r="E19" s="588"/>
      <c r="F19" s="588"/>
      <c r="G19" s="588"/>
      <c r="H19" s="588"/>
      <c r="I19" s="588"/>
      <c r="J19" s="588"/>
      <c r="K19" s="588"/>
      <c r="L19" s="588"/>
      <c r="M19" s="588"/>
      <c r="R19" s="157"/>
      <c r="S19" s="157"/>
    </row>
    <row r="20" spans="1:19">
      <c r="A20" s="588"/>
      <c r="B20" s="588"/>
      <c r="C20" s="588"/>
      <c r="D20" s="588"/>
      <c r="E20" s="588"/>
      <c r="F20" s="588"/>
      <c r="G20" s="588"/>
      <c r="H20" s="588"/>
      <c r="I20" s="588"/>
      <c r="J20" s="588"/>
      <c r="K20" s="588"/>
      <c r="L20" s="588"/>
      <c r="M20" s="588"/>
      <c r="R20" s="157"/>
      <c r="S20" s="157"/>
    </row>
    <row r="21" spans="1:19">
      <c r="A21" s="588"/>
      <c r="B21" s="588"/>
      <c r="C21" s="588"/>
      <c r="D21" s="588"/>
      <c r="E21" s="588"/>
      <c r="F21" s="588"/>
      <c r="G21" s="588"/>
      <c r="H21" s="588"/>
      <c r="I21" s="588"/>
      <c r="J21" s="588"/>
      <c r="K21" s="588"/>
      <c r="L21" s="588"/>
      <c r="M21" s="588"/>
      <c r="R21" s="157"/>
      <c r="S21" s="157"/>
    </row>
    <row r="22" spans="1:19">
      <c r="A22" s="588"/>
      <c r="B22" s="588"/>
      <c r="C22" s="588"/>
      <c r="D22" s="588"/>
      <c r="E22" s="588"/>
      <c r="F22" s="588"/>
      <c r="G22" s="588"/>
      <c r="H22" s="588"/>
      <c r="I22" s="588"/>
      <c r="J22" s="588"/>
      <c r="K22" s="588"/>
      <c r="L22" s="588"/>
      <c r="M22" s="588"/>
      <c r="R22" s="157"/>
      <c r="S22" s="157"/>
    </row>
    <row r="23" spans="1:19" ht="13.15" thickBot="1">
      <c r="R23" s="157"/>
      <c r="S23" s="157"/>
    </row>
    <row r="24" spans="1:19" ht="13.15" thickBot="1">
      <c r="B24" s="159"/>
      <c r="C24" s="160"/>
      <c r="D24" s="161" t="s">
        <v>777</v>
      </c>
      <c r="R24" s="157"/>
      <c r="S24" s="157"/>
    </row>
    <row r="25" spans="1:19">
      <c r="R25" s="157"/>
      <c r="S25" s="157"/>
    </row>
    <row r="26" spans="1:19" ht="13.15">
      <c r="A26" s="253" t="s">
        <v>776</v>
      </c>
      <c r="R26" s="157"/>
      <c r="S26" s="157"/>
    </row>
    <row r="27" spans="1:19" ht="13.15">
      <c r="A27" s="253"/>
      <c r="R27" s="157"/>
      <c r="S27" s="157"/>
    </row>
    <row r="28" spans="1:19">
      <c r="A28" s="577" t="s">
        <v>283</v>
      </c>
      <c r="B28" s="577"/>
      <c r="C28" s="577"/>
      <c r="D28" s="577"/>
      <c r="E28" s="577"/>
      <c r="F28" s="577"/>
      <c r="G28" s="577"/>
      <c r="H28" s="577"/>
      <c r="I28" s="577"/>
      <c r="J28" s="577"/>
      <c r="K28" s="577"/>
      <c r="L28" s="577"/>
      <c r="M28" s="577"/>
      <c r="R28" s="157"/>
      <c r="S28" s="157"/>
    </row>
    <row r="29" spans="1:19">
      <c r="A29" s="577"/>
      <c r="B29" s="577"/>
      <c r="C29" s="577"/>
      <c r="D29" s="577"/>
      <c r="E29" s="577"/>
      <c r="F29" s="577"/>
      <c r="G29" s="577"/>
      <c r="H29" s="577"/>
      <c r="I29" s="577"/>
      <c r="J29" s="577"/>
      <c r="K29" s="577"/>
      <c r="L29" s="577"/>
      <c r="M29" s="577"/>
      <c r="R29" s="157"/>
      <c r="S29" s="157"/>
    </row>
    <row r="30" spans="1:19" ht="13.15">
      <c r="A30" s="138"/>
      <c r="R30" s="157"/>
      <c r="S30" s="157"/>
    </row>
    <row r="31" spans="1:19">
      <c r="A31" s="581" t="s">
        <v>778</v>
      </c>
      <c r="B31" s="581"/>
      <c r="C31" s="581"/>
      <c r="D31" s="581"/>
      <c r="E31" s="581"/>
      <c r="F31" s="581"/>
      <c r="G31" s="581"/>
      <c r="H31" s="581"/>
      <c r="I31" s="581"/>
      <c r="J31" s="581"/>
      <c r="K31" s="581"/>
      <c r="L31" s="581"/>
      <c r="M31" s="581"/>
      <c r="R31" s="157"/>
      <c r="S31" s="157"/>
    </row>
    <row r="32" spans="1:19" ht="13.15" thickBot="1">
      <c r="A32" s="581"/>
      <c r="B32" s="581"/>
      <c r="C32" s="581"/>
      <c r="D32" s="581"/>
      <c r="E32" s="581"/>
      <c r="F32" s="581"/>
      <c r="G32" s="581"/>
      <c r="H32" s="581"/>
      <c r="I32" s="581"/>
      <c r="J32" s="581"/>
      <c r="K32" s="581"/>
      <c r="L32" s="581"/>
      <c r="M32" s="581"/>
      <c r="R32" s="157"/>
      <c r="S32" s="157"/>
    </row>
    <row r="33" spans="1:19" ht="13.15" thickBot="1">
      <c r="B33" s="125" t="s">
        <v>720</v>
      </c>
      <c r="G33" s="19"/>
      <c r="I33" s="163" t="str">
        <f>+IF(G33="C"," ",IF(G33="S"," ","Error - only choices are S or C"))</f>
        <v>Error - only choices are S or C</v>
      </c>
      <c r="R33" s="157">
        <f>IF(LEFT(I33,5)="Error",1,0)</f>
        <v>1</v>
      </c>
      <c r="S33" s="157">
        <f>IF(LEFT(I33,5)="Warni",1,0)</f>
        <v>0</v>
      </c>
    </row>
    <row r="34" spans="1:19">
      <c r="I34" s="164"/>
      <c r="R34" s="157"/>
      <c r="S34" s="157"/>
    </row>
    <row r="35" spans="1:19">
      <c r="A35" s="578" t="s">
        <v>398</v>
      </c>
      <c r="B35" s="578"/>
      <c r="C35" s="578"/>
      <c r="D35" s="578"/>
      <c r="E35" s="578"/>
      <c r="F35" s="578"/>
      <c r="G35" s="578"/>
      <c r="H35" s="578"/>
      <c r="I35" s="578"/>
      <c r="J35" s="578"/>
      <c r="K35" s="578"/>
      <c r="L35" s="578"/>
      <c r="M35" s="578"/>
      <c r="R35" s="157"/>
      <c r="S35" s="157"/>
    </row>
    <row r="36" spans="1:19">
      <c r="A36" s="578"/>
      <c r="B36" s="578"/>
      <c r="C36" s="578"/>
      <c r="D36" s="578"/>
      <c r="E36" s="578"/>
      <c r="F36" s="578"/>
      <c r="G36" s="578"/>
      <c r="H36" s="578"/>
      <c r="I36" s="578"/>
      <c r="J36" s="578"/>
      <c r="K36" s="578"/>
      <c r="L36" s="578"/>
      <c r="M36" s="578"/>
      <c r="R36" s="157"/>
      <c r="S36" s="157"/>
    </row>
    <row r="37" spans="1:19" ht="13.15" thickBot="1">
      <c r="A37" s="153"/>
      <c r="B37" s="153"/>
      <c r="C37" s="153"/>
      <c r="D37" s="153"/>
      <c r="E37" s="153"/>
      <c r="F37" s="153"/>
      <c r="G37" s="153"/>
      <c r="H37" s="153"/>
      <c r="I37" s="153"/>
      <c r="J37" s="153"/>
      <c r="R37" s="157"/>
      <c r="S37" s="157"/>
    </row>
    <row r="38" spans="1:19" ht="13.15" thickBot="1">
      <c r="B38" s="125" t="s">
        <v>273</v>
      </c>
      <c r="G38" s="19"/>
      <c r="I38" s="164"/>
      <c r="R38" s="157"/>
      <c r="S38" s="157"/>
    </row>
    <row r="39" spans="1:19">
      <c r="B39" s="163" t="str">
        <f>IF(G38="I","",IF(G38="B",IF(G33="C","","Error - only concrete box girders are allowed"),"Error - choose I - I-girder or B - Box girder"))</f>
        <v>Error - choose I - I-girder or B - Box girder</v>
      </c>
      <c r="I39" s="164"/>
      <c r="R39" s="157">
        <f>IF(LEFT(B39,5)="Error",1,0)</f>
        <v>1</v>
      </c>
      <c r="S39" s="157">
        <f>IF(LEFT(B39,5)="Warni",1,0)</f>
        <v>0</v>
      </c>
    </row>
    <row r="40" spans="1:19">
      <c r="A40" s="577" t="s">
        <v>674</v>
      </c>
      <c r="B40" s="577"/>
      <c r="C40" s="577"/>
      <c r="D40" s="577"/>
      <c r="E40" s="577"/>
      <c r="F40" s="577"/>
      <c r="G40" s="577"/>
      <c r="H40" s="577"/>
      <c r="I40" s="577"/>
      <c r="J40" s="577"/>
      <c r="K40" s="577"/>
      <c r="L40" s="577"/>
      <c r="M40" s="577"/>
      <c r="R40" s="157"/>
      <c r="S40" s="157"/>
    </row>
    <row r="41" spans="1:19">
      <c r="A41" s="577"/>
      <c r="B41" s="577"/>
      <c r="C41" s="577"/>
      <c r="D41" s="577"/>
      <c r="E41" s="577"/>
      <c r="F41" s="577"/>
      <c r="G41" s="577"/>
      <c r="H41" s="577"/>
      <c r="I41" s="577"/>
      <c r="J41" s="577"/>
      <c r="K41" s="577"/>
      <c r="L41" s="577"/>
      <c r="M41" s="577"/>
      <c r="R41" s="157"/>
      <c r="S41" s="157"/>
    </row>
    <row r="42" spans="1:19">
      <c r="A42" s="577"/>
      <c r="B42" s="577"/>
      <c r="C42" s="577"/>
      <c r="D42" s="577"/>
      <c r="E42" s="577"/>
      <c r="F42" s="577"/>
      <c r="G42" s="577"/>
      <c r="H42" s="577"/>
      <c r="I42" s="577"/>
      <c r="J42" s="577"/>
      <c r="K42" s="577"/>
      <c r="L42" s="577"/>
      <c r="M42" s="577"/>
      <c r="R42" s="157"/>
      <c r="S42" s="157"/>
    </row>
    <row r="43" spans="1:19">
      <c r="A43" s="577"/>
      <c r="B43" s="577"/>
      <c r="C43" s="577"/>
      <c r="D43" s="577"/>
      <c r="E43" s="577"/>
      <c r="F43" s="577"/>
      <c r="G43" s="577"/>
      <c r="H43" s="577"/>
      <c r="I43" s="577"/>
      <c r="J43" s="577"/>
      <c r="K43" s="577"/>
      <c r="L43" s="577"/>
      <c r="M43" s="577"/>
      <c r="R43" s="157"/>
      <c r="S43" s="157"/>
    </row>
    <row r="44" spans="1:19">
      <c r="A44" s="577"/>
      <c r="B44" s="577"/>
      <c r="C44" s="577"/>
      <c r="D44" s="577"/>
      <c r="E44" s="577"/>
      <c r="F44" s="577"/>
      <c r="G44" s="577"/>
      <c r="H44" s="577"/>
      <c r="I44" s="577"/>
      <c r="J44" s="577"/>
      <c r="K44" s="577"/>
      <c r="L44" s="577"/>
      <c r="M44" s="577"/>
      <c r="R44" s="157"/>
      <c r="S44" s="157"/>
    </row>
    <row r="45" spans="1:19">
      <c r="R45" s="157"/>
      <c r="S45" s="157"/>
    </row>
    <row r="46" spans="1:19" ht="13.15" thickBot="1">
      <c r="B46" s="125" t="s">
        <v>779</v>
      </c>
      <c r="R46" s="157"/>
      <c r="S46" s="157"/>
    </row>
    <row r="47" spans="1:19" ht="13.15" thickBot="1">
      <c r="G47" s="88"/>
      <c r="H47" s="125" t="s">
        <v>337</v>
      </c>
      <c r="I47" s="165"/>
      <c r="J47" s="131"/>
      <c r="R47" s="157"/>
      <c r="S47" s="157"/>
    </row>
    <row r="48" spans="1:19">
      <c r="B48" s="599" t="str">
        <f>+IF(G33="C",IF(length&gt;590,O48,""),IF(G33="S",IF(length&gt;390,O49,""),""))</f>
        <v/>
      </c>
      <c r="C48" s="599"/>
      <c r="D48" s="599"/>
      <c r="E48" s="599"/>
      <c r="F48" s="599"/>
      <c r="G48" s="599"/>
      <c r="H48" s="599"/>
      <c r="I48" s="599"/>
      <c r="J48" s="599"/>
      <c r="K48" s="599"/>
      <c r="L48" s="599"/>
      <c r="M48" s="599"/>
      <c r="O48" s="157" t="s">
        <v>32</v>
      </c>
      <c r="R48" s="157">
        <f>IF(LEFT(B48,5)="Error",1,0)</f>
        <v>0</v>
      </c>
      <c r="S48" s="157">
        <f>IF(LEFT(B48,5)="Warni",1,0)</f>
        <v>0</v>
      </c>
    </row>
    <row r="49" spans="1:19">
      <c r="B49" s="599"/>
      <c r="C49" s="599"/>
      <c r="D49" s="599"/>
      <c r="E49" s="599"/>
      <c r="F49" s="599"/>
      <c r="G49" s="599"/>
      <c r="H49" s="599"/>
      <c r="I49" s="599"/>
      <c r="J49" s="599"/>
      <c r="K49" s="599"/>
      <c r="L49" s="599"/>
      <c r="M49" s="599"/>
      <c r="N49" s="157" t="s">
        <v>331</v>
      </c>
      <c r="O49" s="157" t="s">
        <v>303</v>
      </c>
      <c r="R49" s="157"/>
      <c r="S49" s="157"/>
    </row>
    <row r="50" spans="1:19">
      <c r="A50" s="137"/>
      <c r="B50" s="599"/>
      <c r="C50" s="599"/>
      <c r="D50" s="599"/>
      <c r="E50" s="599"/>
      <c r="F50" s="599"/>
      <c r="G50" s="599"/>
      <c r="H50" s="599"/>
      <c r="I50" s="599"/>
      <c r="J50" s="599"/>
      <c r="K50" s="599"/>
      <c r="L50" s="599"/>
      <c r="M50" s="599"/>
      <c r="N50" s="157" t="s">
        <v>304</v>
      </c>
      <c r="R50" s="157"/>
      <c r="S50" s="157"/>
    </row>
    <row r="51" spans="1:19">
      <c r="A51" s="577" t="s">
        <v>0</v>
      </c>
      <c r="B51" s="577"/>
      <c r="C51" s="577"/>
      <c r="D51" s="577"/>
      <c r="E51" s="577"/>
      <c r="F51" s="577"/>
      <c r="G51" s="577"/>
      <c r="H51" s="577"/>
      <c r="I51" s="577"/>
      <c r="J51" s="577"/>
      <c r="K51" s="577"/>
      <c r="L51" s="577"/>
      <c r="M51" s="577"/>
      <c r="N51" s="24" t="s">
        <v>305</v>
      </c>
      <c r="R51" s="157"/>
      <c r="S51" s="157"/>
    </row>
    <row r="52" spans="1:19">
      <c r="A52" s="577"/>
      <c r="B52" s="577"/>
      <c r="C52" s="577"/>
      <c r="D52" s="577"/>
      <c r="E52" s="577"/>
      <c r="F52" s="577"/>
      <c r="G52" s="577"/>
      <c r="H52" s="577"/>
      <c r="I52" s="577"/>
      <c r="J52" s="577"/>
      <c r="K52" s="577"/>
      <c r="L52" s="577"/>
      <c r="M52" s="577"/>
      <c r="N52" s="24" t="s">
        <v>306</v>
      </c>
      <c r="R52" s="157"/>
      <c r="S52" s="157"/>
    </row>
    <row r="53" spans="1:19">
      <c r="A53" s="577"/>
      <c r="B53" s="577"/>
      <c r="C53" s="577"/>
      <c r="D53" s="577"/>
      <c r="E53" s="577"/>
      <c r="F53" s="577"/>
      <c r="G53" s="577"/>
      <c r="H53" s="577"/>
      <c r="I53" s="577"/>
      <c r="J53" s="577"/>
      <c r="K53" s="577"/>
      <c r="L53" s="577"/>
      <c r="M53" s="577"/>
      <c r="R53" s="157"/>
      <c r="S53" s="157"/>
    </row>
    <row r="54" spans="1:19">
      <c r="A54" s="137"/>
      <c r="B54" s="137"/>
      <c r="C54" s="137"/>
      <c r="D54" s="137"/>
      <c r="E54" s="137"/>
      <c r="F54" s="137"/>
      <c r="G54" s="137"/>
      <c r="H54" s="137"/>
      <c r="I54" s="137"/>
      <c r="J54" s="137"/>
      <c r="R54" s="157"/>
      <c r="S54" s="157"/>
    </row>
    <row r="55" spans="1:19" ht="13.15" thickBot="1">
      <c r="A55" s="136"/>
      <c r="B55" s="125" t="s">
        <v>265</v>
      </c>
      <c r="C55" s="136"/>
      <c r="D55" s="136"/>
      <c r="E55" s="136"/>
      <c r="F55" s="136"/>
      <c r="G55" s="136"/>
      <c r="H55" s="136"/>
      <c r="I55" s="136"/>
      <c r="J55" s="136"/>
      <c r="R55" s="157"/>
      <c r="S55" s="157"/>
    </row>
    <row r="56" spans="1:19" ht="13.15" thickBot="1">
      <c r="G56" s="88"/>
      <c r="H56" s="125" t="s">
        <v>337</v>
      </c>
      <c r="I56" s="165"/>
      <c r="J56" s="131"/>
      <c r="R56" s="157"/>
      <c r="S56" s="157"/>
    </row>
    <row r="57" spans="1:19">
      <c r="B57" s="163" t="str">
        <f>+IF(length&lt;G56,"Error - first span cannot be longer than total bridge",IF(G56&gt;0,"","Error - first span must have a positive length - input total span length for simply supported bridges"))</f>
        <v>Error - first span must have a positive length - input total span length for simply supported bridges</v>
      </c>
      <c r="I57" s="167"/>
      <c r="K57" s="168"/>
      <c r="R57" s="157">
        <f>IF(LEFT(B57,5)="Error",1,0)</f>
        <v>1</v>
      </c>
      <c r="S57" s="157">
        <f>IF(LEFT(B57,5)="Warni",1,0)</f>
        <v>0</v>
      </c>
    </row>
    <row r="58" spans="1:19">
      <c r="A58" s="577" t="s">
        <v>167</v>
      </c>
      <c r="B58" s="577"/>
      <c r="C58" s="577"/>
      <c r="D58" s="577"/>
      <c r="E58" s="577"/>
      <c r="F58" s="577"/>
      <c r="G58" s="577"/>
      <c r="H58" s="577"/>
      <c r="I58" s="577"/>
      <c r="J58" s="577"/>
      <c r="K58" s="577"/>
      <c r="L58" s="577"/>
      <c r="M58" s="577"/>
      <c r="R58" s="157"/>
      <c r="S58" s="157"/>
    </row>
    <row r="59" spans="1:19">
      <c r="A59" s="577"/>
      <c r="B59" s="577"/>
      <c r="C59" s="577"/>
      <c r="D59" s="577"/>
      <c r="E59" s="577"/>
      <c r="F59" s="577"/>
      <c r="G59" s="577"/>
      <c r="H59" s="577"/>
      <c r="I59" s="577"/>
      <c r="J59" s="577"/>
      <c r="K59" s="577"/>
      <c r="L59" s="577"/>
      <c r="M59" s="577"/>
      <c r="R59" s="157"/>
      <c r="S59" s="157"/>
    </row>
    <row r="60" spans="1:19">
      <c r="A60" s="577"/>
      <c r="B60" s="577"/>
      <c r="C60" s="577"/>
      <c r="D60" s="577"/>
      <c r="E60" s="577"/>
      <c r="F60" s="577"/>
      <c r="G60" s="577"/>
      <c r="H60" s="577"/>
      <c r="I60" s="577"/>
      <c r="J60" s="577"/>
      <c r="K60" s="577"/>
      <c r="L60" s="577"/>
      <c r="M60" s="577"/>
      <c r="R60" s="157"/>
      <c r="S60" s="157"/>
    </row>
    <row r="61" spans="1:19" ht="13.15" thickBot="1">
      <c r="A61" s="169"/>
      <c r="B61" s="169"/>
      <c r="C61" s="169"/>
      <c r="D61" s="169"/>
      <c r="E61" s="169"/>
      <c r="F61" s="169"/>
      <c r="G61" s="169"/>
      <c r="H61" s="169"/>
      <c r="I61" s="169"/>
      <c r="J61" s="169"/>
      <c r="R61" s="157"/>
      <c r="S61" s="157"/>
    </row>
    <row r="62" spans="1:19" ht="13.15" thickBot="1">
      <c r="B62" s="125" t="s">
        <v>832</v>
      </c>
      <c r="G62" s="20"/>
      <c r="H62" s="125" t="s">
        <v>833</v>
      </c>
      <c r="I62" s="167">
        <f>+PI()*G62/180</f>
        <v>0</v>
      </c>
      <c r="J62" s="125" t="s">
        <v>834</v>
      </c>
      <c r="R62" s="157"/>
      <c r="S62" s="157"/>
    </row>
    <row r="63" spans="1:19">
      <c r="B63" s="163" t="str">
        <f>IF(skew&gt;90,"Error - skews for integral abutment bridges should be between 45 and 90 degrees",+IF(skew&lt;70,IF(skew&lt;60,IF(skew&lt;45,IF(length&gt;G56,error1,IF(length&gt;130,error2,IF(length&gt;90,error3,error4))),IF(length&gt;G56,error1,IF(length&gt;130,error2,IF(length&gt;90,error3,"")))),IF(length&gt;G56,error1,IF(length&gt;130,error2,""))),""))</f>
        <v>Error - skew must be greater than or equal to 45 degrees for single spans 90 ft or less</v>
      </c>
      <c r="I63" s="167"/>
      <c r="K63" s="168"/>
      <c r="R63" s="157">
        <f>IF(LEFT(B63,5)="Error",1,0)</f>
        <v>1</v>
      </c>
      <c r="S63" s="157">
        <f>IF(LEFT(B63,5)="Warni",1,0)</f>
        <v>0</v>
      </c>
    </row>
    <row r="64" spans="1:19" ht="13.15">
      <c r="A64" s="253" t="str">
        <f>A26&amp;" - Cont'd"</f>
        <v>BRIDGE DATA - Cont'd</v>
      </c>
      <c r="B64" s="163"/>
      <c r="I64" s="167"/>
      <c r="K64" s="168"/>
      <c r="R64" s="157"/>
      <c r="S64" s="157"/>
    </row>
    <row r="65" spans="1:19" ht="13.15">
      <c r="A65" s="253"/>
      <c r="B65" s="163"/>
      <c r="I65" s="167"/>
      <c r="K65" s="168"/>
      <c r="R65" s="157"/>
      <c r="S65" s="157"/>
    </row>
    <row r="66" spans="1:19">
      <c r="A66" s="577" t="s">
        <v>959</v>
      </c>
      <c r="B66" s="577"/>
      <c r="C66" s="577"/>
      <c r="D66" s="577"/>
      <c r="E66" s="577"/>
      <c r="F66" s="577"/>
      <c r="G66" s="577"/>
      <c r="H66" s="577"/>
      <c r="I66" s="577"/>
      <c r="J66" s="577"/>
      <c r="K66" s="577"/>
      <c r="L66" s="577"/>
      <c r="M66" s="577"/>
      <c r="R66" s="157"/>
      <c r="S66" s="157"/>
    </row>
    <row r="67" spans="1:19">
      <c r="A67" s="577"/>
      <c r="B67" s="577"/>
      <c r="C67" s="577"/>
      <c r="D67" s="577"/>
      <c r="E67" s="577"/>
      <c r="F67" s="577"/>
      <c r="G67" s="577"/>
      <c r="H67" s="577"/>
      <c r="I67" s="577"/>
      <c r="J67" s="577"/>
      <c r="K67" s="577"/>
      <c r="L67" s="577"/>
      <c r="M67" s="577"/>
      <c r="R67" s="157"/>
      <c r="S67" s="157"/>
    </row>
    <row r="68" spans="1:19">
      <c r="A68" s="577"/>
      <c r="B68" s="577"/>
      <c r="C68" s="577"/>
      <c r="D68" s="577"/>
      <c r="E68" s="577"/>
      <c r="F68" s="577"/>
      <c r="G68" s="577"/>
      <c r="H68" s="577"/>
      <c r="I68" s="577"/>
      <c r="J68" s="577"/>
      <c r="K68" s="577"/>
      <c r="L68" s="577"/>
      <c r="M68" s="577"/>
      <c r="R68" s="157"/>
      <c r="S68" s="157"/>
    </row>
    <row r="69" spans="1:19">
      <c r="A69" s="577"/>
      <c r="B69" s="577"/>
      <c r="C69" s="577"/>
      <c r="D69" s="577"/>
      <c r="E69" s="577"/>
      <c r="F69" s="577"/>
      <c r="G69" s="577"/>
      <c r="H69" s="577"/>
      <c r="I69" s="577"/>
      <c r="J69" s="577"/>
      <c r="K69" s="577"/>
      <c r="L69" s="577"/>
      <c r="M69" s="577"/>
      <c r="R69" s="157"/>
      <c r="S69" s="157"/>
    </row>
    <row r="70" spans="1:19" ht="13.15" thickBot="1">
      <c r="K70" s="168"/>
      <c r="N70" s="131"/>
      <c r="R70" s="157"/>
      <c r="S70" s="157"/>
    </row>
    <row r="71" spans="1:19" ht="13.15" thickBot="1">
      <c r="B71" s="170" t="s">
        <v>231</v>
      </c>
      <c r="G71" s="88"/>
      <c r="H71" s="125" t="s">
        <v>337</v>
      </c>
      <c r="I71" s="165"/>
      <c r="J71" s="131"/>
      <c r="R71" s="157"/>
      <c r="S71" s="157"/>
    </row>
    <row r="72" spans="1:19" ht="13.15" thickBot="1">
      <c r="B72" s="163" t="str">
        <f>+IF(curbwidth&gt;width,"Error - curb-to-curb width cannot be wider than the out-to-out structure width"," ")</f>
        <v xml:space="preserve"> </v>
      </c>
      <c r="I72" s="167"/>
      <c r="K72" s="168"/>
      <c r="R72" s="157">
        <f>IF(LEFT(B72,5)="Error",1,0)</f>
        <v>0</v>
      </c>
      <c r="S72" s="157">
        <f>IF(LEFT(B72,5)="Warni",1,0)</f>
        <v>0</v>
      </c>
    </row>
    <row r="73" spans="1:19" ht="13.15" thickBot="1">
      <c r="B73" s="171" t="s">
        <v>773</v>
      </c>
      <c r="C73" s="144"/>
      <c r="D73" s="144"/>
      <c r="E73" s="144"/>
      <c r="F73" s="144"/>
      <c r="G73" s="88"/>
      <c r="H73" s="144" t="s">
        <v>337</v>
      </c>
      <c r="I73" s="172"/>
      <c r="J73" s="173"/>
      <c r="R73" s="157"/>
      <c r="S73" s="157"/>
    </row>
    <row r="74" spans="1:19">
      <c r="B74" s="599" t="str">
        <f>IF(width-curbwidth-3.375&lt;G73,"Warning - roadway width plus sidewalk widths plus assumed Barrier widths (1' - 8 1/4"" each) are larger than the out-to-out dimensions of bridge","")</f>
        <v>Warning - roadway width plus sidewalk widths plus assumed Barrier widths (1' - 8 1/4" each) are larger than the out-to-out dimensions of bridge</v>
      </c>
      <c r="C74" s="599"/>
      <c r="D74" s="599"/>
      <c r="E74" s="599"/>
      <c r="F74" s="599"/>
      <c r="G74" s="599"/>
      <c r="H74" s="599"/>
      <c r="I74" s="599"/>
      <c r="J74" s="599"/>
      <c r="K74" s="599"/>
      <c r="L74" s="599"/>
      <c r="M74" s="599"/>
      <c r="R74" s="157">
        <f>IF(LEFT(B74,5)="Error",1,0)</f>
        <v>0</v>
      </c>
      <c r="S74" s="157">
        <f>IF(LEFT(B74,5)="Warni",1,0)</f>
        <v>1</v>
      </c>
    </row>
    <row r="75" spans="1:19" ht="13.15" thickBot="1">
      <c r="B75" s="599"/>
      <c r="C75" s="599"/>
      <c r="D75" s="599"/>
      <c r="E75" s="599"/>
      <c r="F75" s="599"/>
      <c r="G75" s="599"/>
      <c r="H75" s="599"/>
      <c r="I75" s="599"/>
      <c r="J75" s="599"/>
      <c r="K75" s="599"/>
      <c r="L75" s="599"/>
      <c r="M75" s="599"/>
      <c r="R75" s="157"/>
      <c r="S75" s="157"/>
    </row>
    <row r="76" spans="1:19" ht="13.15" thickBot="1">
      <c r="B76" s="125" t="s">
        <v>64</v>
      </c>
      <c r="G76" s="88"/>
      <c r="H76" s="125" t="s">
        <v>337</v>
      </c>
      <c r="I76" s="165"/>
      <c r="J76" s="131"/>
      <c r="R76" s="157"/>
      <c r="S76" s="157"/>
    </row>
    <row r="77" spans="1:19">
      <c r="B77" s="163" t="str">
        <f>+IF(width&lt;curbwidth+3.375,"Warning - out-to-out width is usually at least the curb-to-curb width plus the width of Barriers (1' - 8 1/4"" each)"," ")</f>
        <v>Warning - out-to-out width is usually at least the curb-to-curb width plus the width of Barriers (1' - 8 1/4" each)</v>
      </c>
      <c r="R77" s="157">
        <f>IF(LEFT(B77,5)="Error",1,0)</f>
        <v>0</v>
      </c>
      <c r="S77" s="157">
        <f>IF(LEFT(B77,5)="Warni",1,0)</f>
        <v>1</v>
      </c>
    </row>
    <row r="78" spans="1:19">
      <c r="I78" s="167"/>
      <c r="R78" s="157"/>
      <c r="S78" s="157"/>
    </row>
    <row r="79" spans="1:19">
      <c r="I79" s="167"/>
      <c r="R79" s="157"/>
      <c r="S79" s="157"/>
    </row>
    <row r="80" spans="1:19">
      <c r="I80" s="167"/>
      <c r="R80" s="157"/>
      <c r="S80" s="157"/>
    </row>
    <row r="81" spans="9:19">
      <c r="I81" s="167"/>
      <c r="R81" s="157"/>
      <c r="S81" s="157"/>
    </row>
    <row r="82" spans="9:19">
      <c r="I82" s="167"/>
      <c r="R82" s="157"/>
      <c r="S82" s="157"/>
    </row>
    <row r="83" spans="9:19">
      <c r="I83" s="167"/>
      <c r="R83" s="157"/>
      <c r="S83" s="157"/>
    </row>
    <row r="84" spans="9:19">
      <c r="I84" s="167"/>
      <c r="R84" s="157"/>
      <c r="S84" s="157"/>
    </row>
    <row r="85" spans="9:19">
      <c r="I85" s="167"/>
      <c r="R85" s="157"/>
      <c r="S85" s="157"/>
    </row>
    <row r="86" spans="9:19">
      <c r="I86" s="167"/>
      <c r="R86" s="157"/>
      <c r="S86" s="157"/>
    </row>
    <row r="87" spans="9:19">
      <c r="I87" s="167"/>
      <c r="R87" s="157"/>
      <c r="S87" s="157"/>
    </row>
    <row r="88" spans="9:19">
      <c r="I88" s="167"/>
      <c r="R88" s="157"/>
      <c r="S88" s="157"/>
    </row>
    <row r="89" spans="9:19">
      <c r="I89" s="167"/>
      <c r="R89" s="157"/>
      <c r="S89" s="157"/>
    </row>
    <row r="90" spans="9:19">
      <c r="I90" s="167"/>
      <c r="R90" s="157"/>
      <c r="S90" s="157"/>
    </row>
    <row r="91" spans="9:19">
      <c r="I91" s="167"/>
      <c r="R91" s="157"/>
      <c r="S91" s="157"/>
    </row>
    <row r="92" spans="9:19">
      <c r="I92" s="167"/>
      <c r="R92" s="157"/>
      <c r="S92" s="157"/>
    </row>
    <row r="93" spans="9:19">
      <c r="I93" s="167"/>
      <c r="R93" s="157"/>
      <c r="S93" s="157"/>
    </row>
    <row r="94" spans="9:19">
      <c r="I94" s="167"/>
      <c r="R94" s="157"/>
      <c r="S94" s="157"/>
    </row>
    <row r="95" spans="9:19">
      <c r="I95" s="167"/>
      <c r="R95" s="157"/>
      <c r="S95" s="157"/>
    </row>
    <row r="96" spans="9:19">
      <c r="I96" s="167"/>
      <c r="R96" s="157"/>
      <c r="S96" s="157"/>
    </row>
    <row r="97" spans="1:19">
      <c r="A97" s="577" t="s">
        <v>960</v>
      </c>
      <c r="B97" s="577"/>
      <c r="C97" s="577"/>
      <c r="D97" s="577"/>
      <c r="E97" s="577"/>
      <c r="F97" s="577"/>
      <c r="G97" s="577"/>
      <c r="H97" s="577"/>
      <c r="I97" s="577"/>
      <c r="J97" s="577"/>
      <c r="K97" s="577"/>
      <c r="L97" s="577"/>
      <c r="M97" s="577"/>
      <c r="R97" s="157"/>
      <c r="S97" s="157"/>
    </row>
    <row r="98" spans="1:19">
      <c r="A98" s="577"/>
      <c r="B98" s="577"/>
      <c r="C98" s="577"/>
      <c r="D98" s="577"/>
      <c r="E98" s="577"/>
      <c r="F98" s="577"/>
      <c r="G98" s="577"/>
      <c r="H98" s="577"/>
      <c r="I98" s="577"/>
      <c r="J98" s="577"/>
      <c r="K98" s="577"/>
      <c r="L98" s="577"/>
      <c r="M98" s="577"/>
      <c r="R98" s="157"/>
      <c r="S98" s="157"/>
    </row>
    <row r="99" spans="1:19">
      <c r="A99" s="577"/>
      <c r="B99" s="577"/>
      <c r="C99" s="577"/>
      <c r="D99" s="577"/>
      <c r="E99" s="577"/>
      <c r="F99" s="577"/>
      <c r="G99" s="577"/>
      <c r="H99" s="577"/>
      <c r="I99" s="577"/>
      <c r="J99" s="577"/>
      <c r="K99" s="577"/>
      <c r="L99" s="577"/>
      <c r="M99" s="577"/>
      <c r="R99" s="157"/>
      <c r="S99" s="157"/>
    </row>
    <row r="100" spans="1:19">
      <c r="A100" s="577"/>
      <c r="B100" s="577"/>
      <c r="C100" s="577"/>
      <c r="D100" s="577"/>
      <c r="E100" s="577"/>
      <c r="F100" s="577"/>
      <c r="G100" s="577"/>
      <c r="H100" s="577"/>
      <c r="I100" s="577"/>
      <c r="J100" s="577"/>
      <c r="K100" s="577"/>
      <c r="L100" s="577"/>
      <c r="M100" s="577"/>
      <c r="R100" s="157"/>
      <c r="S100" s="157"/>
    </row>
    <row r="101" spans="1:19">
      <c r="A101" s="577"/>
      <c r="B101" s="577"/>
      <c r="C101" s="577"/>
      <c r="D101" s="577"/>
      <c r="E101" s="577"/>
      <c r="F101" s="577"/>
      <c r="G101" s="577"/>
      <c r="H101" s="577"/>
      <c r="I101" s="577"/>
      <c r="J101" s="577"/>
      <c r="K101" s="577"/>
      <c r="L101" s="577"/>
      <c r="M101" s="577"/>
      <c r="R101" s="157"/>
      <c r="S101" s="157"/>
    </row>
    <row r="102" spans="1:19">
      <c r="A102" s="137"/>
      <c r="B102" s="137"/>
      <c r="C102" s="137"/>
      <c r="D102" s="137"/>
      <c r="E102" s="137"/>
      <c r="F102" s="137"/>
      <c r="G102" s="137"/>
      <c r="H102" s="137"/>
      <c r="I102" s="137"/>
      <c r="J102" s="137"/>
      <c r="R102" s="157"/>
      <c r="S102" s="157"/>
    </row>
    <row r="103" spans="1:19">
      <c r="A103" s="137"/>
      <c r="B103" s="174" t="str">
        <f>"Curb-to-curb width of roadway divided by lane width "&amp;"= "&amp;curbwidth&amp;"/12 = "&amp;FIXED(curbwidth/12,2,TRUE)</f>
        <v>Curb-to-curb width of roadway divided by lane width = /12 = 0.00</v>
      </c>
      <c r="C103" s="137"/>
      <c r="D103" s="137"/>
      <c r="E103" s="137"/>
      <c r="F103" s="137"/>
      <c r="G103" s="137"/>
      <c r="I103" s="137"/>
      <c r="J103" s="137"/>
      <c r="K103" s="137"/>
      <c r="R103" s="157"/>
      <c r="S103" s="157"/>
    </row>
    <row r="104" spans="1:19">
      <c r="B104" s="125" t="s">
        <v>307</v>
      </c>
      <c r="G104" s="125">
        <f>IF(curbwidth&gt;=24,ROUNDDOWN(curbwidth/12,0),IF(curbwidth&gt;=20,2,IF(curbwidth&gt;=10,1,0)))</f>
        <v>0</v>
      </c>
      <c r="I104" s="167"/>
      <c r="R104" s="157"/>
      <c r="S104" s="157"/>
    </row>
    <row r="105" spans="1:19">
      <c r="C105" s="175" t="str">
        <f>+IF(curbwidth&lt;24,IF(curbwidth&gt;=20,"Width of roadway is between 20 and 24 ft so two lanes are assumed"," ")," ")</f>
        <v xml:space="preserve"> </v>
      </c>
      <c r="I105" s="167"/>
      <c r="K105" s="168"/>
      <c r="R105" s="157"/>
      <c r="S105" s="157"/>
    </row>
    <row r="106" spans="1:19">
      <c r="B106" s="174" t="str">
        <f>"Total bridge clear width divided by lane width "&amp;"= ("&amp;width&amp;" - 3.375)/12 = "&amp;FIXED((width-3.375)/12,2,TRUE)</f>
        <v>Total bridge clear width divided by lane width = ( - 3.375)/12 = -0.28</v>
      </c>
      <c r="I106" s="167"/>
      <c r="K106" s="168"/>
      <c r="R106" s="157"/>
      <c r="S106" s="157"/>
    </row>
    <row r="107" spans="1:19">
      <c r="B107" s="125" t="s">
        <v>308</v>
      </c>
      <c r="G107" s="125">
        <f>IF(width-3.375&gt;=24,ROUNDDOWN((width-3.375)/12,0),IF((width-3.375)&gt;=20,2,IF((width-3.375)&gt;=10,1,0)))</f>
        <v>0</v>
      </c>
      <c r="I107" s="167"/>
      <c r="K107" s="168"/>
      <c r="R107" s="157"/>
      <c r="S107" s="157"/>
    </row>
    <row r="108" spans="1:19">
      <c r="C108" s="175" t="str">
        <f>+IF(width-3.375&lt;24,IF(width-3.375&gt;=20,"Clear width of roadway is between 20 and 24 ft so two lanes are assumed"," ")," ")</f>
        <v xml:space="preserve"> </v>
      </c>
      <c r="I108" s="167"/>
      <c r="K108" s="168"/>
      <c r="R108" s="157"/>
      <c r="S108" s="157"/>
    </row>
    <row r="109" spans="1:19" ht="13.15">
      <c r="A109" s="253" t="str">
        <f>A64</f>
        <v>BRIDGE DATA - Cont'd</v>
      </c>
      <c r="C109" s="175"/>
      <c r="I109" s="167"/>
      <c r="K109" s="168"/>
      <c r="R109" s="157"/>
      <c r="S109" s="157"/>
    </row>
    <row r="110" spans="1:19" ht="13.15">
      <c r="A110" s="253"/>
      <c r="C110" s="175"/>
      <c r="I110" s="167"/>
      <c r="K110" s="168"/>
      <c r="R110" s="157"/>
      <c r="S110" s="157"/>
    </row>
    <row r="111" spans="1:19">
      <c r="A111" s="596" t="s">
        <v>168</v>
      </c>
      <c r="B111" s="596"/>
      <c r="C111" s="596"/>
      <c r="D111" s="596"/>
      <c r="E111" s="596"/>
      <c r="F111" s="596"/>
      <c r="G111" s="596"/>
      <c r="H111" s="596"/>
      <c r="I111" s="596"/>
      <c r="J111" s="596"/>
      <c r="K111" s="596"/>
      <c r="L111" s="596"/>
      <c r="M111" s="596"/>
      <c r="R111" s="157"/>
      <c r="S111" s="157"/>
    </row>
    <row r="112" spans="1:19">
      <c r="A112" s="596"/>
      <c r="B112" s="596"/>
      <c r="C112" s="596"/>
      <c r="D112" s="596"/>
      <c r="E112" s="596"/>
      <c r="F112" s="596"/>
      <c r="G112" s="596"/>
      <c r="H112" s="596"/>
      <c r="I112" s="596"/>
      <c r="J112" s="596"/>
      <c r="K112" s="596"/>
      <c r="L112" s="596"/>
      <c r="M112" s="596"/>
      <c r="R112" s="157"/>
      <c r="S112" s="157"/>
    </row>
    <row r="113" spans="1:19">
      <c r="A113" s="596"/>
      <c r="B113" s="596"/>
      <c r="C113" s="596"/>
      <c r="D113" s="596"/>
      <c r="E113" s="596"/>
      <c r="F113" s="596"/>
      <c r="G113" s="596"/>
      <c r="H113" s="596"/>
      <c r="I113" s="596"/>
      <c r="J113" s="596"/>
      <c r="K113" s="596"/>
      <c r="L113" s="596"/>
      <c r="M113" s="596"/>
      <c r="R113" s="157"/>
      <c r="S113" s="157"/>
    </row>
    <row r="114" spans="1:19" ht="13.15" thickBot="1">
      <c r="A114" s="136"/>
      <c r="B114" s="136"/>
      <c r="C114" s="136"/>
      <c r="D114" s="136"/>
      <c r="E114" s="136"/>
      <c r="F114" s="136"/>
      <c r="G114" s="136"/>
      <c r="H114" s="136"/>
      <c r="I114" s="136"/>
      <c r="J114" s="136"/>
      <c r="K114" s="168"/>
      <c r="R114" s="157"/>
      <c r="S114" s="157"/>
    </row>
    <row r="115" spans="1:19" ht="13.15" thickBot="1">
      <c r="B115" s="125" t="s">
        <v>721</v>
      </c>
      <c r="G115" s="21"/>
      <c r="I115" s="167"/>
      <c r="R115" s="157"/>
      <c r="S115" s="157"/>
    </row>
    <row r="116" spans="1:19" ht="13.15" thickBot="1">
      <c r="G116" s="255"/>
      <c r="I116" s="167"/>
      <c r="R116" s="157"/>
      <c r="S116" s="157"/>
    </row>
    <row r="117" spans="1:19" ht="13.15" thickBot="1">
      <c r="B117" s="125" t="s">
        <v>558</v>
      </c>
      <c r="G117" s="88"/>
      <c r="H117" s="125" t="s">
        <v>337</v>
      </c>
      <c r="I117" s="165"/>
      <c r="J117" s="131"/>
      <c r="R117" s="157"/>
      <c r="S117" s="157"/>
    </row>
    <row r="118" spans="1:19" ht="13.15" thickBot="1">
      <c r="G118" s="256"/>
      <c r="I118" s="165"/>
      <c r="J118" s="131"/>
      <c r="R118" s="157"/>
      <c r="S118" s="157"/>
    </row>
    <row r="119" spans="1:19" ht="13.15" thickBot="1">
      <c r="B119" s="125" t="s">
        <v>169</v>
      </c>
      <c r="G119" s="88"/>
      <c r="H119" s="125" t="s">
        <v>170</v>
      </c>
      <c r="R119" s="157"/>
      <c r="S119" s="157"/>
    </row>
    <row r="120" spans="1:19">
      <c r="B120" s="597" t="str">
        <f>IF(girdertype="I",IF((ngirder-1)*G117+G119&gt;width,"Error - out-to-out of I-girders is greater than the out-to-out superstructure width, maximum spacing is approximately "&amp;FIXED((width-G119)/(ngirder-1),0,TRUE)&amp;" ft.",IF((width-(ngirder-1)*G117)/2&gt;G117,"Warning - overhang is longer than girder spacing","")),IF((ngirder-1)*G117+G119&gt;width,"Error - out-to-out of box girders is greater than the out-to-out superstructure width.  For the current girder width "&amp;G119&amp;" ft, maximum spacing is approximately "&amp;FIXED((width-G119)/(ngirder-1),0,TRUE)&amp;" ft.",IF((G117-G119)&lt;0.084,"Error - box beam spacing is too small, adjacent box beams are not permitted",IF((G117-G119)&lt;0.6*G119,"Warning - box beam clear spacing is less than 60% of the beam width, adjacent box beams are not permitted, check beam spacing",IF((width-(ngirder-1)*G117-G119)/2&gt;(G117-G119),"Warning - overhang is longer than girder clear spacing","")))))</f>
        <v>Error - box beam spacing is too small, adjacent box beams are not permitted</v>
      </c>
      <c r="C120" s="597"/>
      <c r="D120" s="597"/>
      <c r="E120" s="597"/>
      <c r="F120" s="597"/>
      <c r="G120" s="597"/>
      <c r="H120" s="597"/>
      <c r="I120" s="597"/>
      <c r="J120" s="597"/>
      <c r="K120" s="597"/>
      <c r="L120" s="597"/>
      <c r="M120" s="597"/>
      <c r="R120" s="157">
        <f>IF(LEFT(B120,5)="Error",1,0)</f>
        <v>1</v>
      </c>
      <c r="S120" s="157">
        <f>IF(LEFT(B120,5)="Warni",1,0)</f>
        <v>0</v>
      </c>
    </row>
    <row r="121" spans="1:19" ht="13.15" thickBot="1">
      <c r="B121" s="597"/>
      <c r="C121" s="597"/>
      <c r="D121" s="597"/>
      <c r="E121" s="597"/>
      <c r="F121" s="597"/>
      <c r="G121" s="597"/>
      <c r="H121" s="597"/>
      <c r="I121" s="597"/>
      <c r="J121" s="597"/>
      <c r="K121" s="597"/>
      <c r="L121" s="597"/>
      <c r="M121" s="597"/>
      <c r="R121" s="157"/>
      <c r="S121" s="157"/>
    </row>
    <row r="122" spans="1:19" ht="13.15" thickBot="1">
      <c r="B122" s="125" t="s">
        <v>831</v>
      </c>
      <c r="G122" s="88"/>
      <c r="H122" s="125" t="s">
        <v>590</v>
      </c>
      <c r="I122" s="165"/>
      <c r="J122" s="131"/>
      <c r="R122" s="157"/>
      <c r="S122" s="157"/>
    </row>
    <row r="123" spans="1:19">
      <c r="B123" s="597" t="str">
        <f>+IF(G122&gt;6,"Warning - girders deeper than 6.0 ft require the written approval of the Chief Bridge Engineer as per DM-4 Ap. G1.2.8","")</f>
        <v/>
      </c>
      <c r="C123" s="597"/>
      <c r="D123" s="597"/>
      <c r="E123" s="597"/>
      <c r="F123" s="597"/>
      <c r="G123" s="597"/>
      <c r="H123" s="597"/>
      <c r="I123" s="597"/>
      <c r="J123" s="597"/>
      <c r="K123" s="597"/>
      <c r="L123" s="597"/>
      <c r="M123" s="597"/>
      <c r="R123" s="157">
        <f>IF(LEFT(B123,5)="Error",1,0)</f>
        <v>0</v>
      </c>
      <c r="S123" s="157">
        <f>IF(LEFT(B123,5)="Warni",1,0)</f>
        <v>0</v>
      </c>
    </row>
    <row r="124" spans="1:19" ht="13.15" thickBot="1">
      <c r="B124" s="597"/>
      <c r="C124" s="597"/>
      <c r="D124" s="597"/>
      <c r="E124" s="597"/>
      <c r="F124" s="597"/>
      <c r="G124" s="597"/>
      <c r="H124" s="597"/>
      <c r="I124" s="597"/>
      <c r="J124" s="597"/>
      <c r="K124" s="597"/>
      <c r="L124" s="597"/>
      <c r="M124" s="597"/>
      <c r="R124" s="157"/>
      <c r="S124" s="157"/>
    </row>
    <row r="125" spans="1:19" ht="13.15" thickBot="1">
      <c r="B125" s="125" t="s">
        <v>479</v>
      </c>
      <c r="G125" s="20"/>
      <c r="H125" s="125" t="s">
        <v>591</v>
      </c>
      <c r="I125" s="165"/>
      <c r="J125" s="131"/>
      <c r="R125" s="157"/>
      <c r="S125" s="157"/>
    </row>
    <row r="126" spans="1:19">
      <c r="B126" s="598" t="str">
        <f>IF(G125=0.75,"","Warning - bearing pad thickness is specified as 0.75 in (DM-4 Ap.G.1.7), altering it requires written permission from the Chief Bridge Engineer.")</f>
        <v>Warning - bearing pad thickness is specified as 0.75 in (DM-4 Ap.G.1.7), altering it requires written permission from the Chief Bridge Engineer.</v>
      </c>
      <c r="C126" s="598"/>
      <c r="D126" s="598"/>
      <c r="E126" s="598"/>
      <c r="F126" s="598"/>
      <c r="G126" s="598"/>
      <c r="H126" s="598"/>
      <c r="I126" s="598"/>
      <c r="J126" s="598"/>
      <c r="K126" s="598"/>
      <c r="L126" s="598"/>
      <c r="M126" s="598"/>
      <c r="R126" s="157">
        <f>IF(LEFT(B126,5)="Error",1,0)</f>
        <v>0</v>
      </c>
      <c r="S126" s="157">
        <f>IF(LEFT(B126,5)="Warni",1,0)</f>
        <v>1</v>
      </c>
    </row>
    <row r="127" spans="1:19" ht="13.15" thickBot="1">
      <c r="B127" s="598"/>
      <c r="C127" s="598"/>
      <c r="D127" s="598"/>
      <c r="E127" s="598"/>
      <c r="F127" s="598"/>
      <c r="G127" s="598"/>
      <c r="H127" s="598"/>
      <c r="I127" s="598"/>
      <c r="J127" s="598"/>
      <c r="K127" s="598"/>
      <c r="L127" s="598"/>
      <c r="M127" s="598"/>
      <c r="R127" s="157"/>
      <c r="S127" s="157"/>
    </row>
    <row r="128" spans="1:19" ht="13.15" thickBot="1">
      <c r="B128" s="125" t="s">
        <v>530</v>
      </c>
      <c r="G128" s="20"/>
      <c r="H128" s="125" t="s">
        <v>516</v>
      </c>
      <c r="I128" s="165"/>
      <c r="J128" s="131"/>
      <c r="R128" s="157"/>
      <c r="S128" s="157"/>
    </row>
    <row r="129" spans="1:19" ht="13.15" thickBot="1">
      <c r="B129" s="163" t="str">
        <f>IF(G128&gt;18,"Warning - deck + haunch thickness exceeds 18 in, check dimension","")</f>
        <v/>
      </c>
      <c r="I129" s="176"/>
      <c r="R129" s="157"/>
      <c r="S129" s="157"/>
    </row>
    <row r="130" spans="1:19" ht="13.15" thickBot="1">
      <c r="B130" s="125" t="s">
        <v>961</v>
      </c>
      <c r="G130" s="88"/>
      <c r="H130" s="125" t="s">
        <v>337</v>
      </c>
      <c r="I130" s="165"/>
      <c r="J130" s="131"/>
      <c r="R130" s="157"/>
      <c r="S130" s="157"/>
    </row>
    <row r="131" spans="1:19" ht="13.15" thickBot="1">
      <c r="G131" s="256"/>
      <c r="I131" s="165"/>
      <c r="J131" s="131"/>
      <c r="R131" s="157"/>
      <c r="S131" s="157"/>
    </row>
    <row r="132" spans="1:19" ht="13.15" thickBot="1">
      <c r="B132" s="125" t="s">
        <v>636</v>
      </c>
      <c r="G132" s="88"/>
      <c r="H132" s="125" t="s">
        <v>337</v>
      </c>
      <c r="R132" s="157"/>
      <c r="S132" s="157"/>
    </row>
    <row r="133" spans="1:19">
      <c r="G133" s="257"/>
      <c r="R133" s="157"/>
      <c r="S133" s="157"/>
    </row>
    <row r="134" spans="1:19">
      <c r="B134" s="125" t="s">
        <v>962</v>
      </c>
      <c r="R134" s="157"/>
      <c r="S134" s="157"/>
    </row>
    <row r="135" spans="1:19">
      <c r="F135" s="133" t="str">
        <f>G130&amp;" ft + "&amp;G128&amp;" in / (12 in/ft) + "&amp;G122&amp;" ft + "&amp;G132&amp;" ="</f>
        <v xml:space="preserve"> ft +  in / (12 in/ft) +  ft +  =</v>
      </c>
      <c r="G135" s="216" t="str">
        <f>TEXT(G130+G128/12+G122+G132,"0.000")</f>
        <v>0.000</v>
      </c>
      <c r="H135" s="125" t="s">
        <v>337</v>
      </c>
      <c r="I135" s="165"/>
      <c r="J135" s="131"/>
      <c r="R135" s="157"/>
      <c r="S135" s="157"/>
    </row>
    <row r="136" spans="1:19">
      <c r="F136" s="133"/>
      <c r="I136" s="167"/>
      <c r="R136" s="157"/>
      <c r="S136" s="157"/>
    </row>
    <row r="137" spans="1:19">
      <c r="A137" s="577" t="s">
        <v>441</v>
      </c>
      <c r="B137" s="577"/>
      <c r="C137" s="577"/>
      <c r="D137" s="577"/>
      <c r="E137" s="577"/>
      <c r="F137" s="577"/>
      <c r="G137" s="577"/>
      <c r="H137" s="577"/>
      <c r="I137" s="577"/>
      <c r="J137" s="577"/>
      <c r="K137" s="577"/>
      <c r="L137" s="577"/>
      <c r="M137" s="577"/>
      <c r="R137" s="157"/>
      <c r="S137" s="157"/>
    </row>
    <row r="138" spans="1:19">
      <c r="A138" s="577"/>
      <c r="B138" s="577"/>
      <c r="C138" s="577"/>
      <c r="D138" s="577"/>
      <c r="E138" s="577"/>
      <c r="F138" s="577"/>
      <c r="G138" s="577"/>
      <c r="H138" s="577"/>
      <c r="I138" s="577"/>
      <c r="J138" s="577"/>
      <c r="K138" s="577"/>
      <c r="L138" s="577"/>
      <c r="M138" s="577"/>
      <c r="R138" s="157"/>
      <c r="S138" s="157"/>
    </row>
    <row r="139" spans="1:19">
      <c r="A139" s="577"/>
      <c r="B139" s="577"/>
      <c r="C139" s="577"/>
      <c r="D139" s="577"/>
      <c r="E139" s="577"/>
      <c r="F139" s="577"/>
      <c r="G139" s="577"/>
      <c r="H139" s="577"/>
      <c r="I139" s="577"/>
      <c r="J139" s="577"/>
      <c r="K139" s="577"/>
      <c r="L139" s="577"/>
      <c r="M139" s="577"/>
      <c r="R139" s="157"/>
      <c r="S139" s="157"/>
    </row>
    <row r="140" spans="1:19">
      <c r="A140" s="137"/>
      <c r="B140" s="137"/>
      <c r="C140" s="137"/>
      <c r="D140" s="137"/>
      <c r="E140" s="137"/>
      <c r="F140" s="137"/>
      <c r="G140" s="137"/>
      <c r="H140" s="137"/>
      <c r="I140" s="137"/>
      <c r="J140" s="137"/>
      <c r="R140" s="157"/>
      <c r="S140" s="157"/>
    </row>
    <row r="141" spans="1:19" s="365" customFormat="1" ht="17.25">
      <c r="A141" s="577" t="s">
        <v>544</v>
      </c>
      <c r="B141" s="577"/>
      <c r="C141" s="577"/>
      <c r="D141" s="577"/>
      <c r="E141" s="577"/>
      <c r="F141" s="577"/>
      <c r="G141" s="577"/>
      <c r="H141" s="577"/>
      <c r="I141" s="577"/>
      <c r="J141" s="577"/>
      <c r="K141" s="577"/>
      <c r="L141" s="577"/>
      <c r="M141" s="577"/>
      <c r="R141" s="366"/>
      <c r="S141" s="366"/>
    </row>
    <row r="142" spans="1:19" s="365" customFormat="1" ht="17.25">
      <c r="A142" s="577"/>
      <c r="B142" s="577"/>
      <c r="C142" s="577"/>
      <c r="D142" s="577"/>
      <c r="E142" s="577"/>
      <c r="F142" s="577"/>
      <c r="G142" s="577"/>
      <c r="H142" s="577"/>
      <c r="I142" s="577"/>
      <c r="J142" s="577"/>
      <c r="K142" s="577"/>
      <c r="L142" s="577"/>
      <c r="M142" s="577"/>
      <c r="R142" s="366"/>
      <c r="S142" s="366"/>
    </row>
    <row r="143" spans="1:19">
      <c r="A143" s="577"/>
      <c r="B143" s="577"/>
      <c r="C143" s="577"/>
      <c r="D143" s="577"/>
      <c r="E143" s="577"/>
      <c r="F143" s="577"/>
      <c r="G143" s="577"/>
      <c r="H143" s="577"/>
      <c r="I143" s="577"/>
      <c r="J143" s="577"/>
      <c r="K143" s="577"/>
      <c r="L143" s="577"/>
      <c r="M143" s="577"/>
      <c r="R143" s="157"/>
      <c r="S143" s="157"/>
    </row>
    <row r="144" spans="1:19">
      <c r="A144" s="137"/>
      <c r="B144" s="137"/>
      <c r="C144" s="137"/>
      <c r="D144" s="153"/>
      <c r="E144" s="153"/>
      <c r="F144" s="153"/>
      <c r="G144" s="153"/>
      <c r="H144" s="153"/>
      <c r="I144" s="153"/>
      <c r="J144" s="137"/>
      <c r="R144" s="157"/>
      <c r="S144" s="157"/>
    </row>
    <row r="145" spans="1:19">
      <c r="I145" s="177"/>
      <c r="R145" s="157"/>
      <c r="S145" s="157"/>
    </row>
    <row r="146" spans="1:19">
      <c r="I146" s="177"/>
      <c r="R146" s="157"/>
      <c r="S146" s="157"/>
    </row>
    <row r="147" spans="1:19">
      <c r="I147" s="177"/>
      <c r="R147" s="157"/>
      <c r="S147" s="157"/>
    </row>
    <row r="148" spans="1:19">
      <c r="I148" s="177"/>
      <c r="R148" s="157"/>
      <c r="S148" s="157"/>
    </row>
    <row r="149" spans="1:19">
      <c r="I149" s="177"/>
      <c r="R149" s="157"/>
      <c r="S149" s="157"/>
    </row>
    <row r="150" spans="1:19">
      <c r="I150" s="177"/>
      <c r="R150" s="157"/>
      <c r="S150" s="157"/>
    </row>
    <row r="151" spans="1:19">
      <c r="I151" s="177"/>
      <c r="R151" s="157"/>
      <c r="S151" s="157"/>
    </row>
    <row r="152" spans="1:19">
      <c r="I152" s="177"/>
      <c r="R152" s="157"/>
      <c r="S152" s="157"/>
    </row>
    <row r="153" spans="1:19">
      <c r="R153" s="157"/>
      <c r="S153" s="157"/>
    </row>
    <row r="154" spans="1:19">
      <c r="R154" s="157"/>
      <c r="S154" s="157"/>
    </row>
    <row r="155" spans="1:19">
      <c r="R155" s="157"/>
      <c r="S155" s="157"/>
    </row>
    <row r="156" spans="1:19">
      <c r="B156" s="125" t="str">
        <f>"Moment of inertia of "&amp;ngirder&amp;" "&amp;IF(girdertype="I","I-girders","box girders")&amp;" about the longitudinal axis of the bridge:"</f>
        <v>Moment of inertia of  box girders about the longitudinal axis of the bridge:</v>
      </c>
      <c r="I156" s="167"/>
      <c r="R156" s="157"/>
      <c r="S156" s="157"/>
    </row>
    <row r="157" spans="1:19" ht="14.25">
      <c r="F157" s="133" t="str">
        <f>+ngirder&amp;"("&amp;ngirder&amp;"^2 - 1)(("&amp;G117&amp;" ft)^2)/12 ="</f>
        <v>(^2 - 1)(( ft)^2)/12 =</v>
      </c>
      <c r="G157" s="167">
        <f>+G115*(G115-1)*(G115+1)*G117^2/12</f>
        <v>0</v>
      </c>
      <c r="H157" s="125" t="s">
        <v>309</v>
      </c>
      <c r="I157" s="178"/>
      <c r="J157" s="131"/>
      <c r="R157" s="157"/>
      <c r="S157" s="157"/>
    </row>
    <row r="158" spans="1:19">
      <c r="R158" s="157"/>
      <c r="S158" s="157"/>
    </row>
    <row r="159" spans="1:19" ht="13.15">
      <c r="A159" s="253" t="s">
        <v>780</v>
      </c>
      <c r="R159" s="157"/>
      <c r="S159" s="157"/>
    </row>
    <row r="160" spans="1:19" ht="13.15">
      <c r="A160" s="253"/>
      <c r="R160" s="157"/>
      <c r="S160" s="157"/>
    </row>
    <row r="161" spans="1:19">
      <c r="A161" s="577" t="s">
        <v>442</v>
      </c>
      <c r="B161" s="577"/>
      <c r="C161" s="577"/>
      <c r="D161" s="577"/>
      <c r="E161" s="577"/>
      <c r="F161" s="577"/>
      <c r="G161" s="577"/>
      <c r="H161" s="577"/>
      <c r="I161" s="577"/>
      <c r="J161" s="577"/>
      <c r="K161" s="577"/>
      <c r="L161" s="577"/>
      <c r="M161" s="577"/>
      <c r="R161" s="157"/>
      <c r="S161" s="157"/>
    </row>
    <row r="162" spans="1:19">
      <c r="A162" s="577"/>
      <c r="B162" s="577"/>
      <c r="C162" s="577"/>
      <c r="D162" s="577"/>
      <c r="E162" s="577"/>
      <c r="F162" s="577"/>
      <c r="G162" s="577"/>
      <c r="H162" s="577"/>
      <c r="I162" s="577"/>
      <c r="J162" s="577"/>
      <c r="K162" s="577"/>
      <c r="L162" s="577"/>
      <c r="M162" s="577"/>
      <c r="R162" s="157"/>
      <c r="S162" s="157"/>
    </row>
    <row r="163" spans="1:19">
      <c r="A163" s="577"/>
      <c r="B163" s="577"/>
      <c r="C163" s="577"/>
      <c r="D163" s="577"/>
      <c r="E163" s="577"/>
      <c r="F163" s="577"/>
      <c r="G163" s="577"/>
      <c r="H163" s="577"/>
      <c r="I163" s="577"/>
      <c r="J163" s="577"/>
      <c r="K163" s="577"/>
      <c r="L163" s="577"/>
      <c r="M163" s="577"/>
      <c r="R163" s="157"/>
      <c r="S163" s="157"/>
    </row>
    <row r="164" spans="1:19">
      <c r="R164" s="157"/>
      <c r="S164" s="157"/>
    </row>
    <row r="165" spans="1:19">
      <c r="A165" s="581" t="s">
        <v>443</v>
      </c>
      <c r="B165" s="581"/>
      <c r="C165" s="581"/>
      <c r="D165" s="581"/>
      <c r="E165" s="581"/>
      <c r="F165" s="581"/>
      <c r="G165" s="581"/>
      <c r="H165" s="581"/>
      <c r="I165" s="581"/>
      <c r="J165" s="581"/>
      <c r="K165" s="581"/>
      <c r="L165" s="581"/>
      <c r="M165" s="581"/>
      <c r="R165" s="157"/>
      <c r="S165" s="157"/>
    </row>
    <row r="166" spans="1:19">
      <c r="A166" s="581"/>
      <c r="B166" s="581"/>
      <c r="C166" s="581"/>
      <c r="D166" s="581"/>
      <c r="E166" s="581"/>
      <c r="F166" s="581"/>
      <c r="G166" s="581"/>
      <c r="H166" s="581"/>
      <c r="I166" s="581"/>
      <c r="J166" s="581"/>
      <c r="K166" s="581"/>
      <c r="L166" s="581"/>
      <c r="M166" s="581"/>
      <c r="R166" s="157"/>
      <c r="S166" s="157"/>
    </row>
    <row r="167" spans="1:19">
      <c r="A167" s="136"/>
      <c r="B167" s="136"/>
      <c r="C167" s="136"/>
      <c r="D167" s="136"/>
      <c r="E167" s="136"/>
      <c r="F167" s="136"/>
      <c r="G167" s="136"/>
      <c r="H167" s="136"/>
      <c r="I167" s="136"/>
      <c r="J167" s="136"/>
      <c r="R167" s="157"/>
      <c r="S167" s="157"/>
    </row>
    <row r="168" spans="1:19">
      <c r="B168" s="125" t="s">
        <v>362</v>
      </c>
      <c r="F168" s="133" t="str">
        <f>"("&amp;+width&amp;+IF(H240="D","+2.333","")&amp;") / sin "&amp;skew&amp;" ="</f>
        <v>() / sin  =</v>
      </c>
      <c r="G168" s="89" t="e">
        <f>+G76/SIN(I62)+IF(H240="D",2*14/12/SIN(I62),0)</f>
        <v>#DIV/0!</v>
      </c>
      <c r="H168" s="125" t="s">
        <v>337</v>
      </c>
      <c r="I168" s="165"/>
      <c r="J168" s="131"/>
      <c r="R168" s="157"/>
      <c r="S168" s="157"/>
    </row>
    <row r="169" spans="1:19">
      <c r="F169" s="133"/>
      <c r="G169" s="177"/>
      <c r="I169" s="167"/>
      <c r="R169" s="157"/>
      <c r="S169" s="157"/>
    </row>
    <row r="170" spans="1:19">
      <c r="A170" s="596" t="s">
        <v>171</v>
      </c>
      <c r="B170" s="596"/>
      <c r="C170" s="596"/>
      <c r="D170" s="596"/>
      <c r="E170" s="596"/>
      <c r="F170" s="596"/>
      <c r="G170" s="596"/>
      <c r="H170" s="596"/>
      <c r="I170" s="596"/>
      <c r="J170" s="596"/>
      <c r="K170" s="596"/>
      <c r="L170" s="596"/>
      <c r="M170" s="596"/>
      <c r="R170" s="157"/>
      <c r="S170" s="157"/>
    </row>
    <row r="171" spans="1:19">
      <c r="A171" s="596"/>
      <c r="B171" s="596"/>
      <c r="C171" s="596"/>
      <c r="D171" s="596"/>
      <c r="E171" s="596"/>
      <c r="F171" s="596"/>
      <c r="G171" s="596"/>
      <c r="H171" s="596"/>
      <c r="I171" s="596"/>
      <c r="J171" s="596"/>
      <c r="K171" s="596"/>
      <c r="L171" s="596"/>
      <c r="M171" s="596"/>
      <c r="R171" s="157"/>
      <c r="S171" s="157"/>
    </row>
    <row r="172" spans="1:19">
      <c r="A172" s="136"/>
      <c r="B172" s="136"/>
      <c r="C172" s="136"/>
      <c r="D172" s="136"/>
      <c r="E172" s="136"/>
      <c r="F172" s="136"/>
      <c r="G172" s="136"/>
      <c r="H172" s="136"/>
      <c r="I172" s="136"/>
      <c r="J172" s="136"/>
      <c r="R172" s="157"/>
      <c r="S172" s="157"/>
    </row>
    <row r="173" spans="1:19">
      <c r="B173" s="125" t="s">
        <v>836</v>
      </c>
      <c r="G173" s="125">
        <v>4</v>
      </c>
      <c r="H173" s="125" t="s">
        <v>337</v>
      </c>
      <c r="I173" s="165"/>
      <c r="J173" s="131"/>
      <c r="R173" s="157"/>
      <c r="S173" s="157"/>
    </row>
    <row r="174" spans="1:19">
      <c r="I174" s="167"/>
      <c r="R174" s="157"/>
      <c r="S174" s="157"/>
    </row>
    <row r="175" spans="1:19">
      <c r="A175" s="583" t="s">
        <v>172</v>
      </c>
      <c r="B175" s="583"/>
      <c r="C175" s="583"/>
      <c r="D175" s="583"/>
      <c r="E175" s="583"/>
      <c r="F175" s="583"/>
      <c r="G175" s="583"/>
      <c r="H175" s="583"/>
      <c r="I175" s="583"/>
      <c r="J175" s="583"/>
      <c r="K175" s="583"/>
      <c r="L175" s="583"/>
      <c r="M175" s="583"/>
      <c r="R175" s="157"/>
      <c r="S175" s="157"/>
    </row>
    <row r="176" spans="1:19">
      <c r="A176" s="583"/>
      <c r="B176" s="583"/>
      <c r="C176" s="583"/>
      <c r="D176" s="583"/>
      <c r="E176" s="583"/>
      <c r="F176" s="583"/>
      <c r="G176" s="583"/>
      <c r="H176" s="583"/>
      <c r="I176" s="583"/>
      <c r="J176" s="583"/>
      <c r="K176" s="583"/>
      <c r="L176" s="583"/>
      <c r="M176" s="583"/>
      <c r="R176" s="157"/>
      <c r="S176" s="157"/>
    </row>
    <row r="177" spans="1:19">
      <c r="A177" s="583"/>
      <c r="B177" s="583"/>
      <c r="C177" s="583"/>
      <c r="D177" s="583"/>
      <c r="E177" s="583"/>
      <c r="F177" s="583"/>
      <c r="G177" s="583"/>
      <c r="H177" s="583"/>
      <c r="I177" s="583"/>
      <c r="J177" s="583"/>
      <c r="K177" s="583"/>
      <c r="L177" s="583"/>
      <c r="M177" s="583"/>
      <c r="R177" s="157"/>
      <c r="S177" s="157"/>
    </row>
    <row r="178" spans="1:19">
      <c r="A178" s="137"/>
      <c r="B178" s="137"/>
      <c r="C178" s="137"/>
      <c r="D178" s="137"/>
      <c r="E178" s="137"/>
      <c r="F178" s="137"/>
      <c r="G178" s="137"/>
      <c r="H178" s="137"/>
      <c r="I178" s="137"/>
      <c r="J178" s="137"/>
      <c r="R178" s="157"/>
      <c r="S178" s="157"/>
    </row>
    <row r="179" spans="1:19">
      <c r="A179" s="583" t="s">
        <v>173</v>
      </c>
      <c r="B179" s="583"/>
      <c r="C179" s="583"/>
      <c r="D179" s="583"/>
      <c r="E179" s="583"/>
      <c r="F179" s="583"/>
      <c r="G179" s="583"/>
      <c r="H179" s="583"/>
      <c r="I179" s="583"/>
      <c r="J179" s="583"/>
      <c r="K179" s="583"/>
      <c r="L179" s="583"/>
      <c r="M179" s="583"/>
      <c r="R179" s="157"/>
      <c r="S179" s="157"/>
    </row>
    <row r="180" spans="1:19">
      <c r="A180" s="583"/>
      <c r="B180" s="583"/>
      <c r="C180" s="583"/>
      <c r="D180" s="583"/>
      <c r="E180" s="583"/>
      <c r="F180" s="583"/>
      <c r="G180" s="583"/>
      <c r="H180" s="583"/>
      <c r="I180" s="583"/>
      <c r="J180" s="583"/>
      <c r="K180" s="583"/>
      <c r="L180" s="583"/>
      <c r="M180" s="583"/>
      <c r="R180" s="157"/>
      <c r="S180" s="157"/>
    </row>
    <row r="181" spans="1:19">
      <c r="A181" s="583"/>
      <c r="B181" s="583"/>
      <c r="C181" s="583"/>
      <c r="D181" s="583"/>
      <c r="E181" s="583"/>
      <c r="F181" s="583"/>
      <c r="G181" s="583"/>
      <c r="H181" s="583"/>
      <c r="I181" s="583"/>
      <c r="J181" s="583"/>
      <c r="K181" s="583"/>
      <c r="L181" s="583"/>
      <c r="M181" s="583"/>
      <c r="R181" s="157"/>
      <c r="S181" s="157"/>
    </row>
    <row r="182" spans="1:19" ht="13.15" thickBot="1">
      <c r="A182" s="137"/>
      <c r="B182" s="137"/>
      <c r="C182" s="137"/>
      <c r="D182" s="137"/>
      <c r="E182" s="137"/>
      <c r="F182" s="137"/>
      <c r="G182" s="137"/>
      <c r="H182" s="137"/>
      <c r="I182" s="137"/>
      <c r="J182" s="137"/>
      <c r="R182" s="157"/>
      <c r="S182" s="157"/>
    </row>
    <row r="183" spans="1:19" ht="15.4" thickBot="1">
      <c r="B183" s="139" t="s">
        <v>444</v>
      </c>
      <c r="G183" s="88"/>
      <c r="H183" s="125" t="s">
        <v>337</v>
      </c>
      <c r="I183" s="165"/>
      <c r="J183" s="131"/>
      <c r="R183" s="157"/>
      <c r="S183" s="157"/>
    </row>
    <row r="184" spans="1:19">
      <c r="B184" s="139"/>
      <c r="G184" s="257"/>
      <c r="I184" s="165"/>
      <c r="J184" s="131"/>
      <c r="R184" s="157"/>
      <c r="S184" s="157"/>
    </row>
    <row r="185" spans="1:19" ht="15.4" thickBot="1">
      <c r="B185" s="139" t="s">
        <v>174</v>
      </c>
      <c r="R185" s="157"/>
      <c r="S185" s="157"/>
    </row>
    <row r="186" spans="1:19" ht="13.15" thickBot="1">
      <c r="G186" s="88"/>
      <c r="H186" s="125" t="s">
        <v>337</v>
      </c>
      <c r="I186" s="165"/>
      <c r="J186" s="131"/>
      <c r="R186" s="157"/>
      <c r="S186" s="157"/>
    </row>
    <row r="187" spans="1:19" ht="13.15" thickBot="1">
      <c r="B187" s="139"/>
      <c r="G187" s="258"/>
      <c r="I187" s="165"/>
      <c r="J187" s="131"/>
      <c r="R187" s="157"/>
      <c r="S187" s="157"/>
    </row>
    <row r="188" spans="1:19" ht="15.4" thickBot="1">
      <c r="B188" s="139" t="s">
        <v>445</v>
      </c>
      <c r="G188" s="88"/>
      <c r="H188" s="125" t="s">
        <v>337</v>
      </c>
      <c r="I188" s="165"/>
      <c r="J188" s="131"/>
      <c r="R188" s="157"/>
      <c r="S188" s="157"/>
    </row>
    <row r="189" spans="1:19">
      <c r="B189" s="163" t="str">
        <f>IF(MIN(G183:G188)&lt;3.25,"Error - minimum pile cap height is 3.25 ft","")</f>
        <v>Error - minimum pile cap height is 3.25 ft</v>
      </c>
      <c r="I189" s="167"/>
      <c r="R189" s="157">
        <f>IF(LEFT(B189,5)="Error",1,0)</f>
        <v>1</v>
      </c>
      <c r="S189" s="157">
        <f>IF(LEFT(B189,5)="Warni",1,0)</f>
        <v>0</v>
      </c>
    </row>
    <row r="190" spans="1:19" ht="15">
      <c r="B190" s="125" t="s">
        <v>764</v>
      </c>
      <c r="I190" s="179" t="str">
        <f>"| "&amp;FIXED(G183,3,TRUE)&amp;" - "&amp;FIXED(G188,3,TRUE)&amp;" | ="</f>
        <v>| 0.000 - 0.000 | =</v>
      </c>
      <c r="J190" s="125">
        <f>+ABS(G183-G188)</f>
        <v>0</v>
      </c>
      <c r="K190" s="125" t="s">
        <v>337</v>
      </c>
      <c r="R190" s="157"/>
      <c r="S190" s="157"/>
    </row>
    <row r="191" spans="1:19">
      <c r="B191" s="599" t="str">
        <f>+IF(skew&lt;80,IF(MAX(G183,G186,G188)-MIN(G183,G186,G188)&gt;1,"Error - difference between ends of pile cap are limited to 1 ft for skews less than 80 degrees - bottom of cap must be sloped"," "),IF(MAX(G183,G186,G188)-MIN(G183,G186,G188)&gt;1.5,"Error - difference between ends of pile cap are limited to 1.5 ft for skews of 80 degrees or greater - bottom of cap must be sloped"," "))</f>
        <v xml:space="preserve"> </v>
      </c>
      <c r="C191" s="599"/>
      <c r="D191" s="599"/>
      <c r="E191" s="599"/>
      <c r="F191" s="599"/>
      <c r="G191" s="599"/>
      <c r="H191" s="599"/>
      <c r="I191" s="599"/>
      <c r="J191" s="599"/>
      <c r="K191" s="599"/>
      <c r="L191" s="599"/>
      <c r="M191" s="599"/>
      <c r="R191" s="157">
        <f>IF(LEFT(B191,5)="Error",1,0)</f>
        <v>0</v>
      </c>
      <c r="S191" s="157">
        <f>IF(LEFT(B191,5)="Warni",1,0)</f>
        <v>0</v>
      </c>
    </row>
    <row r="192" spans="1:19">
      <c r="B192" s="599"/>
      <c r="C192" s="599"/>
      <c r="D192" s="599"/>
      <c r="E192" s="599"/>
      <c r="F192" s="599"/>
      <c r="G192" s="599"/>
      <c r="H192" s="599"/>
      <c r="I192" s="599"/>
      <c r="J192" s="599"/>
      <c r="K192" s="599"/>
      <c r="L192" s="599"/>
      <c r="M192" s="599"/>
      <c r="R192" s="157"/>
      <c r="S192" s="157"/>
    </row>
    <row r="193" spans="1:19">
      <c r="A193" s="577" t="s">
        <v>712</v>
      </c>
      <c r="B193" s="577"/>
      <c r="C193" s="577"/>
      <c r="D193" s="577"/>
      <c r="E193" s="577"/>
      <c r="F193" s="577"/>
      <c r="G193" s="577"/>
      <c r="H193" s="577"/>
      <c r="I193" s="577"/>
      <c r="J193" s="577"/>
      <c r="K193" s="577"/>
      <c r="L193" s="577"/>
      <c r="M193" s="577"/>
      <c r="R193" s="157"/>
      <c r="S193" s="157"/>
    </row>
    <row r="194" spans="1:19">
      <c r="A194" s="577"/>
      <c r="B194" s="577"/>
      <c r="C194" s="577"/>
      <c r="D194" s="577"/>
      <c r="E194" s="577"/>
      <c r="F194" s="577"/>
      <c r="G194" s="577"/>
      <c r="H194" s="577"/>
      <c r="I194" s="577"/>
      <c r="J194" s="577"/>
      <c r="K194" s="577"/>
      <c r="L194" s="577"/>
      <c r="M194" s="577"/>
      <c r="R194" s="157"/>
      <c r="S194" s="157"/>
    </row>
    <row r="195" spans="1:19">
      <c r="A195" s="577"/>
      <c r="B195" s="577"/>
      <c r="C195" s="577"/>
      <c r="D195" s="577"/>
      <c r="E195" s="577"/>
      <c r="F195" s="577"/>
      <c r="G195" s="577"/>
      <c r="H195" s="577"/>
      <c r="I195" s="577"/>
      <c r="J195" s="577"/>
      <c r="K195" s="577"/>
      <c r="L195" s="577"/>
      <c r="M195" s="577"/>
      <c r="R195" s="157"/>
      <c r="S195" s="157"/>
    </row>
    <row r="196" spans="1:19">
      <c r="A196" s="577"/>
      <c r="B196" s="577"/>
      <c r="C196" s="577"/>
      <c r="D196" s="577"/>
      <c r="E196" s="577"/>
      <c r="F196" s="577"/>
      <c r="G196" s="577"/>
      <c r="H196" s="577"/>
      <c r="I196" s="577"/>
      <c r="J196" s="577"/>
      <c r="K196" s="577"/>
      <c r="L196" s="577"/>
      <c r="M196" s="577"/>
      <c r="R196" s="157"/>
      <c r="S196" s="157"/>
    </row>
    <row r="197" spans="1:19">
      <c r="A197" s="577"/>
      <c r="B197" s="577"/>
      <c r="C197" s="577"/>
      <c r="D197" s="577"/>
      <c r="E197" s="577"/>
      <c r="F197" s="577"/>
      <c r="G197" s="577"/>
      <c r="H197" s="577"/>
      <c r="I197" s="577"/>
      <c r="J197" s="577"/>
      <c r="K197" s="577"/>
      <c r="L197" s="577"/>
      <c r="M197" s="577"/>
      <c r="R197" s="157"/>
      <c r="S197" s="157"/>
    </row>
    <row r="198" spans="1:19">
      <c r="A198" s="137"/>
      <c r="B198" s="137"/>
      <c r="C198" s="137"/>
      <c r="D198" s="137"/>
      <c r="E198" s="137"/>
      <c r="F198" s="137"/>
      <c r="G198" s="137"/>
      <c r="H198" s="137"/>
      <c r="I198" s="137"/>
      <c r="J198" s="137"/>
      <c r="R198" s="157"/>
      <c r="S198" s="157"/>
    </row>
    <row r="199" spans="1:19">
      <c r="A199" s="137"/>
      <c r="B199" s="137"/>
      <c r="C199" s="137"/>
      <c r="D199" s="137"/>
      <c r="E199" s="137"/>
      <c r="F199" s="137"/>
      <c r="G199" s="137"/>
      <c r="H199" s="137"/>
      <c r="I199" s="137"/>
      <c r="J199" s="137"/>
      <c r="R199" s="157"/>
      <c r="S199" s="157"/>
    </row>
    <row r="200" spans="1:19">
      <c r="A200" s="137"/>
      <c r="B200" s="137"/>
      <c r="C200" s="137"/>
      <c r="D200" s="137"/>
      <c r="E200" s="137"/>
      <c r="F200" s="137"/>
      <c r="G200" s="137"/>
      <c r="H200" s="137"/>
      <c r="I200" s="137"/>
      <c r="J200" s="137"/>
      <c r="R200" s="157"/>
      <c r="S200" s="157"/>
    </row>
    <row r="201" spans="1:19">
      <c r="A201" s="137"/>
      <c r="B201" s="137"/>
      <c r="C201" s="137"/>
      <c r="D201" s="137"/>
      <c r="E201" s="137"/>
      <c r="F201" s="137"/>
      <c r="G201" s="137"/>
      <c r="H201" s="137"/>
      <c r="I201" s="137"/>
      <c r="J201" s="137"/>
      <c r="R201" s="157"/>
      <c r="S201" s="157"/>
    </row>
    <row r="202" spans="1:19">
      <c r="A202" s="137"/>
      <c r="B202" s="137"/>
      <c r="C202" s="137"/>
      <c r="D202" s="137"/>
      <c r="E202" s="137"/>
      <c r="F202" s="137"/>
      <c r="G202" s="137"/>
      <c r="H202" s="137"/>
      <c r="I202" s="137"/>
      <c r="J202" s="137"/>
      <c r="R202" s="157"/>
      <c r="S202" s="157"/>
    </row>
    <row r="203" spans="1:19">
      <c r="A203" s="137"/>
      <c r="D203" s="137"/>
      <c r="E203" s="137"/>
      <c r="I203" s="137"/>
      <c r="J203" s="137"/>
      <c r="R203" s="157"/>
      <c r="S203" s="157"/>
    </row>
    <row r="204" spans="1:19">
      <c r="B204" s="125" t="s">
        <v>570</v>
      </c>
      <c r="G204" s="133" t="str">
        <f>+"("&amp;G183&amp;"+"&amp;G188&amp;")/4 + "&amp;G186&amp;"/2 ="</f>
        <v>(+)/4 + /2 =</v>
      </c>
      <c r="H204" s="125">
        <f>+(G183+G188)/4+G186/2</f>
        <v>0</v>
      </c>
      <c r="I204" s="125" t="s">
        <v>337</v>
      </c>
      <c r="J204" s="165"/>
      <c r="K204" s="131"/>
      <c r="R204" s="157"/>
      <c r="S204" s="157"/>
    </row>
    <row r="205" spans="1:19">
      <c r="G205" s="133"/>
      <c r="J205" s="165"/>
      <c r="K205" s="131"/>
      <c r="R205" s="157"/>
      <c r="S205" s="157"/>
    </row>
    <row r="206" spans="1:19">
      <c r="A206" s="125" t="s">
        <v>446</v>
      </c>
      <c r="R206" s="157"/>
      <c r="S206" s="157"/>
    </row>
    <row r="207" spans="1:19">
      <c r="B207" s="125" t="s">
        <v>383</v>
      </c>
      <c r="G207" s="133" t="str">
        <f>+G128&amp;"/12 + "&amp;G122&amp;" + "&amp;G125&amp;"/12 ="</f>
        <v>/12 +  + /12 =</v>
      </c>
      <c r="H207" s="89">
        <f>+G122+G128/12+G125/12</f>
        <v>0</v>
      </c>
      <c r="I207" s="125" t="s">
        <v>337</v>
      </c>
      <c r="J207" s="165"/>
      <c r="K207" s="131"/>
      <c r="R207" s="157"/>
      <c r="S207" s="157"/>
    </row>
    <row r="208" spans="1:19">
      <c r="G208" s="133"/>
      <c r="H208" s="89"/>
      <c r="J208" s="165"/>
      <c r="K208" s="131"/>
      <c r="R208" s="157"/>
      <c r="S208" s="157"/>
    </row>
    <row r="209" spans="1:19">
      <c r="A209" s="125" t="s">
        <v>571</v>
      </c>
      <c r="G209" s="133"/>
      <c r="J209" s="167"/>
      <c r="R209" s="157"/>
      <c r="S209" s="157"/>
    </row>
    <row r="210" spans="1:19">
      <c r="B210" s="125" t="s">
        <v>222</v>
      </c>
      <c r="G210" s="133" t="str">
        <f>+FIXED(H207,3,TRUE)&amp;" + "&amp;FIXED(H204,3,TRUE)&amp;" ="</f>
        <v>0.000 + 0.000 =</v>
      </c>
      <c r="H210" s="89">
        <f>+H204+H207</f>
        <v>0</v>
      </c>
      <c r="I210" s="125" t="s">
        <v>337</v>
      </c>
      <c r="J210" s="165"/>
      <c r="K210" s="131"/>
      <c r="R210" s="157"/>
      <c r="S210" s="157"/>
    </row>
    <row r="211" spans="1:19">
      <c r="F211" s="133"/>
      <c r="I211" s="167"/>
      <c r="M211" s="131"/>
      <c r="R211" s="157"/>
      <c r="S211" s="157"/>
    </row>
    <row r="212" spans="1:19" ht="13.15">
      <c r="A212" s="253" t="s">
        <v>175</v>
      </c>
      <c r="I212" s="167"/>
      <c r="R212" s="157"/>
      <c r="S212" s="157"/>
    </row>
    <row r="213" spans="1:19" ht="12.75" customHeight="1">
      <c r="A213" s="253"/>
      <c r="I213" s="167"/>
      <c r="R213" s="157"/>
      <c r="S213" s="157"/>
    </row>
    <row r="214" spans="1:19">
      <c r="A214" s="600" t="s">
        <v>978</v>
      </c>
      <c r="B214" s="600"/>
      <c r="C214" s="600"/>
      <c r="D214" s="600"/>
      <c r="E214" s="600"/>
      <c r="F214" s="600"/>
      <c r="G214" s="600"/>
      <c r="H214" s="600"/>
      <c r="I214" s="600"/>
      <c r="J214" s="600"/>
      <c r="K214" s="600"/>
      <c r="L214" s="600"/>
      <c r="M214" s="600"/>
      <c r="R214" s="157"/>
      <c r="S214" s="157"/>
    </row>
    <row r="215" spans="1:19">
      <c r="A215" s="600"/>
      <c r="B215" s="600"/>
      <c r="C215" s="600"/>
      <c r="D215" s="600"/>
      <c r="E215" s="600"/>
      <c r="F215" s="600"/>
      <c r="G215" s="600"/>
      <c r="H215" s="600"/>
      <c r="I215" s="600"/>
      <c r="J215" s="600"/>
      <c r="K215" s="600"/>
      <c r="L215" s="600"/>
      <c r="M215" s="600"/>
      <c r="R215" s="157"/>
      <c r="S215" s="157"/>
    </row>
    <row r="216" spans="1:19">
      <c r="A216" s="600"/>
      <c r="B216" s="600"/>
      <c r="C216" s="600"/>
      <c r="D216" s="600"/>
      <c r="E216" s="600"/>
      <c r="F216" s="600"/>
      <c r="G216" s="600"/>
      <c r="H216" s="600"/>
      <c r="I216" s="600"/>
      <c r="J216" s="600"/>
      <c r="K216" s="600"/>
      <c r="L216" s="600"/>
      <c r="M216" s="600"/>
      <c r="R216" s="157"/>
      <c r="S216" s="157"/>
    </row>
    <row r="217" spans="1:19">
      <c r="A217" s="600"/>
      <c r="B217" s="600"/>
      <c r="C217" s="600"/>
      <c r="D217" s="600"/>
      <c r="E217" s="600"/>
      <c r="F217" s="600"/>
      <c r="G217" s="600"/>
      <c r="H217" s="600"/>
      <c r="I217" s="600"/>
      <c r="J217" s="600"/>
      <c r="K217" s="600"/>
      <c r="L217" s="600"/>
      <c r="M217" s="600"/>
      <c r="R217" s="157"/>
      <c r="S217" s="157"/>
    </row>
    <row r="218" spans="1:19">
      <c r="A218" s="600"/>
      <c r="B218" s="600"/>
      <c r="C218" s="600"/>
      <c r="D218" s="600"/>
      <c r="E218" s="600"/>
      <c r="F218" s="600"/>
      <c r="G218" s="600"/>
      <c r="H218" s="600"/>
      <c r="I218" s="600"/>
      <c r="J218" s="600"/>
      <c r="K218" s="600"/>
      <c r="L218" s="600"/>
      <c r="M218" s="600"/>
      <c r="R218" s="157"/>
      <c r="S218" s="157"/>
    </row>
    <row r="219" spans="1:19">
      <c r="A219" s="600"/>
      <c r="B219" s="600"/>
      <c r="C219" s="600"/>
      <c r="D219" s="600"/>
      <c r="E219" s="600"/>
      <c r="F219" s="600"/>
      <c r="G219" s="600"/>
      <c r="H219" s="600"/>
      <c r="I219" s="600"/>
      <c r="J219" s="600"/>
      <c r="K219" s="600"/>
      <c r="L219" s="600"/>
      <c r="M219" s="600"/>
      <c r="R219" s="157"/>
      <c r="S219" s="157"/>
    </row>
    <row r="220" spans="1:19">
      <c r="A220" s="137"/>
      <c r="B220" s="137"/>
      <c r="C220" s="137"/>
      <c r="D220" s="137"/>
      <c r="E220" s="137"/>
      <c r="F220" s="137"/>
      <c r="G220" s="137"/>
      <c r="H220" s="137"/>
      <c r="I220" s="137"/>
      <c r="J220" s="137"/>
      <c r="R220" s="157"/>
      <c r="S220" s="157"/>
    </row>
    <row r="221" spans="1:19">
      <c r="A221" s="137"/>
      <c r="B221" s="137"/>
      <c r="C221" s="137"/>
      <c r="D221" s="137"/>
      <c r="E221" s="137"/>
      <c r="F221" s="137"/>
      <c r="G221" s="137"/>
      <c r="H221" s="137"/>
      <c r="I221" s="137"/>
      <c r="J221" s="137"/>
      <c r="R221" s="157"/>
      <c r="S221" s="157"/>
    </row>
    <row r="222" spans="1:19">
      <c r="A222" s="137"/>
      <c r="B222" s="137"/>
      <c r="C222" s="137"/>
      <c r="D222" s="137"/>
      <c r="E222" s="137"/>
      <c r="F222" s="137"/>
      <c r="G222" s="137"/>
      <c r="H222" s="137"/>
      <c r="I222" s="137"/>
      <c r="J222" s="137"/>
      <c r="R222" s="157"/>
      <c r="S222" s="157"/>
    </row>
    <row r="223" spans="1:19">
      <c r="A223" s="137"/>
      <c r="B223" s="137"/>
      <c r="C223" s="137"/>
      <c r="D223" s="137"/>
      <c r="E223" s="137"/>
      <c r="F223" s="137"/>
      <c r="G223" s="137"/>
      <c r="H223" s="137"/>
      <c r="I223" s="137"/>
      <c r="J223" s="137"/>
      <c r="R223" s="157"/>
      <c r="S223" s="157"/>
    </row>
    <row r="224" spans="1:19">
      <c r="A224" s="137"/>
      <c r="B224" s="137"/>
      <c r="C224" s="137"/>
      <c r="D224" s="137"/>
      <c r="E224" s="137"/>
      <c r="F224" s="137"/>
      <c r="G224" s="137"/>
      <c r="H224" s="137"/>
      <c r="I224" s="137"/>
      <c r="J224" s="137"/>
      <c r="R224" s="157"/>
      <c r="S224" s="157"/>
    </row>
    <row r="225" spans="1:19">
      <c r="A225" s="137"/>
      <c r="B225" s="137"/>
      <c r="C225" s="137"/>
      <c r="D225" s="137"/>
      <c r="E225" s="137"/>
      <c r="F225" s="137"/>
      <c r="G225" s="137"/>
      <c r="H225" s="137"/>
      <c r="I225" s="137"/>
      <c r="J225" s="137"/>
      <c r="R225" s="157"/>
      <c r="S225" s="157"/>
    </row>
    <row r="226" spans="1:19">
      <c r="I226" s="167"/>
      <c r="R226" s="157"/>
      <c r="S226" s="157"/>
    </row>
    <row r="227" spans="1:19">
      <c r="I227" s="167"/>
      <c r="R227" s="157"/>
      <c r="S227" s="157"/>
    </row>
    <row r="228" spans="1:19">
      <c r="I228" s="167"/>
      <c r="R228" s="157"/>
      <c r="S228" s="157"/>
    </row>
    <row r="229" spans="1:19">
      <c r="I229" s="167"/>
      <c r="R229" s="157"/>
      <c r="S229" s="157"/>
    </row>
    <row r="230" spans="1:19">
      <c r="I230" s="167"/>
      <c r="R230" s="157"/>
      <c r="S230" s="157"/>
    </row>
    <row r="231" spans="1:19">
      <c r="I231" s="167"/>
      <c r="R231" s="157"/>
      <c r="S231" s="157"/>
    </row>
    <row r="232" spans="1:19">
      <c r="I232" s="167"/>
      <c r="R232" s="157"/>
      <c r="S232" s="157"/>
    </row>
    <row r="233" spans="1:19">
      <c r="I233" s="167"/>
      <c r="R233" s="157"/>
      <c r="S233" s="157"/>
    </row>
    <row r="234" spans="1:19">
      <c r="I234" s="167"/>
      <c r="R234" s="157"/>
      <c r="S234" s="157"/>
    </row>
    <row r="235" spans="1:19">
      <c r="I235" s="167"/>
      <c r="R235" s="157"/>
      <c r="S235" s="157"/>
    </row>
    <row r="236" spans="1:19">
      <c r="I236" s="167"/>
      <c r="R236" s="157"/>
      <c r="S236" s="157"/>
    </row>
    <row r="237" spans="1:19">
      <c r="I237" s="167"/>
      <c r="R237" s="157"/>
      <c r="S237" s="157"/>
    </row>
    <row r="238" spans="1:19">
      <c r="I238" s="167"/>
      <c r="R238" s="157"/>
      <c r="S238" s="157"/>
    </row>
    <row r="239" spans="1:19" ht="13.15" thickBot="1">
      <c r="I239" s="167"/>
      <c r="R239" s="157"/>
      <c r="S239" s="157"/>
    </row>
    <row r="240" spans="1:19" ht="13.15" thickBot="1">
      <c r="B240" s="125" t="s">
        <v>771</v>
      </c>
      <c r="H240" s="45"/>
      <c r="I240" s="167"/>
      <c r="K240" s="168"/>
      <c r="R240" s="157"/>
      <c r="S240" s="157"/>
    </row>
    <row r="241" spans="1:19" ht="13.15" thickBot="1">
      <c r="B241" s="125" t="s">
        <v>977</v>
      </c>
      <c r="H241" s="88"/>
      <c r="I241" s="125" t="s">
        <v>337</v>
      </c>
      <c r="J241" s="131"/>
      <c r="R241" s="157"/>
      <c r="S241" s="157"/>
    </row>
    <row r="242" spans="1:19">
      <c r="B242" s="597" t="s">
        <v>979</v>
      </c>
      <c r="C242" s="597"/>
      <c r="D242" s="597"/>
      <c r="E242" s="597"/>
      <c r="F242" s="597"/>
      <c r="G242" s="597"/>
      <c r="H242" s="597"/>
      <c r="I242" s="597"/>
      <c r="J242" s="597"/>
      <c r="K242" s="597"/>
      <c r="L242" s="597"/>
      <c r="M242" s="597"/>
      <c r="R242" s="157">
        <f>IF(LEFT(B242,5)="Error",1,0)</f>
        <v>0</v>
      </c>
      <c r="S242" s="157">
        <f>IF(LEFT(B242,5)="Warni",1,0)</f>
        <v>0</v>
      </c>
    </row>
    <row r="243" spans="1:19">
      <c r="B243" s="597"/>
      <c r="C243" s="597"/>
      <c r="D243" s="597"/>
      <c r="E243" s="597"/>
      <c r="F243" s="597"/>
      <c r="G243" s="597"/>
      <c r="H243" s="597"/>
      <c r="I243" s="597"/>
      <c r="J243" s="597"/>
      <c r="K243" s="597"/>
      <c r="L243" s="597"/>
      <c r="M243" s="597"/>
      <c r="R243" s="157"/>
      <c r="S243" s="157"/>
    </row>
    <row r="244" spans="1:19">
      <c r="A244" s="595" t="s">
        <v>765</v>
      </c>
      <c r="B244" s="595"/>
      <c r="C244" s="595"/>
      <c r="D244" s="595"/>
      <c r="E244" s="595"/>
      <c r="F244" s="595"/>
      <c r="G244" s="595"/>
      <c r="H244" s="595"/>
      <c r="I244" s="595"/>
      <c r="J244" s="595"/>
      <c r="K244" s="181"/>
      <c r="L244" s="181"/>
      <c r="R244" s="157"/>
      <c r="S244" s="157"/>
    </row>
    <row r="245" spans="1:19">
      <c r="A245" s="137"/>
      <c r="B245" s="137"/>
      <c r="C245" s="137"/>
      <c r="D245" s="137"/>
      <c r="E245" s="137"/>
      <c r="F245" s="137"/>
      <c r="G245" s="137"/>
      <c r="H245" s="137"/>
      <c r="I245" s="137"/>
      <c r="J245" s="137"/>
      <c r="K245" s="181"/>
      <c r="L245" s="181"/>
      <c r="R245" s="157"/>
      <c r="S245" s="157"/>
    </row>
    <row r="246" spans="1:19">
      <c r="A246" s="583" t="s">
        <v>447</v>
      </c>
      <c r="B246" s="583"/>
      <c r="C246" s="583"/>
      <c r="D246" s="583"/>
      <c r="E246" s="583"/>
      <c r="F246" s="583"/>
      <c r="G246" s="583"/>
      <c r="H246" s="583"/>
      <c r="I246" s="583"/>
      <c r="J246" s="583"/>
      <c r="K246" s="583"/>
      <c r="L246" s="583"/>
      <c r="M246" s="583"/>
      <c r="R246" s="157"/>
      <c r="S246" s="157"/>
    </row>
    <row r="247" spans="1:19">
      <c r="A247" s="583"/>
      <c r="B247" s="583"/>
      <c r="C247" s="583"/>
      <c r="D247" s="583"/>
      <c r="E247" s="583"/>
      <c r="F247" s="583"/>
      <c r="G247" s="583"/>
      <c r="H247" s="583"/>
      <c r="I247" s="583"/>
      <c r="J247" s="583"/>
      <c r="K247" s="583"/>
      <c r="L247" s="583"/>
      <c r="M247" s="583"/>
      <c r="R247" s="157"/>
      <c r="S247" s="157"/>
    </row>
    <row r="248" spans="1:19">
      <c r="A248" s="137"/>
      <c r="B248" s="137"/>
      <c r="C248" s="137"/>
      <c r="D248" s="137"/>
      <c r="E248" s="137"/>
      <c r="F248" s="137"/>
      <c r="G248" s="137"/>
      <c r="H248" s="137"/>
      <c r="I248" s="137"/>
      <c r="J248" s="137"/>
      <c r="R248" s="157"/>
      <c r="S248" s="157"/>
    </row>
    <row r="249" spans="1:19">
      <c r="B249" s="125" t="s">
        <v>145</v>
      </c>
      <c r="G249" s="89">
        <f>+H210</f>
        <v>0</v>
      </c>
      <c r="H249" s="125" t="s">
        <v>337</v>
      </c>
      <c r="I249" s="165"/>
      <c r="J249" s="131"/>
      <c r="R249" s="157"/>
      <c r="S249" s="157"/>
    </row>
    <row r="250" spans="1:19">
      <c r="G250" s="89"/>
      <c r="I250" s="165"/>
      <c r="J250" s="131"/>
      <c r="R250" s="157"/>
      <c r="S250" s="157"/>
    </row>
    <row r="251" spans="1:19">
      <c r="A251" s="583" t="s">
        <v>589</v>
      </c>
      <c r="B251" s="583"/>
      <c r="C251" s="583"/>
      <c r="D251" s="583"/>
      <c r="E251" s="583"/>
      <c r="F251" s="583"/>
      <c r="G251" s="583"/>
      <c r="H251" s="583"/>
      <c r="I251" s="583"/>
      <c r="J251" s="583"/>
      <c r="K251" s="583"/>
      <c r="L251" s="583"/>
      <c r="M251" s="583"/>
      <c r="R251" s="157"/>
      <c r="S251" s="157"/>
    </row>
    <row r="252" spans="1:19">
      <c r="A252" s="583"/>
      <c r="B252" s="583"/>
      <c r="C252" s="583"/>
      <c r="D252" s="583"/>
      <c r="E252" s="583"/>
      <c r="F252" s="583"/>
      <c r="G252" s="583"/>
      <c r="H252" s="583"/>
      <c r="I252" s="583"/>
      <c r="J252" s="583"/>
      <c r="K252" s="583"/>
      <c r="L252" s="583"/>
      <c r="M252" s="583"/>
      <c r="R252" s="157"/>
      <c r="S252" s="157"/>
    </row>
    <row r="253" spans="1:19">
      <c r="A253" s="137"/>
      <c r="B253" s="137"/>
      <c r="C253" s="137"/>
      <c r="D253" s="137"/>
      <c r="E253" s="137"/>
      <c r="F253" s="137"/>
      <c r="G253" s="137"/>
      <c r="H253" s="137"/>
      <c r="I253" s="137"/>
      <c r="J253" s="137"/>
      <c r="R253" s="157"/>
      <c r="S253" s="157"/>
    </row>
    <row r="254" spans="1:19">
      <c r="B254" s="125" t="s">
        <v>59</v>
      </c>
      <c r="G254" s="89">
        <f>+IF(H240="T",2,G249)</f>
        <v>0</v>
      </c>
      <c r="H254" s="125" t="s">
        <v>337</v>
      </c>
      <c r="I254" s="165"/>
      <c r="J254" s="131"/>
      <c r="R254" s="157"/>
      <c r="S254" s="157"/>
    </row>
    <row r="255" spans="1:19">
      <c r="G255" s="89"/>
      <c r="I255" s="165"/>
      <c r="J255" s="131"/>
      <c r="R255" s="157"/>
      <c r="S255" s="157"/>
    </row>
    <row r="256" spans="1:19">
      <c r="A256" s="577" t="s">
        <v>963</v>
      </c>
      <c r="B256" s="577"/>
      <c r="C256" s="577"/>
      <c r="D256" s="577"/>
      <c r="E256" s="577"/>
      <c r="F256" s="577"/>
      <c r="G256" s="577"/>
      <c r="H256" s="577"/>
      <c r="I256" s="577"/>
      <c r="J256" s="577"/>
      <c r="K256" s="577"/>
      <c r="L256" s="577"/>
      <c r="M256" s="577"/>
      <c r="R256" s="157"/>
      <c r="S256" s="157"/>
    </row>
    <row r="257" spans="1:19">
      <c r="A257" s="577"/>
      <c r="B257" s="577"/>
      <c r="C257" s="577"/>
      <c r="D257" s="577"/>
      <c r="E257" s="577"/>
      <c r="F257" s="577"/>
      <c r="G257" s="577"/>
      <c r="H257" s="577"/>
      <c r="I257" s="577"/>
      <c r="J257" s="577"/>
      <c r="K257" s="577"/>
      <c r="L257" s="577"/>
      <c r="M257" s="577"/>
      <c r="R257" s="157"/>
      <c r="S257" s="157"/>
    </row>
    <row r="258" spans="1:19">
      <c r="A258" s="577"/>
      <c r="B258" s="577"/>
      <c r="C258" s="577"/>
      <c r="D258" s="577"/>
      <c r="E258" s="577"/>
      <c r="F258" s="577"/>
      <c r="G258" s="577"/>
      <c r="H258" s="577"/>
      <c r="I258" s="577"/>
      <c r="J258" s="577"/>
      <c r="K258" s="577"/>
      <c r="L258" s="577"/>
      <c r="M258" s="577"/>
      <c r="R258" s="157"/>
      <c r="S258" s="157"/>
    </row>
    <row r="259" spans="1:19">
      <c r="A259" s="137"/>
      <c r="B259" s="137"/>
      <c r="C259" s="137"/>
      <c r="D259" s="137"/>
      <c r="E259" s="137"/>
      <c r="F259" s="137"/>
      <c r="G259" s="137"/>
      <c r="H259" s="137"/>
      <c r="I259" s="137"/>
      <c r="J259" s="137"/>
      <c r="R259" s="157"/>
      <c r="S259" s="157"/>
    </row>
    <row r="260" spans="1:19">
      <c r="A260" s="170"/>
      <c r="B260" s="125" t="s">
        <v>384</v>
      </c>
      <c r="G260" s="89">
        <f>IF(H240="D",1.6875+1.1667+10*12/144/H241,1.6875)</f>
        <v>1.6875</v>
      </c>
      <c r="H260" s="125" t="s">
        <v>337</v>
      </c>
      <c r="J260" s="165"/>
      <c r="K260" s="131"/>
      <c r="R260" s="157"/>
      <c r="S260" s="157"/>
    </row>
    <row r="261" spans="1:19">
      <c r="M261" s="131"/>
      <c r="R261" s="157"/>
      <c r="S261" s="157"/>
    </row>
    <row r="262" spans="1:19" ht="13.15">
      <c r="A262" s="253" t="s">
        <v>223</v>
      </c>
      <c r="R262" s="157"/>
      <c r="S262" s="157"/>
    </row>
    <row r="263" spans="1:19">
      <c r="R263" s="157"/>
      <c r="S263" s="157"/>
    </row>
    <row r="264" spans="1:19">
      <c r="A264" s="601" t="s">
        <v>65</v>
      </c>
      <c r="B264" s="601"/>
      <c r="C264" s="601"/>
      <c r="D264" s="601"/>
      <c r="E264" s="601"/>
      <c r="F264" s="601"/>
      <c r="G264" s="601"/>
      <c r="H264" s="601"/>
      <c r="I264" s="601"/>
      <c r="J264" s="601"/>
      <c r="K264" s="601"/>
      <c r="L264" s="601"/>
      <c r="M264" s="601"/>
      <c r="R264" s="157"/>
      <c r="S264" s="157"/>
    </row>
    <row r="265" spans="1:19">
      <c r="A265" s="601"/>
      <c r="B265" s="601"/>
      <c r="C265" s="601"/>
      <c r="D265" s="601"/>
      <c r="E265" s="601"/>
      <c r="F265" s="601"/>
      <c r="G265" s="601"/>
      <c r="H265" s="601"/>
      <c r="I265" s="601"/>
      <c r="J265" s="601"/>
      <c r="K265" s="601"/>
      <c r="L265" s="601"/>
      <c r="M265" s="601"/>
      <c r="R265" s="157"/>
      <c r="S265" s="157"/>
    </row>
    <row r="266" spans="1:19">
      <c r="A266" s="601"/>
      <c r="B266" s="601"/>
      <c r="C266" s="601"/>
      <c r="D266" s="601"/>
      <c r="E266" s="601"/>
      <c r="F266" s="601"/>
      <c r="G266" s="601"/>
      <c r="H266" s="601"/>
      <c r="I266" s="601"/>
      <c r="J266" s="601"/>
      <c r="K266" s="601"/>
      <c r="L266" s="601"/>
      <c r="M266" s="601"/>
      <c r="R266" s="157"/>
      <c r="S266" s="157"/>
    </row>
    <row r="267" spans="1:19">
      <c r="A267" s="601"/>
      <c r="B267" s="601"/>
      <c r="C267" s="601"/>
      <c r="D267" s="601"/>
      <c r="E267" s="601"/>
      <c r="F267" s="601"/>
      <c r="G267" s="601"/>
      <c r="H267" s="601"/>
      <c r="I267" s="601"/>
      <c r="J267" s="601"/>
      <c r="K267" s="601"/>
      <c r="L267" s="601"/>
      <c r="M267" s="601"/>
      <c r="R267" s="157"/>
      <c r="S267" s="157"/>
    </row>
    <row r="268" spans="1:19">
      <c r="A268" s="601"/>
      <c r="B268" s="601"/>
      <c r="C268" s="601"/>
      <c r="D268" s="601"/>
      <c r="E268" s="601"/>
      <c r="F268" s="601"/>
      <c r="G268" s="601"/>
      <c r="H268" s="601"/>
      <c r="I268" s="601"/>
      <c r="J268" s="601"/>
      <c r="K268" s="601"/>
      <c r="L268" s="601"/>
      <c r="M268" s="601"/>
      <c r="R268" s="157"/>
      <c r="S268" s="157"/>
    </row>
    <row r="269" spans="1:19" ht="13.15" thickBot="1">
      <c r="A269" s="137"/>
      <c r="B269" s="137"/>
      <c r="C269" s="137"/>
      <c r="D269" s="137"/>
      <c r="E269" s="137"/>
      <c r="F269" s="137"/>
      <c r="G269" s="137"/>
      <c r="H269" s="137"/>
      <c r="I269" s="137"/>
      <c r="J269" s="137"/>
      <c r="R269" s="157"/>
      <c r="S269" s="157"/>
    </row>
    <row r="270" spans="1:19" ht="16.149999999999999" thickBot="1">
      <c r="B270" s="156" t="s">
        <v>438</v>
      </c>
      <c r="G270" s="22"/>
      <c r="R270" s="157"/>
      <c r="S270" s="157"/>
    </row>
    <row r="271" spans="1:19" ht="15">
      <c r="A271" s="156"/>
      <c r="B271" s="163" t="str">
        <f>IF(G270&gt;1,"Warning - eta factor is larger than the 1.0 value that PennDOT allows, check value",IF(G270&lt;1,"Warning - eta factor is smaller than the 1.0 value that PennDOT allows, check value",""))</f>
        <v>Warning - eta factor is smaller than the 1.0 value that PennDOT allows, check value</v>
      </c>
      <c r="R271" s="157">
        <f>IF(LEFT(B271,5)="Error",1,0)</f>
        <v>0</v>
      </c>
      <c r="S271" s="157">
        <f>IF(LEFT(B271,5)="Warni",1,0)</f>
        <v>1</v>
      </c>
    </row>
    <row r="272" spans="1:19" ht="15.75">
      <c r="A272" s="156"/>
      <c r="B272" s="156" t="s">
        <v>448</v>
      </c>
      <c r="E272" s="156"/>
      <c r="G272" s="167">
        <f>IF(G270&lt;0.95,0.95,G270)</f>
        <v>0.95</v>
      </c>
      <c r="R272" s="157"/>
      <c r="S272" s="157"/>
    </row>
    <row r="273" spans="1:19" ht="15.75">
      <c r="A273" s="156"/>
      <c r="B273" s="156" t="s">
        <v>449</v>
      </c>
      <c r="G273" s="167" t="e">
        <f>IF(1/G270&gt;1,1,1/G270)</f>
        <v>#DIV/0!</v>
      </c>
      <c r="R273" s="157"/>
      <c r="S273" s="157"/>
    </row>
    <row r="274" spans="1:19" ht="15">
      <c r="A274" s="156"/>
      <c r="B274" s="156"/>
      <c r="G274" s="167"/>
      <c r="R274" s="157"/>
      <c r="S274" s="157"/>
    </row>
    <row r="275" spans="1:19">
      <c r="A275" s="581" t="str">
        <f>"The loads applied to integral abutments are described in DM-4 Ap.G1.2.7. The unfactored girder design loads are available from the superstructure design performed using PennDOT's "&amp;IF(G33="S","steel",IF(G33="C","prestressed concrete",""))&amp;O275</f>
        <v>The loads applied to integral abutments are described in DM-4 Ap.G1.2.7. The unfactored girder design loads are available from the superstructure design performed using PennDOT's  girder design program.  Both the interior and exterior noncomposite girder design dead loads are required input, although if only the controlling value is known, it can be conservatively used for both.  The remaining composite dead loads should be the same whether they come from an interior or exterior girder design.  The maximum and minimum unfactored live loads, with impact and distribution factors included, are also required input.  The reaction and rotation distribution factors are required as well, so that they can be divided out to get the reaction and rotation per traffic lane, respectively.  These values are available directly from the PennDOT beam design programs.  Either the exterior or interior girder design can be used for the live load values, as long as all the values (reactions, rotations, and distribution factors) come from the same girder design.  Additional loads are calculated later.</v>
      </c>
      <c r="B275" s="581"/>
      <c r="C275" s="581"/>
      <c r="D275" s="581"/>
      <c r="E275" s="581"/>
      <c r="F275" s="581"/>
      <c r="G275" s="581"/>
      <c r="H275" s="581"/>
      <c r="I275" s="581"/>
      <c r="J275" s="581"/>
      <c r="K275" s="581"/>
      <c r="L275" s="581"/>
      <c r="M275" s="581"/>
      <c r="O275" s="157" t="s">
        <v>886</v>
      </c>
      <c r="R275" s="157"/>
      <c r="S275" s="157"/>
    </row>
    <row r="276" spans="1:19">
      <c r="A276" s="581"/>
      <c r="B276" s="581"/>
      <c r="C276" s="581"/>
      <c r="D276" s="581"/>
      <c r="E276" s="581"/>
      <c r="F276" s="581"/>
      <c r="G276" s="581"/>
      <c r="H276" s="581"/>
      <c r="I276" s="581"/>
      <c r="J276" s="581"/>
      <c r="K276" s="581"/>
      <c r="L276" s="581"/>
      <c r="M276" s="581"/>
      <c r="R276" s="157"/>
      <c r="S276" s="157"/>
    </row>
    <row r="277" spans="1:19">
      <c r="A277" s="581"/>
      <c r="B277" s="581"/>
      <c r="C277" s="581"/>
      <c r="D277" s="581"/>
      <c r="E277" s="581"/>
      <c r="F277" s="581"/>
      <c r="G277" s="581"/>
      <c r="H277" s="581"/>
      <c r="I277" s="581"/>
      <c r="J277" s="581"/>
      <c r="K277" s="581"/>
      <c r="L277" s="581"/>
      <c r="M277" s="581"/>
      <c r="R277" s="157"/>
      <c r="S277" s="157"/>
    </row>
    <row r="278" spans="1:19">
      <c r="A278" s="581"/>
      <c r="B278" s="581"/>
      <c r="C278" s="581"/>
      <c r="D278" s="581"/>
      <c r="E278" s="581"/>
      <c r="F278" s="581"/>
      <c r="G278" s="581"/>
      <c r="H278" s="581"/>
      <c r="I278" s="581"/>
      <c r="J278" s="581"/>
      <c r="K278" s="581"/>
      <c r="L278" s="581"/>
      <c r="M278" s="581"/>
      <c r="R278" s="157"/>
      <c r="S278" s="157"/>
    </row>
    <row r="279" spans="1:19">
      <c r="A279" s="581"/>
      <c r="B279" s="581"/>
      <c r="C279" s="581"/>
      <c r="D279" s="581"/>
      <c r="E279" s="581"/>
      <c r="F279" s="581"/>
      <c r="G279" s="581"/>
      <c r="H279" s="581"/>
      <c r="I279" s="581"/>
      <c r="J279" s="581"/>
      <c r="K279" s="581"/>
      <c r="L279" s="581"/>
      <c r="M279" s="581"/>
      <c r="R279" s="157"/>
      <c r="S279" s="157"/>
    </row>
    <row r="280" spans="1:19">
      <c r="A280" s="581"/>
      <c r="B280" s="581"/>
      <c r="C280" s="581"/>
      <c r="D280" s="581"/>
      <c r="E280" s="581"/>
      <c r="F280" s="581"/>
      <c r="G280" s="581"/>
      <c r="H280" s="581"/>
      <c r="I280" s="581"/>
      <c r="J280" s="581"/>
      <c r="K280" s="581"/>
      <c r="L280" s="581"/>
      <c r="M280" s="581"/>
      <c r="R280" s="157"/>
      <c r="S280" s="157"/>
    </row>
    <row r="281" spans="1:19">
      <c r="A281" s="581"/>
      <c r="B281" s="581"/>
      <c r="C281" s="581"/>
      <c r="D281" s="581"/>
      <c r="E281" s="581"/>
      <c r="F281" s="581"/>
      <c r="G281" s="581"/>
      <c r="H281" s="581"/>
      <c r="I281" s="581"/>
      <c r="J281" s="581"/>
      <c r="K281" s="581"/>
      <c r="L281" s="581"/>
      <c r="M281" s="581"/>
      <c r="R281" s="157"/>
      <c r="S281" s="157"/>
    </row>
    <row r="282" spans="1:19">
      <c r="A282" s="581"/>
      <c r="B282" s="581"/>
      <c r="C282" s="581"/>
      <c r="D282" s="581"/>
      <c r="E282" s="581"/>
      <c r="F282" s="581"/>
      <c r="G282" s="581"/>
      <c r="H282" s="581"/>
      <c r="I282" s="581"/>
      <c r="J282" s="581"/>
      <c r="K282" s="581"/>
      <c r="L282" s="581"/>
      <c r="M282" s="581"/>
      <c r="R282" s="157"/>
      <c r="S282" s="157"/>
    </row>
    <row r="283" spans="1:19">
      <c r="A283" s="581"/>
      <c r="B283" s="581"/>
      <c r="C283" s="581"/>
      <c r="D283" s="581"/>
      <c r="E283" s="581"/>
      <c r="F283" s="581"/>
      <c r="G283" s="581"/>
      <c r="H283" s="581"/>
      <c r="I283" s="581"/>
      <c r="J283" s="581"/>
      <c r="K283" s="581"/>
      <c r="L283" s="581"/>
      <c r="M283" s="581"/>
      <c r="R283" s="157"/>
      <c r="S283" s="157"/>
    </row>
    <row r="284" spans="1:19">
      <c r="R284" s="157"/>
      <c r="S284" s="157"/>
    </row>
    <row r="285" spans="1:19">
      <c r="A285" s="284" t="s">
        <v>887</v>
      </c>
      <c r="R285" s="157"/>
      <c r="S285" s="157"/>
    </row>
    <row r="286" spans="1:19" ht="13.15" thickBot="1">
      <c r="B286" s="170" t="s">
        <v>58</v>
      </c>
      <c r="R286" s="157"/>
      <c r="S286" s="157"/>
    </row>
    <row r="287" spans="1:19" ht="13.15" thickBot="1">
      <c r="C287" s="125" t="s">
        <v>52</v>
      </c>
      <c r="G287" s="22"/>
      <c r="H287" s="125" t="s">
        <v>338</v>
      </c>
      <c r="I287" s="165"/>
      <c r="J287" s="131"/>
      <c r="R287" s="157"/>
      <c r="S287" s="157"/>
    </row>
    <row r="288" spans="1:19" ht="13.15" thickBot="1">
      <c r="C288" s="125" t="s">
        <v>53</v>
      </c>
      <c r="G288" s="22"/>
      <c r="H288" s="125" t="s">
        <v>338</v>
      </c>
      <c r="I288" s="165"/>
      <c r="J288" s="131"/>
      <c r="R288" s="157"/>
      <c r="S288" s="157"/>
    </row>
    <row r="289" spans="1:19" ht="13.15" thickBot="1">
      <c r="B289" s="170" t="s">
        <v>964</v>
      </c>
      <c r="C289" s="170"/>
      <c r="I289" s="167"/>
      <c r="R289" s="157"/>
      <c r="S289" s="157"/>
    </row>
    <row r="290" spans="1:19" ht="13.15" thickBot="1">
      <c r="B290" s="170"/>
      <c r="C290" s="170" t="s">
        <v>54</v>
      </c>
      <c r="G290" s="22"/>
      <c r="H290" s="125" t="s">
        <v>338</v>
      </c>
      <c r="I290" s="165"/>
      <c r="J290" s="131"/>
      <c r="R290" s="157"/>
      <c r="S290" s="157"/>
    </row>
    <row r="291" spans="1:19">
      <c r="B291" s="170"/>
      <c r="C291" s="170" t="s">
        <v>55</v>
      </c>
      <c r="G291" s="125">
        <f>+G290</f>
        <v>0</v>
      </c>
      <c r="H291" s="125" t="s">
        <v>338</v>
      </c>
      <c r="I291" s="165"/>
      <c r="J291" s="131"/>
      <c r="R291" s="157"/>
      <c r="S291" s="157"/>
    </row>
    <row r="292" spans="1:19" ht="13.15" thickBot="1">
      <c r="B292" s="170" t="s">
        <v>395</v>
      </c>
      <c r="C292" s="170"/>
      <c r="R292" s="157"/>
      <c r="S292" s="157"/>
    </row>
    <row r="293" spans="1:19" ht="13.15" thickBot="1">
      <c r="C293" s="170" t="s">
        <v>56</v>
      </c>
      <c r="G293" s="22"/>
      <c r="H293" s="125" t="s">
        <v>338</v>
      </c>
      <c r="I293" s="165"/>
      <c r="J293" s="131"/>
      <c r="R293" s="157"/>
      <c r="S293" s="157"/>
    </row>
    <row r="294" spans="1:19">
      <c r="C294" s="170" t="s">
        <v>57</v>
      </c>
      <c r="G294" s="167">
        <f>+G293</f>
        <v>0</v>
      </c>
      <c r="H294" s="125" t="s">
        <v>338</v>
      </c>
      <c r="I294" s="165"/>
      <c r="J294" s="131"/>
      <c r="R294" s="157"/>
      <c r="S294" s="157"/>
    </row>
    <row r="295" spans="1:19" ht="13.15" thickBot="1">
      <c r="R295" s="157"/>
      <c r="S295" s="157"/>
    </row>
    <row r="296" spans="1:19" ht="13.15" thickBot="1">
      <c r="A296" s="284" t="s">
        <v>884</v>
      </c>
      <c r="G296" s="20"/>
      <c r="I296" s="167"/>
      <c r="R296" s="157"/>
      <c r="S296" s="157"/>
    </row>
    <row r="297" spans="1:19" ht="13.15" thickBot="1">
      <c r="A297" s="284" t="s">
        <v>885</v>
      </c>
      <c r="G297" s="88"/>
      <c r="I297" s="167"/>
      <c r="R297" s="157"/>
      <c r="S297" s="157"/>
    </row>
    <row r="298" spans="1:19">
      <c r="I298" s="167"/>
      <c r="R298" s="157"/>
      <c r="S298" s="157"/>
    </row>
    <row r="299" spans="1:19" ht="13.15" thickBot="1">
      <c r="A299" s="284" t="s">
        <v>973</v>
      </c>
      <c r="I299" s="167"/>
      <c r="R299" s="157"/>
      <c r="S299" s="157"/>
    </row>
    <row r="300" spans="1:19" ht="13.15" thickBot="1">
      <c r="B300" s="125" t="s">
        <v>357</v>
      </c>
      <c r="D300" s="125" t="s">
        <v>820</v>
      </c>
      <c r="G300" s="22"/>
      <c r="H300" s="125" t="s">
        <v>338</v>
      </c>
      <c r="I300" s="180"/>
      <c r="J300" s="131"/>
      <c r="R300" s="157"/>
      <c r="S300" s="157"/>
    </row>
    <row r="301" spans="1:19" ht="13.15" thickBot="1">
      <c r="D301" s="125" t="s">
        <v>821</v>
      </c>
      <c r="G301" s="22"/>
      <c r="H301" s="125" t="s">
        <v>338</v>
      </c>
      <c r="I301" s="180"/>
      <c r="J301" s="131"/>
      <c r="R301" s="157"/>
      <c r="S301" s="157"/>
    </row>
    <row r="302" spans="1:19" ht="13.15" thickBot="1">
      <c r="B302" s="125" t="s">
        <v>819</v>
      </c>
      <c r="D302" s="125" t="s">
        <v>820</v>
      </c>
      <c r="G302" s="22"/>
      <c r="H302" s="125" t="s">
        <v>338</v>
      </c>
      <c r="I302" s="180"/>
      <c r="J302" s="131"/>
      <c r="R302" s="157"/>
      <c r="S302" s="157"/>
    </row>
    <row r="303" spans="1:19" ht="13.15" thickBot="1">
      <c r="D303" s="125" t="s">
        <v>821</v>
      </c>
      <c r="G303" s="22"/>
      <c r="H303" s="125" t="s">
        <v>338</v>
      </c>
      <c r="I303" s="180"/>
      <c r="J303" s="131"/>
      <c r="R303" s="157"/>
      <c r="S303" s="157"/>
    </row>
    <row r="304" spans="1:19">
      <c r="B304" s="163" t="str">
        <f>IF(LLphl93max*LLphl93min&gt;0,"Warning - max loads should be positive, min loads should be negative or zero",IF(LLp82max*LLp82min&gt;0,"Warning - max loads should be positive, min loads should be negative or zero",IF(curbwidth=0,"Warning - curb-to-curb width = 0, make sure vehicular loads are appropriate for a pedestrian bridge","")))</f>
        <v>Warning - curb-to-curb width = 0, make sure vehicular loads are appropriate for a pedestrian bridge</v>
      </c>
      <c r="I304" s="167"/>
      <c r="R304" s="157">
        <f>IF(LEFT(B304,5)="Error",1,0)</f>
        <v>0</v>
      </c>
      <c r="S304" s="157">
        <f>IF(LEFT(B304,5)="Warni",1,0)</f>
        <v>1</v>
      </c>
    </row>
    <row r="305" spans="1:19">
      <c r="A305" s="284" t="s">
        <v>888</v>
      </c>
      <c r="B305" s="170"/>
      <c r="C305" s="170"/>
      <c r="D305" s="170"/>
      <c r="E305" s="170"/>
      <c r="F305" s="170"/>
      <c r="G305" s="170"/>
      <c r="H305" s="170"/>
      <c r="I305" s="182"/>
      <c r="J305" s="170"/>
      <c r="R305" s="157"/>
      <c r="S305" s="157"/>
    </row>
    <row r="306" spans="1:19">
      <c r="A306" s="170"/>
      <c r="B306" s="170" t="s">
        <v>357</v>
      </c>
      <c r="C306" s="170"/>
      <c r="D306" s="170" t="s">
        <v>820</v>
      </c>
      <c r="E306" s="170"/>
      <c r="F306" s="183" t="str">
        <f>"("&amp;G300&amp;")/("&amp;$G$296&amp;") = "</f>
        <v xml:space="preserve">()/() = </v>
      </c>
      <c r="G306" s="182" t="e">
        <f>+G300/$G$296</f>
        <v>#DIV/0!</v>
      </c>
      <c r="H306" s="170" t="s">
        <v>338</v>
      </c>
      <c r="I306" s="184"/>
      <c r="J306" s="185"/>
      <c r="R306" s="157"/>
      <c r="S306" s="157"/>
    </row>
    <row r="307" spans="1:19">
      <c r="A307" s="170"/>
      <c r="B307" s="170"/>
      <c r="C307" s="170"/>
      <c r="D307" s="170" t="s">
        <v>821</v>
      </c>
      <c r="E307" s="170"/>
      <c r="F307" s="183" t="str">
        <f>"("&amp;G301&amp;")/("&amp;$G$296&amp;") = "</f>
        <v xml:space="preserve">()/() = </v>
      </c>
      <c r="G307" s="182" t="e">
        <f>+G301/$G$296</f>
        <v>#DIV/0!</v>
      </c>
      <c r="H307" s="170" t="s">
        <v>338</v>
      </c>
      <c r="I307" s="184"/>
      <c r="J307" s="185"/>
      <c r="R307" s="157"/>
      <c r="S307" s="157"/>
    </row>
    <row r="308" spans="1:19">
      <c r="A308" s="170"/>
      <c r="B308" s="170" t="s">
        <v>819</v>
      </c>
      <c r="C308" s="170"/>
      <c r="D308" s="170" t="s">
        <v>820</v>
      </c>
      <c r="E308" s="170"/>
      <c r="F308" s="183" t="str">
        <f>"("&amp;G302&amp;")/("&amp;$G$296&amp;") = "</f>
        <v xml:space="preserve">()/() = </v>
      </c>
      <c r="G308" s="182" t="e">
        <f>+G302/$G$296</f>
        <v>#DIV/0!</v>
      </c>
      <c r="H308" s="170" t="s">
        <v>338</v>
      </c>
      <c r="I308" s="184"/>
      <c r="J308" s="185"/>
      <c r="R308" s="157"/>
      <c r="S308" s="157"/>
    </row>
    <row r="309" spans="1:19">
      <c r="A309" s="170"/>
      <c r="B309" s="170"/>
      <c r="C309" s="170"/>
      <c r="D309" s="170" t="s">
        <v>821</v>
      </c>
      <c r="E309" s="170"/>
      <c r="F309" s="183" t="str">
        <f>"("&amp;G303&amp;")/("&amp;$G$296&amp;") = "</f>
        <v xml:space="preserve">()/() = </v>
      </c>
      <c r="G309" s="182" t="e">
        <f>+G303/$G$296</f>
        <v>#DIV/0!</v>
      </c>
      <c r="H309" s="170" t="s">
        <v>338</v>
      </c>
      <c r="I309" s="184"/>
      <c r="J309" s="185"/>
      <c r="R309" s="157"/>
      <c r="S309" s="157"/>
    </row>
    <row r="310" spans="1:19">
      <c r="A310" s="170"/>
      <c r="B310" s="170"/>
      <c r="C310" s="170"/>
      <c r="D310" s="170"/>
      <c r="E310" s="170"/>
      <c r="F310" s="183"/>
      <c r="G310" s="182"/>
      <c r="H310" s="170"/>
      <c r="I310" s="182"/>
      <c r="J310" s="170"/>
      <c r="R310" s="157"/>
      <c r="S310" s="157"/>
    </row>
    <row r="311" spans="1:19">
      <c r="A311" s="577" t="s">
        <v>541</v>
      </c>
      <c r="B311" s="577"/>
      <c r="C311" s="577"/>
      <c r="D311" s="577"/>
      <c r="E311" s="577"/>
      <c r="F311" s="577"/>
      <c r="G311" s="577"/>
      <c r="H311" s="577"/>
      <c r="I311" s="577"/>
      <c r="J311" s="577"/>
      <c r="K311" s="577"/>
      <c r="L311" s="577"/>
      <c r="M311" s="577"/>
      <c r="R311" s="157"/>
      <c r="S311" s="157"/>
    </row>
    <row r="312" spans="1:19">
      <c r="A312" s="577"/>
      <c r="B312" s="577"/>
      <c r="C312" s="577"/>
      <c r="D312" s="577"/>
      <c r="E312" s="577"/>
      <c r="F312" s="577"/>
      <c r="G312" s="577"/>
      <c r="H312" s="577"/>
      <c r="I312" s="577"/>
      <c r="J312" s="577"/>
      <c r="K312" s="577"/>
      <c r="L312" s="577"/>
      <c r="M312" s="577"/>
      <c r="R312" s="157"/>
      <c r="S312" s="157"/>
    </row>
    <row r="313" spans="1:19">
      <c r="A313" s="577"/>
      <c r="B313" s="577"/>
      <c r="C313" s="577"/>
      <c r="D313" s="577"/>
      <c r="E313" s="577"/>
      <c r="F313" s="577"/>
      <c r="G313" s="577"/>
      <c r="H313" s="577"/>
      <c r="I313" s="577"/>
      <c r="J313" s="577"/>
      <c r="K313" s="577"/>
      <c r="L313" s="577"/>
      <c r="M313" s="577"/>
      <c r="R313" s="157"/>
      <c r="S313" s="157"/>
    </row>
    <row r="314" spans="1:19">
      <c r="A314" s="577"/>
      <c r="B314" s="577"/>
      <c r="C314" s="577"/>
      <c r="D314" s="577"/>
      <c r="E314" s="577"/>
      <c r="F314" s="577"/>
      <c r="G314" s="577"/>
      <c r="H314" s="577"/>
      <c r="I314" s="577"/>
      <c r="J314" s="577"/>
      <c r="K314" s="577"/>
      <c r="L314" s="577"/>
      <c r="M314" s="577"/>
      <c r="R314" s="157"/>
      <c r="S314" s="157"/>
    </row>
    <row r="315" spans="1:19">
      <c r="A315" s="577"/>
      <c r="B315" s="577"/>
      <c r="C315" s="577"/>
      <c r="D315" s="577"/>
      <c r="E315" s="577"/>
      <c r="F315" s="577"/>
      <c r="G315" s="577"/>
      <c r="H315" s="577"/>
      <c r="I315" s="577"/>
      <c r="J315" s="577"/>
      <c r="K315" s="577"/>
      <c r="L315" s="577"/>
      <c r="M315" s="577"/>
      <c r="R315" s="157"/>
      <c r="S315" s="157"/>
    </row>
    <row r="316" spans="1:19">
      <c r="B316" s="125" t="s">
        <v>433</v>
      </c>
      <c r="C316" s="137"/>
      <c r="D316" s="125" t="s">
        <v>820</v>
      </c>
      <c r="F316" s="133" t="str">
        <f>"("&amp;FIXED(IF(curbwidth=0,0.085,IF(G300=0,IF(G301=0,IF(G302=0,IF(G303=0,0.085,0.075),0.075),0.075),0.075)),3,TRUE)&amp;")("&amp;FIXED(G73,0,TRUE)&amp;")("&amp;FIXED(G56,0,TRUE)&amp;")/2 ="</f>
        <v>(0.085)(0)(0)/2 =</v>
      </c>
      <c r="G316" s="167">
        <f>IF(curbwidth=0,0.085,IF(G300=0,IF(G301=0,IF(G302=0,IF(G303=0,0.085,0.075),0.075),0.075),0.075))*G73*(G56)/2</f>
        <v>0</v>
      </c>
      <c r="H316" s="125" t="s">
        <v>338</v>
      </c>
      <c r="I316" s="180"/>
      <c r="J316" s="131"/>
      <c r="R316" s="157"/>
      <c r="S316" s="157"/>
    </row>
    <row r="317" spans="1:19">
      <c r="D317" s="125" t="s">
        <v>821</v>
      </c>
      <c r="G317" s="167">
        <v>0</v>
      </c>
      <c r="H317" s="125" t="s">
        <v>338</v>
      </c>
      <c r="I317" s="180"/>
      <c r="J317" s="131"/>
      <c r="R317" s="157"/>
      <c r="S317" s="157"/>
    </row>
    <row r="318" spans="1:19" ht="13.15">
      <c r="A318" s="253" t="str">
        <f>A262&amp;" - Cont'd"</f>
        <v>LOAD DATA - Cont'd</v>
      </c>
      <c r="R318" s="157"/>
      <c r="S318" s="157"/>
    </row>
    <row r="319" spans="1:19">
      <c r="R319" s="157"/>
      <c r="S319" s="157"/>
    </row>
    <row r="320" spans="1:19">
      <c r="A320" s="578" t="s">
        <v>787</v>
      </c>
      <c r="B320" s="578"/>
      <c r="C320" s="578"/>
      <c r="D320" s="578"/>
      <c r="E320" s="578"/>
      <c r="F320" s="578"/>
      <c r="G320" s="578"/>
      <c r="H320" s="578"/>
      <c r="I320" s="578"/>
      <c r="J320" s="578"/>
      <c r="K320" s="578"/>
      <c r="L320" s="578"/>
      <c r="M320" s="578"/>
      <c r="R320" s="157"/>
      <c r="S320" s="157"/>
    </row>
    <row r="321" spans="1:19">
      <c r="A321" s="578"/>
      <c r="B321" s="578"/>
      <c r="C321" s="578"/>
      <c r="D321" s="578"/>
      <c r="E321" s="578"/>
      <c r="F321" s="578"/>
      <c r="G321" s="578"/>
      <c r="H321" s="578"/>
      <c r="I321" s="578"/>
      <c r="J321" s="578"/>
      <c r="K321" s="578"/>
      <c r="L321" s="578"/>
      <c r="M321" s="578"/>
      <c r="R321" s="157"/>
      <c r="S321" s="157"/>
    </row>
    <row r="322" spans="1:19">
      <c r="A322" s="578"/>
      <c r="B322" s="578"/>
      <c r="C322" s="578"/>
      <c r="D322" s="578"/>
      <c r="E322" s="578"/>
      <c r="F322" s="578"/>
      <c r="G322" s="578"/>
      <c r="H322" s="578"/>
      <c r="I322" s="578"/>
      <c r="J322" s="578"/>
      <c r="K322" s="578"/>
      <c r="L322" s="578"/>
      <c r="M322" s="578"/>
      <c r="R322" s="157"/>
      <c r="S322" s="157"/>
    </row>
    <row r="323" spans="1:19" ht="13.15" thickBot="1">
      <c r="A323" s="578"/>
      <c r="B323" s="578"/>
      <c r="C323" s="578"/>
      <c r="D323" s="578"/>
      <c r="E323" s="578"/>
      <c r="F323" s="578"/>
      <c r="G323" s="578"/>
      <c r="H323" s="578"/>
      <c r="I323" s="578"/>
      <c r="J323" s="578"/>
      <c r="K323" s="578"/>
      <c r="L323" s="578"/>
      <c r="M323" s="578"/>
      <c r="R323" s="157"/>
      <c r="S323" s="157"/>
    </row>
    <row r="324" spans="1:19" ht="13.15" thickBot="1">
      <c r="B324" s="125" t="s">
        <v>137</v>
      </c>
      <c r="H324" s="44"/>
      <c r="R324" s="157"/>
      <c r="S324" s="157"/>
    </row>
    <row r="325" spans="1:19">
      <c r="B325" s="125" t="s">
        <v>138</v>
      </c>
      <c r="E325" s="133" t="s">
        <v>139</v>
      </c>
      <c r="F325" s="186">
        <v>1.5</v>
      </c>
      <c r="G325" s="133" t="s">
        <v>140</v>
      </c>
      <c r="H325" s="186" t="str">
        <f>IF(H324="Y",0.65,IF(H324="N",0,"Error - must be Y or N above"))</f>
        <v>Error - must be Y or N above</v>
      </c>
      <c r="R325" s="157">
        <f>IF(LEFT(H325,5)="Error",1,0)</f>
        <v>1</v>
      </c>
      <c r="S325" s="157">
        <f>IF(LEFT(H325,5)="Warni",1,0)</f>
        <v>0</v>
      </c>
    </row>
    <row r="326" spans="1:19">
      <c r="R326" s="157"/>
      <c r="S326" s="157"/>
    </row>
    <row r="327" spans="1:19">
      <c r="A327" s="577" t="s">
        <v>284</v>
      </c>
      <c r="B327" s="577"/>
      <c r="C327" s="577"/>
      <c r="D327" s="577"/>
      <c r="E327" s="577"/>
      <c r="F327" s="577"/>
      <c r="G327" s="577"/>
      <c r="H327" s="577"/>
      <c r="I327" s="577"/>
      <c r="J327" s="577"/>
      <c r="K327" s="577"/>
      <c r="L327" s="577"/>
      <c r="M327" s="577"/>
      <c r="R327" s="157"/>
      <c r="S327" s="157"/>
    </row>
    <row r="328" spans="1:19">
      <c r="A328" s="577"/>
      <c r="B328" s="577"/>
      <c r="C328" s="577"/>
      <c r="D328" s="577"/>
      <c r="E328" s="577"/>
      <c r="F328" s="577"/>
      <c r="G328" s="577"/>
      <c r="H328" s="577"/>
      <c r="I328" s="577"/>
      <c r="J328" s="577"/>
      <c r="K328" s="577"/>
      <c r="L328" s="577"/>
      <c r="M328" s="577"/>
      <c r="R328" s="157"/>
      <c r="S328" s="157"/>
    </row>
    <row r="329" spans="1:19" ht="15" customHeight="1">
      <c r="A329" s="577"/>
      <c r="B329" s="577"/>
      <c r="C329" s="577"/>
      <c r="D329" s="577"/>
      <c r="E329" s="577"/>
      <c r="F329" s="577"/>
      <c r="G329" s="577"/>
      <c r="H329" s="577"/>
      <c r="I329" s="577"/>
      <c r="J329" s="577"/>
      <c r="K329" s="577"/>
      <c r="L329" s="577"/>
      <c r="M329" s="577"/>
      <c r="R329" s="157"/>
      <c r="S329" s="157"/>
    </row>
    <row r="330" spans="1:19">
      <c r="R330" s="157"/>
      <c r="S330" s="157"/>
    </row>
    <row r="331" spans="1:19">
      <c r="A331" s="125" t="s">
        <v>542</v>
      </c>
      <c r="K331" s="167"/>
      <c r="R331" s="157"/>
      <c r="S331" s="157"/>
    </row>
    <row r="332" spans="1:19">
      <c r="B332" s="170" t="s">
        <v>822</v>
      </c>
      <c r="C332" s="170"/>
      <c r="F332" s="170"/>
      <c r="G332" s="170"/>
      <c r="H332" s="182"/>
      <c r="K332" s="167"/>
      <c r="R332" s="157"/>
      <c r="S332" s="157"/>
    </row>
    <row r="333" spans="1:19">
      <c r="B333" s="170"/>
      <c r="C333" s="170" t="s">
        <v>820</v>
      </c>
      <c r="D333" s="187" t="e">
        <f>FIXED(etamax,2,TRUE)&amp;"["&amp;'Load Factors'!E6&amp;"("&amp;Main!G287&amp;"+"&amp;Main!G290&amp;") + "&amp;FIXED('Load Factors'!E7,2,TRUE)&amp;"("&amp;Main!G293&amp;") + "&amp;'Load Factors'!E12&amp;"("&amp;FIXED(Main!G306,2,TRUE)&amp;")("&amp;nlane2&amp;")/"&amp;ngirder&amp;"] ="</f>
        <v>#DIV/0!</v>
      </c>
      <c r="E333" s="170"/>
      <c r="F333" s="170"/>
      <c r="G333" s="170"/>
      <c r="J333" s="180"/>
      <c r="K333" s="188" t="e">
        <f>etamax*('Load Factors'!E6*(Main!G287+Main!G290)+'Load Factors'!E7*Main!G293+'Load Factors'!E12*Main!G306*nlane2/ngirder)</f>
        <v>#DIV/0!</v>
      </c>
      <c r="L333" s="125" t="s">
        <v>338</v>
      </c>
      <c r="R333" s="157"/>
      <c r="S333" s="157"/>
    </row>
    <row r="334" spans="1:19">
      <c r="B334" s="170"/>
      <c r="C334" s="170" t="s">
        <v>821</v>
      </c>
      <c r="D334" s="187" t="e">
        <f>FIXED(etamin,2,TRUE)&amp;"["&amp;FIXED('Load Factors'!F6,2,TRUE)&amp;"("&amp;Main!G287&amp;"+"&amp;Main!G290&amp;") + "&amp;FIXED('Load Factors'!F7,2,TRUE)&amp;"("&amp;Main!G293&amp;")] + "&amp;IF(Main!G307&lt;0,FIXED(etamax,2,TRUE),FIXED(etamin,2,TRUE))&amp;"["&amp;FIXED('Load Factors'!F12,2,TRUE)&amp;"("&amp;FIXED(Main!G307,2,TRUE)&amp;")("&amp;nlane2&amp;")/"&amp;ngirder&amp;"] ="</f>
        <v>#DIV/0!</v>
      </c>
      <c r="F334" s="170"/>
      <c r="G334" s="170"/>
      <c r="H334" s="188"/>
      <c r="J334" s="180"/>
      <c r="K334" s="188" t="e">
        <f>etamin*('Load Factors'!F6*(Main!G287+Main!G290)+'Load Factors'!F7*Main!G293)+IF(Main!G307&lt;0,etamax,etamin)*('Load Factors'!F12*Main!G307*nlane2/ngirder)</f>
        <v>#DIV/0!</v>
      </c>
      <c r="L334" s="125" t="s">
        <v>338</v>
      </c>
      <c r="R334" s="157"/>
      <c r="S334" s="157"/>
    </row>
    <row r="335" spans="1:19">
      <c r="B335" s="170"/>
      <c r="C335" s="170"/>
      <c r="D335" s="170"/>
      <c r="E335" s="170"/>
      <c r="F335" s="170"/>
      <c r="G335" s="170"/>
      <c r="J335" s="180"/>
      <c r="K335" s="131"/>
      <c r="R335" s="157"/>
      <c r="S335" s="157"/>
    </row>
    <row r="336" spans="1:19">
      <c r="B336" s="170" t="s">
        <v>837</v>
      </c>
      <c r="C336" s="170"/>
      <c r="F336" s="170"/>
      <c r="G336" s="170"/>
      <c r="H336" s="188"/>
      <c r="J336" s="180"/>
      <c r="K336" s="131"/>
      <c r="R336" s="157"/>
      <c r="S336" s="157"/>
    </row>
    <row r="337" spans="1:19">
      <c r="B337" s="170"/>
      <c r="C337" s="170" t="s">
        <v>820</v>
      </c>
      <c r="D337" s="170" t="e">
        <f>FIXED(etamax,2,TRUE)&amp;"["&amp;'Load Factors'!G6&amp;"("&amp;Main!G287&amp;"+"&amp;Main!G290&amp;") + "&amp;FIXED('Load Factors'!G7,2,TRUE)&amp;"("&amp;Main!G293&amp;") + "&amp;'Load Factors'!G13&amp;"("&amp;Main!G316&amp;")/"&amp;ngirder&amp;" + "&amp;'Load Factors'!G12&amp;"("&amp;FIXED(Main!G306,2,TRUE)&amp;")("&amp;nlane&amp;")/"&amp;ngirder&amp;"] ="</f>
        <v>#DIV/0!</v>
      </c>
      <c r="E337" s="170"/>
      <c r="F337" s="170"/>
      <c r="G337" s="170"/>
      <c r="J337" s="180"/>
      <c r="K337" s="188" t="e">
        <f>etamax*('Load Factors'!G6*(Main!G287+Main!G290)+'Load Factors'!G7*Main!G293+'Load Factors'!G12*Main!G306*nlane/ngirder+'Load Factors'!G13*Main!G316/ngirder)</f>
        <v>#DIV/0!</v>
      </c>
      <c r="L337" s="125" t="s">
        <v>338</v>
      </c>
      <c r="R337" s="157"/>
      <c r="S337" s="157"/>
    </row>
    <row r="338" spans="1:19">
      <c r="B338" s="170"/>
      <c r="C338" s="170" t="s">
        <v>821</v>
      </c>
      <c r="D338" s="170" t="e">
        <f>FIXED(etamin,2,TRUE)&amp;"["&amp;FIXED('Load Factors'!H6,2,TRUE)&amp;"("&amp;Main!G287&amp;"+"&amp;Main!G290&amp;") + "&amp;FIXED('Load Factors'!H7,2,TRUE)&amp;"("&amp;Main!G293&amp;") + "&amp;FIXED('Load Factors'!H13,2,TRUE)&amp;"("&amp;FIXED(Main!G317,2,TRUE)&amp;")/"&amp;ngirder&amp;"] + "&amp;IF(Main!G307&lt;0,FIXED(etamax,2,TRUE),FIXED(etamin,2,TRUE))&amp;"["&amp;'Load Factors'!H12&amp;"("&amp;FIXED(Main!G307,2,TRUE)&amp;")("&amp;nlane&amp;")/"&amp;ngirder&amp;"] ="</f>
        <v>#DIV/0!</v>
      </c>
      <c r="F338" s="170"/>
      <c r="G338" s="170"/>
      <c r="H338" s="188"/>
      <c r="J338" s="180"/>
      <c r="K338" s="188" t="e">
        <f>etamin*('Load Factors'!H6*(Main!G287+Main!G290)+'Load Factors'!H7*Main!G293+'Load Factors'!H13*Main!G317/ngirder)+IF(Main!G307&lt;0,etamax,etamin)*('Load Factors'!H12*Main!G307*nlane/ngirder)</f>
        <v>#DIV/0!</v>
      </c>
      <c r="L338" s="125" t="s">
        <v>338</v>
      </c>
      <c r="N338" s="168"/>
      <c r="O338" s="168"/>
      <c r="P338" s="168"/>
      <c r="Q338" s="168"/>
      <c r="R338" s="157"/>
      <c r="S338" s="157"/>
    </row>
    <row r="339" spans="1:19">
      <c r="B339" s="170"/>
      <c r="C339" s="170"/>
      <c r="D339" s="170"/>
      <c r="E339" s="170"/>
      <c r="F339" s="170"/>
      <c r="G339" s="170"/>
      <c r="J339" s="180"/>
      <c r="K339" s="131"/>
      <c r="R339" s="157"/>
      <c r="S339" s="157"/>
    </row>
    <row r="340" spans="1:19">
      <c r="B340" s="170" t="s">
        <v>823</v>
      </c>
      <c r="C340" s="170"/>
      <c r="F340" s="170"/>
      <c r="G340" s="170"/>
      <c r="H340" s="188"/>
      <c r="J340" s="180"/>
      <c r="K340" s="131"/>
      <c r="R340" s="157"/>
      <c r="S340" s="157"/>
    </row>
    <row r="341" spans="1:19">
      <c r="B341" s="170"/>
      <c r="C341" s="170" t="s">
        <v>820</v>
      </c>
      <c r="D341" s="170" t="e">
        <f>FIXED(etamax,2,TRUE)&amp;"["&amp;'Load Factors'!I6&amp;"("&amp;Main!G287&amp;"+"&amp;Main!G290&amp;") + "&amp;FIXED('Load Factors'!I7,2,TRUE)&amp;"("&amp;Main!G293&amp;") + "&amp;'Load Factors'!I12&amp;"["&amp;FIXED(Main!G308,2,TRUE)&amp;"+"&amp;FIXED(Main!G306,2,TRUE)&amp;"("&amp;nlane2&amp;"-1)]/"&amp;ngirder&amp;"] ="</f>
        <v>#DIV/0!</v>
      </c>
      <c r="E341" s="170"/>
      <c r="F341" s="170"/>
      <c r="G341" s="170"/>
      <c r="J341" s="180"/>
      <c r="K341" s="188" t="e">
        <f>etamax*('Load Factors'!I6*(Main!G287+Main!G290)+'Load Factors'!I7*Main!G293+'Load Factors'!I12*(Main!G308+Main!G306*(nlane2-1))/ngirder)</f>
        <v>#DIV/0!</v>
      </c>
      <c r="L341" s="125" t="s">
        <v>338</v>
      </c>
      <c r="R341" s="157"/>
      <c r="S341" s="157"/>
    </row>
    <row r="342" spans="1:19">
      <c r="B342" s="170"/>
      <c r="C342" s="170" t="s">
        <v>821</v>
      </c>
      <c r="D342" s="170" t="e">
        <f>FIXED(etamin,2,TRUE)&amp;"["&amp;FIXED('Load Factors'!J6,2,TRUE)&amp;"("&amp;Main!G287&amp;"+"&amp;Main!G290&amp;") + "&amp;FIXED('Load Factors'!J7,2,TRUE)&amp;"("&amp;Main!G293&amp;")] + "&amp;'Load Factors'!J12&amp;"[("&amp;IF(Main!G309&lt;0,FIXED(etamax,2,TRUE),FIXED(etamin,2,TRUE))&amp;")("&amp;FIXED(Main!G309,2,TRUE)&amp;")+("&amp;IF(Main!G307&lt;0,FIXED(etamax,2,TRUE),FIXED(etamin,2,TRUE))&amp;")("&amp;FIXED(Main!G307,2,TRUE)&amp;")("&amp;nlane2&amp;"-1)]/"&amp;ngirder&amp;" ="</f>
        <v>#DIV/0!</v>
      </c>
      <c r="F342" s="170"/>
      <c r="G342" s="170"/>
      <c r="H342" s="188"/>
      <c r="J342" s="180"/>
      <c r="K342" s="188" t="e">
        <f>etamin*('Load Factors'!J6*(Main!G287+Main!G290)+'Load Factors'!J7*Main!G293)+'Load Factors'!J12*(IF(Main!G309&lt;0,etamax,etamin)*Main!G309+IF(Main!G307&lt;0,etamax,etamin)*Main!G307*(nlane2-1))/ngirder</f>
        <v>#DIV/0!</v>
      </c>
      <c r="L342" s="125" t="s">
        <v>338</v>
      </c>
      <c r="R342" s="157"/>
      <c r="S342" s="157"/>
    </row>
    <row r="343" spans="1:19">
      <c r="B343" s="170"/>
      <c r="C343" s="170"/>
      <c r="D343" s="170"/>
      <c r="E343" s="170"/>
      <c r="F343" s="170"/>
      <c r="G343" s="170"/>
      <c r="J343" s="180"/>
      <c r="K343" s="131"/>
      <c r="R343" s="157"/>
      <c r="S343" s="157"/>
    </row>
    <row r="344" spans="1:19">
      <c r="B344" s="170" t="s">
        <v>522</v>
      </c>
      <c r="C344" s="170"/>
      <c r="F344" s="170"/>
      <c r="G344" s="170"/>
      <c r="H344" s="188"/>
      <c r="J344" s="180"/>
      <c r="K344" s="131"/>
      <c r="R344" s="157"/>
      <c r="S344" s="157"/>
    </row>
    <row r="345" spans="1:19">
      <c r="B345" s="170"/>
      <c r="C345" s="170" t="s">
        <v>820</v>
      </c>
      <c r="D345" s="170" t="str">
        <f>FIXED(etamax,2,TRUE)&amp;"["&amp;'Load Factors'!K6&amp;"("&amp;Main!G287&amp;"+"&amp;Main!G290&amp;") + "&amp;FIXED('Load Factors'!K7,2,TRUE)&amp;"("&amp;Main!G293&amp;")] ="</f>
        <v>0.95[1.25(+) + 1.50()] =</v>
      </c>
      <c r="E345" s="170"/>
      <c r="F345" s="170"/>
      <c r="G345" s="170"/>
      <c r="J345" s="180"/>
      <c r="K345" s="188">
        <f>etamax*('Load Factors'!K6*(Main!G287+Main!G290)+'Load Factors'!K7*Main!G293)</f>
        <v>0</v>
      </c>
      <c r="L345" s="125" t="s">
        <v>338</v>
      </c>
      <c r="R345" s="157"/>
      <c r="S345" s="157"/>
    </row>
    <row r="346" spans="1:19">
      <c r="B346" s="170"/>
      <c r="C346" s="170" t="s">
        <v>821</v>
      </c>
      <c r="D346" s="170" t="e">
        <f>FIXED(etamin,2,TRUE)&amp;"["&amp;FIXED('Load Factors'!L6,2,TRUE)&amp;"("&amp;Main!G287&amp;"+"&amp;Main!G290&amp;") + "&amp;FIXED('Load Factors'!L7,2,TRUE)&amp;"("&amp;Main!G293&amp;")] ="</f>
        <v>#DIV/0!</v>
      </c>
      <c r="F346" s="170"/>
      <c r="G346" s="170"/>
      <c r="H346" s="188"/>
      <c r="J346" s="180"/>
      <c r="K346" s="188" t="e">
        <f>etamin*('Load Factors'!L6*(Main!G287+Main!G290)+'Load Factors'!L7*Main!G293)</f>
        <v>#DIV/0!</v>
      </c>
      <c r="L346" s="125" t="s">
        <v>338</v>
      </c>
      <c r="R346" s="157"/>
      <c r="S346" s="157"/>
    </row>
    <row r="347" spans="1:19">
      <c r="B347" s="170"/>
      <c r="C347" s="170"/>
      <c r="D347" s="170"/>
      <c r="E347" s="170"/>
      <c r="F347" s="170"/>
      <c r="G347" s="170"/>
      <c r="J347" s="180"/>
      <c r="K347" s="131"/>
      <c r="R347" s="157"/>
      <c r="S347" s="157"/>
    </row>
    <row r="348" spans="1:19">
      <c r="B348" s="170" t="s">
        <v>838</v>
      </c>
      <c r="C348" s="170"/>
      <c r="F348" s="170"/>
      <c r="G348" s="170"/>
      <c r="H348" s="188"/>
      <c r="J348" s="180"/>
      <c r="K348" s="131"/>
      <c r="R348" s="157"/>
      <c r="S348" s="157"/>
    </row>
    <row r="349" spans="1:19">
      <c r="B349" s="170"/>
      <c r="C349" s="170" t="s">
        <v>820</v>
      </c>
      <c r="D349" s="170" t="e">
        <f>FIXED(etamax,2,TRUE)&amp;"["&amp;'Load Factors'!M6&amp;"("&amp;Main!G287&amp;"+"&amp;Main!G290&amp;") + "&amp;FIXED('Load Factors'!M7,2,TRUE)&amp;"("&amp;Main!G293&amp;") + "&amp;'Load Factors'!M12&amp;"("&amp;FIXED(Main!G306,2,TRUE)&amp;")("&amp;nlane2&amp;")/"&amp;ngirder&amp;"] ="</f>
        <v>#DIV/0!</v>
      </c>
      <c r="E349" s="170"/>
      <c r="F349" s="170"/>
      <c r="G349" s="170"/>
      <c r="J349" s="180"/>
      <c r="K349" s="188" t="e">
        <f>etamax*('Load Factors'!M6*(Main!G287+Main!G290)+'Load Factors'!M7*Main!G293+'Load Factors'!M12*Main!G306*nlane2/ngirder)</f>
        <v>#DIV/0!</v>
      </c>
      <c r="L349" s="125" t="s">
        <v>338</v>
      </c>
      <c r="R349" s="157"/>
      <c r="S349" s="157"/>
    </row>
    <row r="350" spans="1:19">
      <c r="B350" s="170"/>
      <c r="C350" s="170" t="s">
        <v>821</v>
      </c>
      <c r="D350" s="170" t="e">
        <f>FIXED(etamin,2,TRUE)&amp;"["&amp;FIXED('Load Factors'!N6,2,TRUE)&amp;"("&amp;Main!G287&amp;"+"&amp;Main!G290&amp;") + "&amp;FIXED('Load Factors'!N7,2,TRUE)&amp;"("&amp;Main!G293&amp;")] + "&amp;IF(Main!G307&lt;0,FIXED(etamax,2,TRUE),FIXED(etamin,2,TRUE))&amp;"["&amp;'Load Factors'!N12&amp;"("&amp;FIXED(Main!G307,2,TRUE)&amp;")("&amp;nlane2&amp;")/"&amp;ngirder&amp;"] ="</f>
        <v>#DIV/0!</v>
      </c>
      <c r="F350" s="170"/>
      <c r="G350" s="170"/>
      <c r="H350" s="188"/>
      <c r="J350" s="180"/>
      <c r="K350" s="188" t="e">
        <f>etamin*('Load Factors'!N6*(Main!G287+Main!G290)+'Load Factors'!N7*Main!G293)+IF(Main!G307&lt;0,etamax,etamin)*('Load Factors'!N12*Main!G307*nlane2/ngirder)</f>
        <v>#DIV/0!</v>
      </c>
      <c r="L350" s="125" t="s">
        <v>338</v>
      </c>
      <c r="R350" s="157"/>
      <c r="S350" s="157"/>
    </row>
    <row r="351" spans="1:19">
      <c r="B351" s="170"/>
      <c r="C351" s="170"/>
      <c r="D351" s="170"/>
      <c r="E351" s="170"/>
      <c r="F351" s="170"/>
      <c r="G351" s="170"/>
      <c r="J351" s="180"/>
      <c r="K351" s="131"/>
      <c r="R351" s="157"/>
      <c r="S351" s="157"/>
    </row>
    <row r="352" spans="1:19">
      <c r="A352" s="125" t="s">
        <v>810</v>
      </c>
      <c r="H352" s="176"/>
      <c r="J352" s="176"/>
      <c r="K352" s="167"/>
      <c r="R352" s="157"/>
      <c r="S352" s="157"/>
    </row>
    <row r="353" spans="2:19">
      <c r="B353" s="170" t="s">
        <v>822</v>
      </c>
      <c r="C353" s="170"/>
      <c r="F353" s="170"/>
      <c r="G353" s="170"/>
      <c r="H353" s="188"/>
      <c r="J353" s="176"/>
      <c r="R353" s="157"/>
      <c r="S353" s="157"/>
    </row>
    <row r="354" spans="2:19">
      <c r="B354" s="170"/>
      <c r="C354" s="170" t="s">
        <v>820</v>
      </c>
      <c r="D354" s="170" t="e">
        <f>FIXED(etamax,2,TRUE)&amp;"["&amp;'Load Factors'!E6&amp;"("&amp;Main!G288&amp;"+"&amp;Main!G291&amp;") + "&amp;FIXED('Load Factors'!E7,2,TRUE)&amp;"("&amp;Main!G294&amp;") + "&amp;'Load Factors'!E12&amp;"("&amp;FIXED(Main!G306,2,TRUE)&amp;")("&amp;nlane2&amp;")/"&amp;ngirder&amp;"] ="</f>
        <v>#DIV/0!</v>
      </c>
      <c r="E354" s="170"/>
      <c r="F354" s="170"/>
      <c r="G354" s="170"/>
      <c r="J354" s="180"/>
      <c r="K354" s="188" t="e">
        <f>etamax*('Load Factors'!E6*(Main!G288+Main!G291)+'Load Factors'!E7*Main!G294+'Load Factors'!E12*Main!G306*nlane2/ngirder)</f>
        <v>#DIV/0!</v>
      </c>
      <c r="L354" s="125" t="s">
        <v>338</v>
      </c>
      <c r="R354" s="157"/>
      <c r="S354" s="157"/>
    </row>
    <row r="355" spans="2:19">
      <c r="B355" s="170"/>
      <c r="C355" s="170" t="s">
        <v>821</v>
      </c>
      <c r="D355" s="170" t="e">
        <f>FIXED(etamin,2,TRUE)&amp;"["&amp;FIXED('Load Factors'!F6,2,TRUE)&amp;"("&amp;Main!G288&amp;"+"&amp;Main!G291&amp;") + "&amp;FIXED('Load Factors'!F7,2,TRUE)&amp;"("&amp;Main!G294&amp;")] + "&amp;IF(Main!G307&lt;0,FIXED(etamax,2,TRUE),FIXED(etamin,2,TRUE))&amp;"["&amp;'Load Factors'!F12&amp;"("&amp;FIXED(Main!G307,2,TRUE)&amp;")("&amp;nlane2&amp;")/"&amp;ngirder&amp;"] ="</f>
        <v>#DIV/0!</v>
      </c>
      <c r="F355" s="170"/>
      <c r="G355" s="170"/>
      <c r="H355" s="188"/>
      <c r="J355" s="180"/>
      <c r="K355" s="188" t="e">
        <f>etamin*('Load Factors'!F6*(Main!G288+Main!G291)+'Load Factors'!F7*Main!G294)+IF(Main!G307&lt;0,etamax,etamin)*('Load Factors'!F12*Main!G307*nlane2/ngirder)</f>
        <v>#DIV/0!</v>
      </c>
      <c r="L355" s="125" t="s">
        <v>338</v>
      </c>
      <c r="R355" s="157"/>
      <c r="S355" s="157"/>
    </row>
    <row r="356" spans="2:19">
      <c r="B356" s="170"/>
      <c r="C356" s="170"/>
      <c r="D356" s="170"/>
      <c r="E356" s="170"/>
      <c r="F356" s="170"/>
      <c r="G356" s="170"/>
      <c r="J356" s="180"/>
      <c r="K356" s="131"/>
      <c r="N356" s="168"/>
      <c r="O356" s="168"/>
      <c r="P356" s="168"/>
      <c r="Q356" s="168"/>
      <c r="R356" s="157"/>
      <c r="S356" s="157"/>
    </row>
    <row r="357" spans="2:19">
      <c r="B357" s="170" t="s">
        <v>837</v>
      </c>
      <c r="C357" s="170"/>
      <c r="F357" s="170"/>
      <c r="G357" s="170"/>
      <c r="H357" s="188"/>
      <c r="J357" s="180"/>
      <c r="K357" s="131"/>
      <c r="R357" s="157"/>
      <c r="S357" s="157"/>
    </row>
    <row r="358" spans="2:19">
      <c r="B358" s="170"/>
      <c r="C358" s="170" t="s">
        <v>820</v>
      </c>
      <c r="D358" s="170" t="e">
        <f>FIXED(etamax,2,TRUE)&amp;"["&amp;'Load Factors'!G6&amp;"("&amp;Main!G288&amp;"+"&amp;Main!G291&amp;") + "&amp;FIXED('Load Factors'!G7,2,TRUE)&amp;"("&amp;Main!G294&amp;") + "&amp;'Load Factors'!G13&amp;"("&amp;Main!G316&amp;")/"&amp;ngirder&amp;" + "&amp;'Load Factors'!G12&amp;"("&amp;FIXED(Main!G306,2,TRUE)&amp;")("&amp;nlane&amp;")/"&amp;ngirder&amp;"] ="</f>
        <v>#DIV/0!</v>
      </c>
      <c r="E358" s="170"/>
      <c r="F358" s="170"/>
      <c r="G358" s="170"/>
      <c r="J358" s="180"/>
      <c r="K358" s="188" t="e">
        <f>etamax*('Load Factors'!G6*(Main!G288+Main!G291)+'Load Factors'!G7*Main!G294+'Load Factors'!G12*Main!G306*nlane/ngirder+'Load Factors'!G13*Main!G316/ngirder)</f>
        <v>#DIV/0!</v>
      </c>
      <c r="L358" s="125" t="s">
        <v>338</v>
      </c>
      <c r="R358" s="157"/>
      <c r="S358" s="157"/>
    </row>
    <row r="359" spans="2:19">
      <c r="B359" s="170"/>
      <c r="C359" s="170" t="s">
        <v>821</v>
      </c>
      <c r="D359" s="170" t="e">
        <f>FIXED(etamin,2,TRUE)&amp;"["&amp;FIXED('Load Factors'!H6,2,TRUE)&amp;"("&amp;Main!G288&amp;"+"&amp;Main!G291&amp;") + "&amp;FIXED('Load Factors'!H7,2,TRUE)&amp;"("&amp;Main!G294&amp;") + "&amp;FIXED('Load Factors'!H13,2,TRUE)&amp;"("&amp;FIXED(G317,2,TRUE)&amp;")/"&amp;ngirder&amp;"] + "&amp;IF(Main!G307&lt;0,FIXED(etamax,2,TRUE),FIXED(etamin,2,TRUE))&amp;"["&amp;'Load Factors'!H12&amp;"("&amp;FIXED(Main!G307,2,TRUE)&amp;")("&amp;nlane&amp;")/"&amp;ngirder&amp;"] ="</f>
        <v>#DIV/0!</v>
      </c>
      <c r="F359" s="170"/>
      <c r="G359" s="170"/>
      <c r="H359" s="188"/>
      <c r="J359" s="180"/>
      <c r="K359" s="188" t="e">
        <f>etamin*('Load Factors'!H6*(Main!G288+Main!G291)+'Load Factors'!H7*Main!G294+'Load Factors'!H13*Main!G317/ngirder)+IF(Main!G307&lt;0,etamax,etamin)*('Load Factors'!H12*Main!G307*nlane/ngirder)</f>
        <v>#DIV/0!</v>
      </c>
      <c r="L359" s="125" t="s">
        <v>338</v>
      </c>
      <c r="R359" s="157"/>
      <c r="S359" s="157"/>
    </row>
    <row r="360" spans="2:19">
      <c r="B360" s="170"/>
      <c r="C360" s="170"/>
      <c r="D360" s="170"/>
      <c r="E360" s="170"/>
      <c r="F360" s="170"/>
      <c r="G360" s="170"/>
      <c r="J360" s="180"/>
      <c r="K360" s="131"/>
      <c r="R360" s="157"/>
      <c r="S360" s="157"/>
    </row>
    <row r="361" spans="2:19">
      <c r="B361" s="170" t="s">
        <v>823</v>
      </c>
      <c r="C361" s="170"/>
      <c r="F361" s="170"/>
      <c r="G361" s="170"/>
      <c r="H361" s="188"/>
      <c r="J361" s="180"/>
      <c r="K361" s="131"/>
      <c r="R361" s="157"/>
      <c r="S361" s="157"/>
    </row>
    <row r="362" spans="2:19">
      <c r="B362" s="170"/>
      <c r="C362" s="170" t="s">
        <v>820</v>
      </c>
      <c r="D362" s="170" t="e">
        <f>FIXED(etamax,2,TRUE)&amp;"["&amp;'Load Factors'!I6&amp;"("&amp;Main!G288&amp;"+"&amp;Main!G291&amp;") + "&amp;FIXED('Load Factors'!I7,2,TRUE)&amp;"("&amp;Main!G294&amp;") + "&amp;'Load Factors'!I12&amp;"["&amp;FIXED(Main!G308,2,TRUE)&amp;"+"&amp;FIXED(Main!G306,2,TRUE)&amp;"("&amp;nlane2&amp;"-1)]/"&amp;ngirder&amp;"] ="</f>
        <v>#DIV/0!</v>
      </c>
      <c r="E362" s="170"/>
      <c r="F362" s="170"/>
      <c r="G362" s="170"/>
      <c r="J362" s="180"/>
      <c r="K362" s="188" t="e">
        <f>etamax*('Load Factors'!I6*(Main!G288+Main!G291)+'Load Factors'!I7*Main!G294+'Load Factors'!I12*(Main!G308+Main!G306*(nlane2-1))/ngirder)</f>
        <v>#DIV/0!</v>
      </c>
      <c r="L362" s="125" t="s">
        <v>338</v>
      </c>
      <c r="R362" s="157"/>
      <c r="S362" s="157"/>
    </row>
    <row r="363" spans="2:19">
      <c r="B363" s="170"/>
      <c r="C363" s="170" t="s">
        <v>821</v>
      </c>
      <c r="D363" s="170" t="e">
        <f>FIXED(etamin,2,TRUE)&amp;"["&amp;FIXED('Load Factors'!J6,2,TRUE)&amp;"("&amp;Main!G288&amp;"+"&amp;Main!G291&amp;") +"&amp;FIXED('Load Factors'!J7,2,TRUE)&amp;"("&amp;Main!G294&amp;")] + "&amp;'Load Factors'!J12&amp;"[("&amp;IF(Main!G309&lt;0,FIXED(etamax,2,TRUE),FIXED(etamin,2,TRUE))&amp;")("&amp;FIXED(Main!G309,2,TRUE)&amp;")+("&amp;IF(Main!G307&lt;0,FIXED(etamax,2,TRUE),FIXED(etamin,2,TRUE))&amp;")("&amp;FIXED(Main!G307,2,TRUE)&amp;")("&amp;nlane2&amp;"-1)]/"&amp;ngirder&amp;" ="</f>
        <v>#DIV/0!</v>
      </c>
      <c r="F363" s="170"/>
      <c r="G363" s="170"/>
      <c r="H363" s="188"/>
      <c r="J363" s="180"/>
      <c r="K363" s="188" t="e">
        <f>etamin*('Load Factors'!J6*(Main!G288+Main!G291)+'Load Factors'!J7*Main!G294)+'Load Factors'!J12*(IF(Main!G309&lt;0,etamax,etamin)*Main!G309+IF(Main!G307&lt;0,etamax,etamin)*Main!G307*(nlane2-1))/ngirder</f>
        <v>#DIV/0!</v>
      </c>
      <c r="L363" s="125" t="s">
        <v>338</v>
      </c>
      <c r="R363" s="157"/>
      <c r="S363" s="157"/>
    </row>
    <row r="364" spans="2:19">
      <c r="B364" s="170"/>
      <c r="C364" s="170"/>
      <c r="D364" s="170"/>
      <c r="E364" s="170"/>
      <c r="F364" s="170"/>
      <c r="G364" s="170"/>
      <c r="J364" s="180"/>
      <c r="K364" s="131"/>
      <c r="R364" s="157"/>
      <c r="S364" s="157"/>
    </row>
    <row r="365" spans="2:19">
      <c r="B365" s="170" t="s">
        <v>522</v>
      </c>
      <c r="C365" s="170"/>
      <c r="F365" s="170"/>
      <c r="G365" s="170"/>
      <c r="H365" s="188"/>
      <c r="J365" s="180"/>
      <c r="K365" s="131"/>
      <c r="R365" s="157"/>
      <c r="S365" s="157"/>
    </row>
    <row r="366" spans="2:19">
      <c r="B366" s="170"/>
      <c r="C366" s="170" t="s">
        <v>820</v>
      </c>
      <c r="D366" s="170" t="str">
        <f>FIXED(etamax,2,TRUE)&amp;"["&amp;'Load Factors'!K6&amp;"("&amp;Main!G288&amp;"+"&amp;Main!G291&amp;") + "&amp;FIXED('Load Factors'!K7,2,TRUE)&amp;"("&amp;Main!G294&amp;")] ="</f>
        <v>0.95[1.25(+0) + 1.50(0)] =</v>
      </c>
      <c r="E366" s="170"/>
      <c r="F366" s="170"/>
      <c r="G366" s="170"/>
      <c r="J366" s="180"/>
      <c r="K366" s="188">
        <f>etamax*('Load Factors'!K6*(Main!G288+Main!G291)+'Load Factors'!K7*Main!G294)</f>
        <v>0</v>
      </c>
      <c r="L366" s="125" t="s">
        <v>338</v>
      </c>
      <c r="R366" s="157"/>
      <c r="S366" s="157"/>
    </row>
    <row r="367" spans="2:19">
      <c r="B367" s="170"/>
      <c r="C367" s="170" t="s">
        <v>821</v>
      </c>
      <c r="D367" s="170" t="e">
        <f>FIXED(etamin,2,TRUE)&amp;"["&amp;FIXED('Load Factors'!L6,2,TRUE)&amp;"("&amp;Main!G288&amp;"+"&amp;Main!G291&amp;") + "&amp;FIXED('Load Factors'!L7,2,TRUE)&amp;"("&amp;Main!G294&amp;")] ="</f>
        <v>#DIV/0!</v>
      </c>
      <c r="F367" s="170"/>
      <c r="G367" s="170"/>
      <c r="H367" s="188"/>
      <c r="J367" s="180"/>
      <c r="K367" s="188" t="e">
        <f>etamin*('Load Factors'!L6*(Main!G288+Main!G291)+'Load Factors'!L7*Main!G294)</f>
        <v>#DIV/0!</v>
      </c>
      <c r="L367" s="125" t="s">
        <v>338</v>
      </c>
      <c r="M367" s="131"/>
      <c r="R367" s="157"/>
      <c r="S367" s="157"/>
    </row>
    <row r="368" spans="2:19">
      <c r="B368" s="170"/>
      <c r="C368" s="170"/>
      <c r="D368" s="170"/>
      <c r="E368" s="170"/>
      <c r="F368" s="170"/>
      <c r="G368" s="170"/>
      <c r="J368" s="180"/>
      <c r="K368" s="131"/>
      <c r="R368" s="157"/>
      <c r="S368" s="157"/>
    </row>
    <row r="369" spans="1:19">
      <c r="B369" s="170" t="s">
        <v>838</v>
      </c>
      <c r="C369" s="170"/>
      <c r="F369" s="170"/>
      <c r="G369" s="170"/>
      <c r="H369" s="188"/>
      <c r="J369" s="180"/>
      <c r="K369" s="131"/>
      <c r="R369" s="157"/>
      <c r="S369" s="157"/>
    </row>
    <row r="370" spans="1:19">
      <c r="B370" s="170"/>
      <c r="C370" s="170" t="s">
        <v>820</v>
      </c>
      <c r="D370" s="170" t="e">
        <f>FIXED(etamax,2,TRUE)&amp;"["&amp;'Load Factors'!M6&amp;"("&amp;Main!G288&amp;"+"&amp;Main!G291&amp;") + "&amp;FIXED('Load Factors'!M7,2,TRUE)&amp;"("&amp;Main!G294&amp;") + "&amp;'Load Factors'!M12&amp;"("&amp;FIXED(Main!G306,2,TRUE)&amp;")("&amp;nlane2&amp;")/"&amp;ngirder&amp;"] ="</f>
        <v>#DIV/0!</v>
      </c>
      <c r="E370" s="170"/>
      <c r="F370" s="170"/>
      <c r="G370" s="170"/>
      <c r="J370" s="180"/>
      <c r="K370" s="188" t="e">
        <f>etamax*('Load Factors'!M6*(Main!G288+Main!G291)+'Load Factors'!M7*Main!G294+'Load Factors'!M12*Main!G306*nlane2/ngirder)</f>
        <v>#DIV/0!</v>
      </c>
      <c r="L370" s="125" t="s">
        <v>338</v>
      </c>
      <c r="R370" s="157"/>
      <c r="S370" s="157"/>
    </row>
    <row r="371" spans="1:19">
      <c r="B371" s="170"/>
      <c r="C371" s="170" t="s">
        <v>821</v>
      </c>
      <c r="D371" s="170" t="e">
        <f>FIXED(etamin,2,TRUE)&amp;"["&amp;FIXED('Load Factors'!N6,2,TRUE)&amp;"("&amp;Main!G288&amp;"+"&amp;Main!G291&amp;") + "&amp;FIXED('Load Factors'!N7,2,TRUE)&amp;"("&amp;Main!G294&amp;")] + "&amp;IF(Main!G307&lt;0,FIXED(etamax,2,TRUE),FIXED(etamin,2,TRUE))&amp;"["&amp;'Load Factors'!N12&amp;"("&amp;FIXED(Main!G307,2,TRUE)&amp;")("&amp;nlane2&amp;")/"&amp;ngirder&amp;"] ="</f>
        <v>#DIV/0!</v>
      </c>
      <c r="F371" s="170"/>
      <c r="G371" s="170"/>
      <c r="H371" s="188"/>
      <c r="J371" s="180"/>
      <c r="K371" s="188" t="e">
        <f>etamin*('Load Factors'!N6*(Main!G288+Main!G291)+'Load Factors'!N7*Main!G294)+IF(Main!G307&lt;0,etamax,etamin)*('Load Factors'!N12*Main!G307*nlane2/ngirder)</f>
        <v>#DIV/0!</v>
      </c>
      <c r="L371" s="125" t="s">
        <v>338</v>
      </c>
      <c r="R371" s="157"/>
      <c r="S371" s="157"/>
    </row>
    <row r="372" spans="1:19">
      <c r="B372" s="170"/>
      <c r="C372" s="170"/>
      <c r="D372" s="170"/>
      <c r="E372" s="170"/>
      <c r="F372" s="170"/>
      <c r="G372" s="170"/>
      <c r="J372" s="180"/>
      <c r="K372" s="131"/>
      <c r="R372" s="157"/>
      <c r="S372" s="157"/>
    </row>
    <row r="373" spans="1:19" ht="13.15">
      <c r="A373" s="253" t="str">
        <f>A318</f>
        <v>LOAD DATA - Cont'd</v>
      </c>
      <c r="B373" s="170"/>
      <c r="C373" s="170"/>
      <c r="D373" s="170"/>
      <c r="E373" s="170"/>
      <c r="F373" s="170"/>
      <c r="G373" s="170"/>
      <c r="J373" s="180"/>
      <c r="K373" s="131"/>
      <c r="R373" s="157"/>
      <c r="S373" s="157"/>
    </row>
    <row r="374" spans="1:19">
      <c r="B374" s="170"/>
      <c r="C374" s="170"/>
      <c r="D374" s="170"/>
      <c r="E374" s="170"/>
      <c r="F374" s="170"/>
      <c r="G374" s="170"/>
      <c r="J374" s="180"/>
      <c r="K374" s="131"/>
      <c r="R374" s="157"/>
      <c r="S374" s="157"/>
    </row>
    <row r="375" spans="1:19">
      <c r="A375" s="577" t="s">
        <v>965</v>
      </c>
      <c r="B375" s="577"/>
      <c r="C375" s="577"/>
      <c r="D375" s="577"/>
      <c r="E375" s="577"/>
      <c r="F375" s="577"/>
      <c r="G375" s="577"/>
      <c r="H375" s="577"/>
      <c r="I375" s="577"/>
      <c r="J375" s="577"/>
      <c r="K375" s="577"/>
      <c r="L375" s="577"/>
      <c r="M375" s="577"/>
      <c r="R375" s="157"/>
      <c r="S375" s="157"/>
    </row>
    <row r="376" spans="1:19">
      <c r="A376" s="577"/>
      <c r="B376" s="577"/>
      <c r="C376" s="577"/>
      <c r="D376" s="577"/>
      <c r="E376" s="577"/>
      <c r="F376" s="577"/>
      <c r="G376" s="577"/>
      <c r="H376" s="577"/>
      <c r="I376" s="577"/>
      <c r="J376" s="577"/>
      <c r="K376" s="577"/>
      <c r="L376" s="577"/>
      <c r="M376" s="577"/>
      <c r="R376" s="157"/>
      <c r="S376" s="157"/>
    </row>
    <row r="377" spans="1:19">
      <c r="A377" s="577"/>
      <c r="B377" s="577"/>
      <c r="C377" s="577"/>
      <c r="D377" s="577"/>
      <c r="E377" s="577"/>
      <c r="F377" s="577"/>
      <c r="G377" s="577"/>
      <c r="H377" s="577"/>
      <c r="I377" s="577"/>
      <c r="J377" s="577"/>
      <c r="K377" s="577"/>
      <c r="L377" s="577"/>
      <c r="M377" s="577"/>
      <c r="R377" s="157"/>
      <c r="S377" s="157"/>
    </row>
    <row r="378" spans="1:19">
      <c r="A378" s="577"/>
      <c r="B378" s="577"/>
      <c r="C378" s="577"/>
      <c r="D378" s="577"/>
      <c r="E378" s="577"/>
      <c r="F378" s="577"/>
      <c r="G378" s="577"/>
      <c r="H378" s="577"/>
      <c r="I378" s="577"/>
      <c r="J378" s="577"/>
      <c r="K378" s="577"/>
      <c r="L378" s="577"/>
      <c r="M378" s="577"/>
      <c r="R378" s="157"/>
      <c r="S378" s="157"/>
    </row>
    <row r="379" spans="1:19">
      <c r="A379" s="577"/>
      <c r="B379" s="577"/>
      <c r="C379" s="577"/>
      <c r="D379" s="577"/>
      <c r="E379" s="577"/>
      <c r="F379" s="577"/>
      <c r="G379" s="577"/>
      <c r="H379" s="577"/>
      <c r="I379" s="577"/>
      <c r="J379" s="577"/>
      <c r="K379" s="577"/>
      <c r="L379" s="577"/>
      <c r="M379" s="577"/>
      <c r="R379" s="157"/>
      <c r="S379" s="157"/>
    </row>
    <row r="380" spans="1:19">
      <c r="B380" s="170"/>
      <c r="C380" s="170"/>
      <c r="D380" s="170"/>
      <c r="E380" s="170"/>
      <c r="F380" s="170"/>
      <c r="G380" s="170"/>
      <c r="H380" s="182"/>
      <c r="J380" s="167"/>
      <c r="R380" s="157"/>
      <c r="S380" s="157"/>
    </row>
    <row r="381" spans="1:19">
      <c r="A381" s="284" t="s">
        <v>806</v>
      </c>
      <c r="B381" s="137"/>
      <c r="C381" s="137"/>
      <c r="D381" s="137"/>
      <c r="E381" s="137"/>
      <c r="F381" s="137"/>
      <c r="G381" s="137"/>
      <c r="H381" s="137"/>
      <c r="I381" s="137"/>
      <c r="J381" s="137"/>
      <c r="R381" s="157"/>
      <c r="S381" s="157"/>
    </row>
    <row r="382" spans="1:19">
      <c r="B382" s="137"/>
      <c r="C382" s="137"/>
      <c r="D382" s="137"/>
      <c r="E382" s="137"/>
      <c r="F382" s="137"/>
      <c r="G382" s="137"/>
      <c r="H382" s="137"/>
      <c r="I382" s="137"/>
      <c r="J382" s="137"/>
      <c r="R382" s="157"/>
      <c r="S382" s="157"/>
    </row>
    <row r="383" spans="1:19" ht="13.15" thickBot="1">
      <c r="B383" s="125" t="s">
        <v>357</v>
      </c>
      <c r="R383" s="157"/>
      <c r="S383" s="157"/>
    </row>
    <row r="384" spans="1:19" ht="13.15" thickBot="1">
      <c r="C384" s="125" t="s">
        <v>820</v>
      </c>
      <c r="D384" s="515"/>
      <c r="E384" s="125" t="s">
        <v>834</v>
      </c>
      <c r="F384" s="89">
        <f>+D384*180/PI()</f>
        <v>0</v>
      </c>
      <c r="G384" s="125" t="s">
        <v>833</v>
      </c>
      <c r="H384" s="330" t="str">
        <f>IF(phl93rotmax&lt;0,"Warning - Maximum rotation should be positive.","")</f>
        <v/>
      </c>
      <c r="R384" s="157"/>
      <c r="S384" s="514">
        <f>IF(LEFT(H384,5)="Warni",1,0)</f>
        <v>0</v>
      </c>
    </row>
    <row r="385" spans="1:19" ht="13.15" thickBot="1">
      <c r="C385" s="125" t="s">
        <v>821</v>
      </c>
      <c r="D385" s="515"/>
      <c r="E385" s="125" t="s">
        <v>834</v>
      </c>
      <c r="F385" s="89">
        <f>+D385*180/PI()</f>
        <v>0</v>
      </c>
      <c r="G385" s="125" t="s">
        <v>833</v>
      </c>
      <c r="H385" s="330" t="str">
        <f>IF(phl93rotmin&gt;0,"Warning - Minimum rotation should be negative.","")</f>
        <v/>
      </c>
      <c r="R385" s="157"/>
      <c r="S385" s="514">
        <f t="shared" ref="S385:S389" si="0">IF(LEFT(H385,5)="Warni",1,0)</f>
        <v>0</v>
      </c>
    </row>
    <row r="386" spans="1:19">
      <c r="D386" s="262"/>
      <c r="F386" s="89"/>
      <c r="R386" s="157"/>
      <c r="S386" s="514"/>
    </row>
    <row r="387" spans="1:19" ht="13.15" thickBot="1">
      <c r="B387" s="125" t="s">
        <v>819</v>
      </c>
      <c r="R387" s="157"/>
      <c r="S387" s="514"/>
    </row>
    <row r="388" spans="1:19" ht="13.15" thickBot="1">
      <c r="C388" s="125" t="s">
        <v>820</v>
      </c>
      <c r="D388" s="515"/>
      <c r="E388" s="125" t="s">
        <v>834</v>
      </c>
      <c r="F388" s="89">
        <f>+D388*180/PI()</f>
        <v>0</v>
      </c>
      <c r="G388" s="125" t="s">
        <v>833</v>
      </c>
      <c r="H388" s="330" t="str">
        <f>IF(p82rotmax&lt;0,"Warning - Maximum rotation should be positive.","")</f>
        <v/>
      </c>
      <c r="R388" s="157"/>
      <c r="S388" s="514">
        <f t="shared" si="0"/>
        <v>0</v>
      </c>
    </row>
    <row r="389" spans="1:19" ht="13.15" thickBot="1">
      <c r="C389" s="125" t="s">
        <v>821</v>
      </c>
      <c r="D389" s="515"/>
      <c r="E389" s="125" t="s">
        <v>834</v>
      </c>
      <c r="F389" s="89">
        <f>+D389*180/PI()</f>
        <v>0</v>
      </c>
      <c r="G389" s="125" t="s">
        <v>833</v>
      </c>
      <c r="H389" s="330" t="str">
        <f>IF(p82rotmin&gt;0,"Warning - Minimum rotation should be negative.","")</f>
        <v/>
      </c>
      <c r="S389" s="514">
        <f t="shared" si="0"/>
        <v>0</v>
      </c>
    </row>
    <row r="390" spans="1:19">
      <c r="B390" s="330" t="str">
        <f>IF(phl93rotmax*phl93rotmin&gt;0,"Warning - max and min live load rotations should be opposite signs (or one should be zero)",IF(p82rotmax*p82rotmin&gt;0,"Warning - max and min live load rotations should be opposite signs (or one should be zero)",""))</f>
        <v/>
      </c>
      <c r="G390" s="263"/>
      <c r="I390" s="89"/>
      <c r="R390" s="157">
        <f>IF(LEFT(B390,5)="Error",1,0)</f>
        <v>0</v>
      </c>
      <c r="S390" s="157">
        <f>IF(LEFT(B390,5)="Warni",1,0)</f>
        <v>0</v>
      </c>
    </row>
    <row r="391" spans="1:19">
      <c r="A391" s="588" t="s">
        <v>903</v>
      </c>
      <c r="B391" s="577"/>
      <c r="C391" s="577"/>
      <c r="D391" s="577"/>
      <c r="E391" s="577"/>
      <c r="F391" s="577"/>
      <c r="G391" s="577"/>
      <c r="H391" s="577"/>
      <c r="I391" s="577"/>
      <c r="J391" s="577"/>
      <c r="K391" s="577"/>
      <c r="L391" s="577"/>
      <c r="M391" s="577"/>
      <c r="R391" s="157"/>
      <c r="S391" s="157"/>
    </row>
    <row r="392" spans="1:19">
      <c r="A392" s="577"/>
      <c r="B392" s="577"/>
      <c r="C392" s="577"/>
      <c r="D392" s="577"/>
      <c r="E392" s="577"/>
      <c r="F392" s="577"/>
      <c r="G392" s="577"/>
      <c r="H392" s="577"/>
      <c r="I392" s="577"/>
      <c r="J392" s="577"/>
      <c r="K392" s="577"/>
      <c r="L392" s="577"/>
      <c r="M392" s="577"/>
      <c r="R392" s="157"/>
      <c r="S392" s="157"/>
    </row>
    <row r="393" spans="1:19">
      <c r="A393" s="577"/>
      <c r="B393" s="577"/>
      <c r="C393" s="577"/>
      <c r="D393" s="577"/>
      <c r="E393" s="577"/>
      <c r="F393" s="577"/>
      <c r="G393" s="577"/>
      <c r="H393" s="577"/>
      <c r="I393" s="577"/>
      <c r="J393" s="577"/>
      <c r="K393" s="577"/>
      <c r="L393" s="577"/>
      <c r="M393" s="577"/>
      <c r="R393" s="157"/>
      <c r="S393" s="157"/>
    </row>
    <row r="394" spans="1:19">
      <c r="A394" s="577"/>
      <c r="B394" s="577"/>
      <c r="C394" s="577"/>
      <c r="D394" s="577"/>
      <c r="E394" s="577"/>
      <c r="F394" s="577"/>
      <c r="G394" s="577"/>
      <c r="H394" s="577"/>
      <c r="I394" s="577"/>
      <c r="J394" s="577"/>
      <c r="K394" s="577"/>
      <c r="L394" s="577"/>
      <c r="M394" s="577"/>
      <c r="R394" s="157"/>
      <c r="S394" s="157"/>
    </row>
    <row r="395" spans="1:19">
      <c r="A395" s="577"/>
      <c r="B395" s="577"/>
      <c r="C395" s="577"/>
      <c r="D395" s="577"/>
      <c r="E395" s="577"/>
      <c r="F395" s="577"/>
      <c r="G395" s="577"/>
      <c r="H395" s="577"/>
      <c r="I395" s="577"/>
      <c r="J395" s="577"/>
      <c r="K395" s="577"/>
      <c r="L395" s="577"/>
      <c r="M395" s="577"/>
      <c r="R395" s="157"/>
      <c r="S395" s="157"/>
    </row>
    <row r="396" spans="1:19">
      <c r="G396" s="89"/>
      <c r="R396" s="157"/>
      <c r="S396" s="157"/>
    </row>
    <row r="397" spans="1:19">
      <c r="A397" s="125" t="s">
        <v>807</v>
      </c>
      <c r="B397" s="137"/>
      <c r="C397" s="137"/>
      <c r="D397" s="137"/>
      <c r="E397" s="137"/>
      <c r="F397" s="137"/>
      <c r="G397" s="137"/>
      <c r="H397" s="137"/>
      <c r="I397" s="137"/>
      <c r="J397" s="137"/>
      <c r="R397" s="157"/>
      <c r="S397" s="157"/>
    </row>
    <row r="398" spans="1:19">
      <c r="R398" s="157"/>
      <c r="S398" s="157"/>
    </row>
    <row r="399" spans="1:19">
      <c r="B399" s="125" t="s">
        <v>357</v>
      </c>
      <c r="R399" s="157"/>
      <c r="S399" s="157"/>
    </row>
    <row r="400" spans="1:19">
      <c r="C400" s="125" t="s">
        <v>820</v>
      </c>
      <c r="D400" s="510" t="str">
        <f>"("&amp;FIXED(D384,6,TRUE)&amp;"/"&amp;distrfactrot&amp;")("&amp;nlane2&amp;"/"&amp;ngirder&amp;") ="</f>
        <v>(0.000000/)(0/) =</v>
      </c>
      <c r="G400" s="511" t="e">
        <f>D384/distrfactrot*(nlane2/ngirder)</f>
        <v>#DIV/0!</v>
      </c>
      <c r="H400" s="125" t="s">
        <v>834</v>
      </c>
      <c r="I400" s="89" t="e">
        <f>+G400*180/PI()</f>
        <v>#DIV/0!</v>
      </c>
      <c r="J400" s="125" t="s">
        <v>833</v>
      </c>
      <c r="R400" s="157"/>
      <c r="S400" s="157"/>
    </row>
    <row r="401" spans="1:19">
      <c r="C401" s="125" t="s">
        <v>821</v>
      </c>
      <c r="D401" s="510" t="str">
        <f>"("&amp;FIXED(D385,6,TRUE)&amp;"/"&amp;distrfactrot&amp;")("&amp;nlane2&amp;"/"&amp;ngirder&amp;") ="</f>
        <v>(0.000000/)(0/) =</v>
      </c>
      <c r="G401" s="511" t="e">
        <f>D385/distrfactrot*(nlane2/ngirder)</f>
        <v>#DIV/0!</v>
      </c>
      <c r="H401" s="125" t="s">
        <v>834</v>
      </c>
      <c r="I401" s="89" t="e">
        <f>+G401*180/PI()</f>
        <v>#DIV/0!</v>
      </c>
      <c r="J401" s="125" t="s">
        <v>833</v>
      </c>
      <c r="R401" s="157"/>
      <c r="S401" s="157"/>
    </row>
    <row r="402" spans="1:19">
      <c r="R402" s="157"/>
      <c r="S402" s="157"/>
    </row>
    <row r="403" spans="1:19">
      <c r="B403" s="125" t="s">
        <v>819</v>
      </c>
      <c r="R403" s="157"/>
      <c r="S403" s="157"/>
    </row>
    <row r="404" spans="1:19">
      <c r="C404" s="125" t="s">
        <v>820</v>
      </c>
      <c r="D404" s="510" t="str">
        <f>"("&amp;FIXED(D388,6,TRUE)&amp;"/"&amp;distrfactrot&amp;")("&amp;nlane2&amp;"/"&amp;ngirder&amp;") ="</f>
        <v>(0.000000/)(0/) =</v>
      </c>
      <c r="G404" s="511" t="e">
        <f>D388/distrfactrot*(nlane2/ngirder)</f>
        <v>#DIV/0!</v>
      </c>
      <c r="H404" s="125" t="s">
        <v>834</v>
      </c>
      <c r="I404" s="89" t="e">
        <f>+G404*180/PI()</f>
        <v>#DIV/0!</v>
      </c>
      <c r="J404" s="125" t="s">
        <v>833</v>
      </c>
      <c r="R404" s="157"/>
      <c r="S404" s="157"/>
    </row>
    <row r="405" spans="1:19">
      <c r="C405" s="125" t="s">
        <v>821</v>
      </c>
      <c r="D405" s="510" t="str">
        <f>"("&amp;FIXED(D389,6,TRUE)&amp;"/"&amp;distrfactrot&amp;")("&amp;nlane2&amp;"/"&amp;ngirder&amp;") ="</f>
        <v>(0.000000/)(0/) =</v>
      </c>
      <c r="G405" s="511" t="e">
        <f>D389/distrfactrot*(nlane2/ngirder)</f>
        <v>#DIV/0!</v>
      </c>
      <c r="H405" s="125" t="s">
        <v>834</v>
      </c>
      <c r="I405" s="89" t="e">
        <f>+G405*180/PI()</f>
        <v>#DIV/0!</v>
      </c>
      <c r="J405" s="125" t="s">
        <v>833</v>
      </c>
      <c r="R405" s="157"/>
      <c r="S405" s="157"/>
    </row>
    <row r="406" spans="1:19">
      <c r="R406" s="157"/>
      <c r="S406" s="157"/>
    </row>
    <row r="407" spans="1:19">
      <c r="R407" s="157"/>
      <c r="S407" s="157"/>
    </row>
    <row r="408" spans="1:19">
      <c r="A408" s="578" t="str">
        <f>"The total rotation of any composite dead load rotations (unfactored), e.g. future wearing surface and Barriers, can be input here.  This value will be factored using the maximum DW load factor, "&amp;FIXED('Load Factors'!E7,2,TRUE)&amp;"."</f>
        <v>The total rotation of any composite dead load rotations (unfactored), e.g. future wearing surface and Barriers, can be input here.  This value will be factored using the maximum DW load factor, 1.50.</v>
      </c>
      <c r="B408" s="578"/>
      <c r="C408" s="578"/>
      <c r="D408" s="578"/>
      <c r="E408" s="578"/>
      <c r="F408" s="578"/>
      <c r="G408" s="578"/>
      <c r="H408" s="578"/>
      <c r="I408" s="578"/>
      <c r="J408" s="578"/>
      <c r="K408" s="578"/>
      <c r="L408" s="578"/>
      <c r="M408" s="578"/>
      <c r="R408" s="157"/>
      <c r="S408" s="157"/>
    </row>
    <row r="409" spans="1:19">
      <c r="A409" s="578"/>
      <c r="B409" s="578"/>
      <c r="C409" s="578"/>
      <c r="D409" s="578"/>
      <c r="E409" s="578"/>
      <c r="F409" s="578"/>
      <c r="G409" s="578"/>
      <c r="H409" s="578"/>
      <c r="I409" s="578"/>
      <c r="J409" s="578"/>
      <c r="K409" s="578"/>
      <c r="L409" s="578"/>
      <c r="M409" s="578"/>
      <c r="R409" s="157"/>
      <c r="S409" s="157"/>
    </row>
    <row r="410" spans="1:19" ht="13.15" thickBot="1">
      <c r="A410" s="162"/>
      <c r="B410" s="162"/>
      <c r="C410" s="162"/>
      <c r="D410" s="162"/>
      <c r="E410" s="162"/>
      <c r="F410" s="162"/>
      <c r="G410" s="162"/>
      <c r="H410" s="162"/>
      <c r="I410" s="162"/>
      <c r="J410" s="162"/>
      <c r="K410" s="162"/>
      <c r="L410" s="162"/>
      <c r="M410" s="162"/>
      <c r="R410" s="157"/>
      <c r="S410" s="157"/>
    </row>
    <row r="411" spans="1:19" ht="13.15" thickBot="1">
      <c r="B411" s="125" t="s">
        <v>811</v>
      </c>
      <c r="G411" s="515"/>
      <c r="H411" s="125" t="s">
        <v>834</v>
      </c>
      <c r="I411" s="89">
        <f>+G411*180/PI()</f>
        <v>0</v>
      </c>
      <c r="J411" s="125" t="s">
        <v>833</v>
      </c>
      <c r="R411" s="157"/>
      <c r="S411" s="157"/>
    </row>
    <row r="412" spans="1:19">
      <c r="B412" s="330" t="str">
        <f>IF(dwrot&lt;0,"Warning - Rotation is typically positive - Verify","")</f>
        <v/>
      </c>
      <c r="G412" s="89"/>
      <c r="R412" s="157"/>
      <c r="S412" s="514">
        <f>IF(LEFT(B412,5)="Warni",1,0)</f>
        <v>0</v>
      </c>
    </row>
    <row r="413" spans="1:19">
      <c r="A413" s="577" t="s">
        <v>480</v>
      </c>
      <c r="B413" s="577"/>
      <c r="C413" s="577"/>
      <c r="D413" s="577"/>
      <c r="E413" s="577"/>
      <c r="F413" s="577"/>
      <c r="G413" s="577"/>
      <c r="H413" s="577"/>
      <c r="I413" s="577"/>
      <c r="J413" s="577"/>
      <c r="K413" s="577"/>
      <c r="L413" s="577"/>
      <c r="M413" s="577"/>
      <c r="R413" s="157"/>
      <c r="S413" s="157"/>
    </row>
    <row r="414" spans="1:19">
      <c r="A414" s="577"/>
      <c r="B414" s="577"/>
      <c r="C414" s="577"/>
      <c r="D414" s="577"/>
      <c r="E414" s="577"/>
      <c r="F414" s="577"/>
      <c r="G414" s="577"/>
      <c r="H414" s="577"/>
      <c r="I414" s="577"/>
      <c r="J414" s="577"/>
      <c r="K414" s="577"/>
      <c r="L414" s="577"/>
      <c r="M414" s="577"/>
      <c r="R414" s="157"/>
      <c r="S414" s="157"/>
    </row>
    <row r="415" spans="1:19">
      <c r="A415" s="577"/>
      <c r="B415" s="577"/>
      <c r="C415" s="577"/>
      <c r="D415" s="577"/>
      <c r="E415" s="577"/>
      <c r="F415" s="577"/>
      <c r="G415" s="577"/>
      <c r="H415" s="577"/>
      <c r="I415" s="577"/>
      <c r="J415" s="577"/>
      <c r="K415" s="577"/>
      <c r="L415" s="577"/>
      <c r="M415" s="577"/>
      <c r="R415" s="157"/>
      <c r="S415" s="157"/>
    </row>
    <row r="416" spans="1:19">
      <c r="A416" s="577"/>
      <c r="B416" s="577"/>
      <c r="C416" s="577"/>
      <c r="D416" s="577"/>
      <c r="E416" s="577"/>
      <c r="F416" s="577"/>
      <c r="G416" s="577"/>
      <c r="H416" s="577"/>
      <c r="I416" s="577"/>
      <c r="J416" s="577"/>
      <c r="K416" s="577"/>
      <c r="L416" s="577"/>
      <c r="M416" s="577"/>
      <c r="R416" s="157"/>
      <c r="S416" s="157"/>
    </row>
    <row r="417" spans="1:19">
      <c r="A417" s="137"/>
      <c r="B417" s="137"/>
      <c r="C417" s="137"/>
      <c r="D417" s="137"/>
      <c r="E417" s="137"/>
      <c r="F417" s="137"/>
      <c r="G417" s="137"/>
      <c r="H417" s="137"/>
      <c r="I417" s="137"/>
      <c r="R417" s="157"/>
      <c r="S417" s="157"/>
    </row>
    <row r="418" spans="1:19">
      <c r="A418" s="125" t="s">
        <v>232</v>
      </c>
      <c r="R418" s="157"/>
      <c r="S418" s="157"/>
    </row>
    <row r="419" spans="1:19">
      <c r="R419" s="157"/>
      <c r="S419" s="157"/>
    </row>
    <row r="420" spans="1:19">
      <c r="A420" s="264" t="s">
        <v>820</v>
      </c>
      <c r="R420" s="157"/>
      <c r="S420" s="157"/>
    </row>
    <row r="421" spans="1:19">
      <c r="A421" s="264" t="e">
        <f>"("&amp;FIXED(etamax,2,TRUE)&amp;")["&amp;IF((ABS(G404)/nlane2+ABS(G400)*(nlane2-1)/nlane2)*'Load Factors'!I12&gt;ABS(G400)*'Load Factors'!E12,"("&amp;'Load Factors'!I12&amp;")("&amp;FIXED(G404,6,TRUE)&amp;"/"&amp;nlane2&amp;" + "&amp;FIXED(G400,6,TRUE)&amp;"("&amp;nlane2&amp;"-1)/"&amp;nlane2&amp;") + ("&amp;FIXED('Load Factors'!I7,2,TRUE)&amp;")("&amp;IF(G411*phl93rotmax&lt;0,"0.000000",FIXED(G411,6,TRUE))&amp;")] =","("&amp;'Load Factors'!E12&amp;")("&amp;FIXED(G400,6,TRUE)&amp;") + ("&amp;FIXED('Load Factors'!E7,2,TRUE)&amp;")("&amp;IF(G411*phl93rotmax&lt;0,"0.000000",FIXED(G411,6,TRUE))&amp;")] =")</f>
        <v>#DIV/0!</v>
      </c>
      <c r="H421" s="511" t="e">
        <f>etamax*(IF((ABS(G404)/nlane2+ABS(G400)*(nlane2-1)/nlane2)*'Load Factors'!I12&gt;ABS(G400)*'Load Factors'!E12,'Load Factors'!I12*(G404/nlane2+G400*(nlane2-1)/nlane2)+'Load Factors'!I7*IF(G411*phl93rotmax&lt;0,0,G411),'Load Factors'!E12*Main!G400+'Load Factors'!E7*IF(G411*phl93rotmax&lt;0,0,G411)))</f>
        <v>#DIV/0!</v>
      </c>
      <c r="I421" s="125" t="s">
        <v>834</v>
      </c>
      <c r="J421" s="89" t="e">
        <f>+H421*180/PI()</f>
        <v>#DIV/0!</v>
      </c>
      <c r="K421" s="125" t="s">
        <v>833</v>
      </c>
      <c r="M421" s="189"/>
      <c r="R421" s="157"/>
      <c r="S421" s="157"/>
    </row>
    <row r="422" spans="1:19">
      <c r="B422" s="174" t="e">
        <f>"Controlling load: "&amp;IF((ABS(G404)/nlane2+ABS(G400)*(nlane2-1)/nlane2)*1.35&gt;ABS(G400)*1.75,"one lane P-82, remaining lanes PHL-93","PHL-93 all lanes")</f>
        <v>#DIV/0!</v>
      </c>
      <c r="D422" s="508"/>
      <c r="K422" s="189"/>
      <c r="M422" s="190"/>
      <c r="R422" s="157"/>
      <c r="S422" s="157"/>
    </row>
    <row r="423" spans="1:19">
      <c r="C423" s="259"/>
      <c r="K423" s="189"/>
      <c r="M423" s="190"/>
      <c r="R423" s="157"/>
      <c r="S423" s="157"/>
    </row>
    <row r="424" spans="1:19">
      <c r="A424" s="264" t="s">
        <v>821</v>
      </c>
      <c r="K424" s="189"/>
      <c r="M424" s="190"/>
      <c r="R424" s="157"/>
      <c r="S424" s="157"/>
    </row>
    <row r="425" spans="1:19">
      <c r="A425" s="264" t="e">
        <f>"("&amp;FIXED(etamax,2,TRUE)&amp;")["&amp;IF((ABS(G405)/nlane2+ABS(G401)*(nlane2-1)/nlane2)*'Load Factors'!I12&gt;ABS(G401)*'Load Factors'!E12,"("&amp;'Load Factors'!I12&amp;")("&amp;FIXED(G405,6,TRUE)&amp;"/"&amp;nlane2&amp;" + "&amp;FIXED(G401,6,TRUE)&amp;"("&amp;nlane2&amp;"-1)/"&amp;nlane2&amp;") + ("&amp;FIXED('Load Factors'!I7,2,TRUE)&amp;")("&amp;IF(G411*phl93rotmax&lt;0,FIXED(G411,6,TRUE),"0.000000")&amp;")] =","("&amp;'Load Factors'!E12&amp;")("&amp;FIXED(G401,6,TRUE)&amp;") + ("&amp;FIXED('Load Factors'!E7,2,TRUE)&amp;")("&amp;IF(G411*phl93rotmax&lt;0,FIXED(G411,6,TRUE),"0.000000")&amp;")] =")</f>
        <v>#DIV/0!</v>
      </c>
      <c r="H425" s="511" t="e">
        <f>etamax*(IF((ABS(G405)/nlane2+ABS(G401)*(nlane2-1)/nlane2)*'Load Factors'!I12&gt;ABS(G401)*'Load Factors'!E12,'Load Factors'!I12*(G405/nlane2+G401*(nlane2-1)/nlane2)+'Load Factors'!I7*IF(G411*phl93rotmax&lt;0,G411,0),'Load Factors'!E12*G401+'Load Factors'!E7*IF(G411*phl93rotmax&lt;0,G411,0)))</f>
        <v>#DIV/0!</v>
      </c>
      <c r="I425" s="125" t="s">
        <v>834</v>
      </c>
      <c r="J425" s="89" t="e">
        <f>+H425*180/PI()</f>
        <v>#DIV/0!</v>
      </c>
      <c r="K425" s="125" t="s">
        <v>833</v>
      </c>
      <c r="M425" s="190"/>
      <c r="R425" s="157"/>
      <c r="S425" s="157"/>
    </row>
    <row r="426" spans="1:19">
      <c r="B426" s="174" t="e">
        <f>"Controlling load: "&amp;IF((ABS(G405)/nlane2+ABS(G401)*(nlane2-1)/nlane2)*1.35&gt;ABS(G401)*1.75,"one lane P-82, remaining lanes PHL-93",IF((ABS(G405)/nlane2+ABS(G401)*(nlane2-1)/nlane2)*1.35&lt;ABS(G401)*1.75,"PHL-93 all lanes",""))</f>
        <v>#DIV/0!</v>
      </c>
      <c r="C426" s="264"/>
      <c r="K426" s="189"/>
      <c r="R426" s="157"/>
      <c r="S426" s="157"/>
    </row>
    <row r="427" spans="1:19">
      <c r="C427" s="259"/>
      <c r="K427" s="189"/>
      <c r="R427" s="157"/>
      <c r="S427" s="157"/>
    </row>
    <row r="428" spans="1:19" ht="13.15">
      <c r="A428" s="253" t="str">
        <f>A373</f>
        <v>LOAD DATA - Cont'd</v>
      </c>
      <c r="G428" s="89"/>
      <c r="I428" s="189"/>
      <c r="K428" s="189"/>
      <c r="R428" s="157"/>
      <c r="S428" s="157"/>
    </row>
    <row r="429" spans="1:19">
      <c r="G429" s="89"/>
      <c r="I429" s="189"/>
      <c r="K429" s="189"/>
      <c r="R429" s="157"/>
      <c r="S429" s="157"/>
    </row>
    <row r="430" spans="1:19" ht="13.15">
      <c r="A430" s="253" t="s">
        <v>824</v>
      </c>
      <c r="I430" s="167"/>
      <c r="R430" s="157"/>
      <c r="S430" s="157"/>
    </row>
    <row r="431" spans="1:19">
      <c r="A431" s="583" t="s">
        <v>302</v>
      </c>
      <c r="B431" s="583"/>
      <c r="C431" s="583"/>
      <c r="D431" s="583"/>
      <c r="E431" s="583"/>
      <c r="F431" s="583"/>
      <c r="G431" s="583"/>
      <c r="H431" s="583"/>
      <c r="I431" s="583"/>
      <c r="J431" s="583"/>
      <c r="K431" s="583"/>
      <c r="L431" s="583"/>
      <c r="M431" s="583"/>
      <c r="R431" s="157"/>
      <c r="S431" s="157"/>
    </row>
    <row r="432" spans="1:19">
      <c r="A432" s="583"/>
      <c r="B432" s="583"/>
      <c r="C432" s="583"/>
      <c r="D432" s="583"/>
      <c r="E432" s="583"/>
      <c r="F432" s="583"/>
      <c r="G432" s="583"/>
      <c r="H432" s="583"/>
      <c r="I432" s="583"/>
      <c r="J432" s="583"/>
      <c r="K432" s="583"/>
      <c r="L432" s="583"/>
      <c r="M432" s="583"/>
      <c r="R432" s="157"/>
      <c r="S432" s="157"/>
    </row>
    <row r="433" spans="1:19">
      <c r="R433" s="157"/>
      <c r="S433" s="157"/>
    </row>
    <row r="434" spans="1:19">
      <c r="A434" s="260" t="s">
        <v>826</v>
      </c>
      <c r="R434" s="157"/>
      <c r="S434" s="157"/>
    </row>
    <row r="435" spans="1:19">
      <c r="A435" s="174" t="s">
        <v>812</v>
      </c>
      <c r="B435" s="137"/>
      <c r="C435" s="137"/>
      <c r="D435" s="137"/>
      <c r="E435" s="137"/>
      <c r="F435" s="137"/>
      <c r="G435" s="137"/>
      <c r="H435" s="137"/>
      <c r="I435" s="137"/>
      <c r="J435" s="137"/>
      <c r="R435" s="157"/>
      <c r="S435" s="157"/>
    </row>
    <row r="436" spans="1:19" ht="13.15" thickBot="1">
      <c r="A436" s="174"/>
      <c r="B436" s="137"/>
      <c r="C436" s="137"/>
      <c r="D436" s="137"/>
      <c r="E436" s="137"/>
      <c r="F436" s="137"/>
      <c r="G436" s="137"/>
      <c r="H436" s="137"/>
      <c r="I436" s="137"/>
      <c r="J436" s="137"/>
      <c r="R436" s="157"/>
      <c r="S436" s="157"/>
    </row>
    <row r="437" spans="1:19" ht="13.15" thickBot="1">
      <c r="B437" s="125" t="s">
        <v>827</v>
      </c>
      <c r="F437" s="133" t="s">
        <v>813</v>
      </c>
      <c r="G437" s="88"/>
      <c r="H437" s="125" t="s">
        <v>317</v>
      </c>
      <c r="I437" s="131"/>
      <c r="J437" s="131"/>
      <c r="R437" s="157"/>
      <c r="S437" s="157"/>
    </row>
    <row r="438" spans="1:19">
      <c r="B438" s="163" t="str">
        <f>IF(windpressure*G135&lt;0.3,"Warning - wind pressure per foot less than the minimum width pressure of 0.300 klf per AASHTO 3.8.1.2.1."," ")</f>
        <v>Warning - wind pressure per foot less than the minimum width pressure of 0.300 klf per AASHTO 3.8.1.2.1.</v>
      </c>
      <c r="F438" s="133"/>
      <c r="R438" s="157"/>
      <c r="S438" s="157">
        <f>IF(LEFT(B438,5)="Warni",1,0)</f>
        <v>1</v>
      </c>
    </row>
    <row r="439" spans="1:19">
      <c r="B439" s="163"/>
      <c r="F439" s="133"/>
      <c r="R439" s="157"/>
      <c r="S439" s="157"/>
    </row>
    <row r="440" spans="1:19">
      <c r="A440" s="577" t="s">
        <v>278</v>
      </c>
      <c r="B440" s="577"/>
      <c r="C440" s="577"/>
      <c r="D440" s="577"/>
      <c r="E440" s="577"/>
      <c r="F440" s="577"/>
      <c r="G440" s="577"/>
      <c r="H440" s="577"/>
      <c r="I440" s="577"/>
      <c r="J440" s="577"/>
      <c r="K440" s="577"/>
      <c r="L440" s="577"/>
      <c r="M440" s="577"/>
      <c r="R440" s="157"/>
      <c r="S440" s="157"/>
    </row>
    <row r="441" spans="1:19">
      <c r="A441" s="577"/>
      <c r="B441" s="577"/>
      <c r="C441" s="577"/>
      <c r="D441" s="577"/>
      <c r="E441" s="577"/>
      <c r="F441" s="577"/>
      <c r="G441" s="577"/>
      <c r="H441" s="577"/>
      <c r="I441" s="577"/>
      <c r="J441" s="577"/>
      <c r="K441" s="577"/>
      <c r="L441" s="577"/>
      <c r="M441" s="577"/>
      <c r="R441" s="157"/>
      <c r="S441" s="157"/>
    </row>
    <row r="442" spans="1:19">
      <c r="A442" s="254"/>
      <c r="B442" s="254"/>
      <c r="C442" s="254"/>
      <c r="D442" s="254"/>
      <c r="E442" s="254"/>
      <c r="F442" s="254"/>
      <c r="G442" s="254"/>
      <c r="H442" s="254"/>
      <c r="I442" s="254"/>
      <c r="J442" s="254"/>
      <c r="K442" s="254"/>
      <c r="L442" s="254"/>
      <c r="M442" s="254"/>
      <c r="R442" s="157"/>
      <c r="S442" s="157"/>
    </row>
    <row r="443" spans="1:19">
      <c r="B443" s="174" t="str">
        <f>"Lateral force = ("&amp;G437&amp;")("&amp;G56&amp;")("&amp;TEXT(G135,"0.000")&amp;")/"&amp;2&amp;" = "</f>
        <v xml:space="preserve">Lateral force = ()()(0.000)/2 = </v>
      </c>
      <c r="G443" s="167">
        <f>+G437*G56*G135/2</f>
        <v>0</v>
      </c>
      <c r="H443" s="125" t="s">
        <v>338</v>
      </c>
      <c r="I443" s="165"/>
      <c r="J443" s="131"/>
      <c r="R443" s="157"/>
      <c r="S443" s="157"/>
    </row>
    <row r="444" spans="1:19">
      <c r="B444" s="174"/>
      <c r="G444" s="167"/>
      <c r="I444" s="167"/>
      <c r="R444" s="157"/>
      <c r="S444" s="157"/>
    </row>
    <row r="445" spans="1:19">
      <c r="A445" s="583" t="s">
        <v>815</v>
      </c>
      <c r="B445" s="583"/>
      <c r="C445" s="583"/>
      <c r="D445" s="583"/>
      <c r="E445" s="583"/>
      <c r="F445" s="583"/>
      <c r="G445" s="583"/>
      <c r="H445" s="583"/>
      <c r="I445" s="583"/>
      <c r="J445" s="583"/>
      <c r="K445" s="583"/>
      <c r="L445" s="583"/>
      <c r="M445" s="583"/>
      <c r="R445" s="157"/>
      <c r="S445" s="157"/>
    </row>
    <row r="446" spans="1:19">
      <c r="A446" s="583"/>
      <c r="B446" s="583"/>
      <c r="C446" s="583"/>
      <c r="D446" s="583"/>
      <c r="E446" s="583"/>
      <c r="F446" s="583"/>
      <c r="G446" s="583"/>
      <c r="H446" s="583"/>
      <c r="I446" s="583"/>
      <c r="J446" s="583"/>
      <c r="K446" s="583"/>
      <c r="L446" s="583"/>
      <c r="M446" s="583"/>
      <c r="R446" s="157"/>
      <c r="S446" s="157"/>
    </row>
    <row r="447" spans="1:19">
      <c r="A447" s="169"/>
      <c r="B447" s="169"/>
      <c r="C447" s="169"/>
      <c r="D447" s="169"/>
      <c r="E447" s="169"/>
      <c r="F447" s="169"/>
      <c r="G447" s="169"/>
      <c r="H447" s="169"/>
      <c r="I447" s="169"/>
      <c r="J447" s="169"/>
      <c r="K447" s="169"/>
      <c r="L447" s="169"/>
      <c r="M447" s="169"/>
      <c r="R447" s="157"/>
      <c r="S447" s="157"/>
    </row>
    <row r="448" spans="1:19">
      <c r="B448" s="125" t="s">
        <v>60</v>
      </c>
      <c r="F448" s="133" t="s">
        <v>839</v>
      </c>
      <c r="G448" s="89">
        <v>0.02</v>
      </c>
      <c r="H448" s="125" t="s">
        <v>317</v>
      </c>
      <c r="I448" s="131"/>
      <c r="J448" s="131"/>
      <c r="R448" s="157"/>
      <c r="S448" s="157"/>
    </row>
    <row r="449" spans="1:19">
      <c r="F449" s="133"/>
      <c r="G449" s="89"/>
      <c r="I449" s="131"/>
      <c r="J449" s="131"/>
      <c r="R449" s="157"/>
      <c r="S449" s="157"/>
    </row>
    <row r="450" spans="1:19">
      <c r="B450" s="174" t="str">
        <f>"Uplift Force = (-"&amp;FIXED(G448,3,TRUE)&amp;")("&amp;G56&amp;")("&amp;G76&amp;")/"&amp;2&amp;" ="</f>
        <v>Uplift Force = (-0.020)()()/2 =</v>
      </c>
      <c r="G450" s="167">
        <f>-G448*G56*G76/2</f>
        <v>0</v>
      </c>
      <c r="H450" s="125" t="s">
        <v>338</v>
      </c>
      <c r="I450" s="165"/>
      <c r="J450" s="131"/>
      <c r="R450" s="157"/>
      <c r="S450" s="157"/>
    </row>
    <row r="451" spans="1:19">
      <c r="B451" s="174"/>
      <c r="G451" s="167"/>
      <c r="I451" s="165"/>
      <c r="J451" s="131"/>
      <c r="R451" s="157"/>
      <c r="S451" s="157"/>
    </row>
    <row r="452" spans="1:19">
      <c r="B452" s="174" t="str">
        <f>"Moment about the longitudinal axis of the bridge = -("&amp;FIXED(G450)&amp;")("&amp;G76&amp;")/4 ="</f>
        <v>Moment about the longitudinal axis of the bridge = -(0.00)()/4 =</v>
      </c>
      <c r="G452" s="167"/>
      <c r="I452" s="167">
        <f>-G450*G76/4</f>
        <v>0</v>
      </c>
      <c r="J452" s="125" t="s">
        <v>830</v>
      </c>
      <c r="R452" s="157"/>
      <c r="S452" s="157"/>
    </row>
    <row r="453" spans="1:19">
      <c r="I453" s="165"/>
      <c r="J453" s="131"/>
      <c r="R453" s="157"/>
      <c r="S453" s="157"/>
    </row>
    <row r="454" spans="1:19">
      <c r="A454" s="595" t="s">
        <v>814</v>
      </c>
      <c r="B454" s="595"/>
      <c r="C454" s="595"/>
      <c r="D454" s="595"/>
      <c r="E454" s="595"/>
      <c r="F454" s="595"/>
      <c r="G454" s="595"/>
      <c r="H454" s="595"/>
      <c r="I454" s="595"/>
      <c r="J454" s="595"/>
      <c r="R454" s="157"/>
      <c r="S454" s="157"/>
    </row>
    <row r="455" spans="1:19">
      <c r="A455" s="137"/>
      <c r="B455" s="137"/>
      <c r="C455" s="137"/>
      <c r="D455" s="137"/>
      <c r="E455" s="137"/>
      <c r="F455" s="137"/>
      <c r="G455" s="137"/>
      <c r="H455" s="137"/>
      <c r="I455" s="137"/>
      <c r="J455" s="137"/>
      <c r="R455" s="157"/>
      <c r="S455" s="157"/>
    </row>
    <row r="456" spans="1:19">
      <c r="B456" s="125" t="s">
        <v>828</v>
      </c>
      <c r="F456" s="133" t="s">
        <v>61</v>
      </c>
      <c r="G456" s="89">
        <v>0.1</v>
      </c>
      <c r="H456" s="125" t="s">
        <v>1</v>
      </c>
      <c r="I456" s="165"/>
      <c r="J456" s="131"/>
      <c r="R456" s="157"/>
      <c r="S456" s="157"/>
    </row>
    <row r="457" spans="1:19">
      <c r="F457" s="133"/>
      <c r="G457" s="89"/>
      <c r="I457" s="165"/>
      <c r="J457" s="131"/>
      <c r="R457" s="157"/>
      <c r="S457" s="157"/>
    </row>
    <row r="458" spans="1:19">
      <c r="B458" s="174" t="str">
        <f>"Wind on live load lateral force = ("&amp;FIXED(G456,3,TRUE)&amp;")("&amp;G56&amp;")/2 ="</f>
        <v>Wind on live load lateral force = (0.100)()/2 =</v>
      </c>
      <c r="G458" s="167">
        <f>+G456*G56/2</f>
        <v>0</v>
      </c>
      <c r="H458" s="125" t="s">
        <v>338</v>
      </c>
      <c r="I458" s="165"/>
      <c r="J458" s="131"/>
      <c r="R458" s="157"/>
      <c r="S458" s="157"/>
    </row>
    <row r="459" spans="1:19">
      <c r="F459" s="133"/>
      <c r="G459" s="167"/>
      <c r="I459" s="167"/>
      <c r="R459" s="157"/>
      <c r="S459" s="157"/>
    </row>
    <row r="460" spans="1:19">
      <c r="A460" s="260" t="s">
        <v>598</v>
      </c>
      <c r="F460" s="133"/>
      <c r="G460" s="167"/>
      <c r="I460" s="167"/>
      <c r="R460" s="157"/>
      <c r="S460" s="157"/>
    </row>
    <row r="461" spans="1:19">
      <c r="A461" s="578" t="s">
        <v>816</v>
      </c>
      <c r="B461" s="578"/>
      <c r="C461" s="578"/>
      <c r="D461" s="578"/>
      <c r="E461" s="578"/>
      <c r="F461" s="578"/>
      <c r="G461" s="578"/>
      <c r="H461" s="578"/>
      <c r="I461" s="578"/>
      <c r="J461" s="578"/>
      <c r="K461" s="578"/>
      <c r="L461" s="578"/>
      <c r="M461" s="578"/>
      <c r="R461" s="157"/>
      <c r="S461" s="157"/>
    </row>
    <row r="462" spans="1:19">
      <c r="A462" s="578"/>
      <c r="B462" s="578"/>
      <c r="C462" s="578"/>
      <c r="D462" s="578"/>
      <c r="E462" s="578"/>
      <c r="F462" s="578"/>
      <c r="G462" s="578"/>
      <c r="H462" s="578"/>
      <c r="I462" s="578"/>
      <c r="J462" s="578"/>
      <c r="K462" s="578"/>
      <c r="L462" s="578"/>
      <c r="M462" s="578"/>
      <c r="R462" s="157"/>
      <c r="S462" s="157"/>
    </row>
    <row r="463" spans="1:19">
      <c r="A463" s="578"/>
      <c r="B463" s="578"/>
      <c r="C463" s="578"/>
      <c r="D463" s="578"/>
      <c r="E463" s="578"/>
      <c r="F463" s="578"/>
      <c r="G463" s="578"/>
      <c r="H463" s="578"/>
      <c r="I463" s="578"/>
      <c r="J463" s="578"/>
      <c r="K463" s="578"/>
      <c r="L463" s="578"/>
      <c r="M463" s="578"/>
      <c r="R463" s="157"/>
      <c r="S463" s="157"/>
    </row>
    <row r="464" spans="1:19">
      <c r="A464" s="578"/>
      <c r="B464" s="578"/>
      <c r="C464" s="578"/>
      <c r="D464" s="578"/>
      <c r="E464" s="578"/>
      <c r="F464" s="578"/>
      <c r="G464" s="578"/>
      <c r="H464" s="578"/>
      <c r="I464" s="578"/>
      <c r="J464" s="578"/>
      <c r="K464" s="578"/>
      <c r="L464" s="578"/>
      <c r="M464" s="578"/>
      <c r="R464" s="157"/>
      <c r="S464" s="157"/>
    </row>
    <row r="465" spans="1:19">
      <c r="A465" s="578"/>
      <c r="B465" s="578"/>
      <c r="C465" s="578"/>
      <c r="D465" s="578"/>
      <c r="E465" s="578"/>
      <c r="F465" s="578"/>
      <c r="G465" s="578"/>
      <c r="H465" s="578"/>
      <c r="I465" s="578"/>
      <c r="J465" s="578"/>
      <c r="K465" s="578"/>
      <c r="L465" s="578"/>
      <c r="M465" s="578"/>
      <c r="R465" s="157"/>
      <c r="S465" s="157"/>
    </row>
    <row r="466" spans="1:19" ht="13.15" thickBot="1">
      <c r="A466" s="162"/>
      <c r="B466" s="162"/>
      <c r="C466" s="162"/>
      <c r="D466" s="162"/>
      <c r="E466" s="162"/>
      <c r="F466" s="162"/>
      <c r="G466" s="162"/>
      <c r="H466" s="162"/>
      <c r="I466" s="162"/>
      <c r="J466" s="162"/>
      <c r="K466" s="162"/>
      <c r="L466" s="162"/>
      <c r="M466" s="162"/>
      <c r="R466" s="157"/>
      <c r="S466" s="157"/>
    </row>
    <row r="467" spans="1:19" ht="13.15" thickBot="1">
      <c r="B467" s="125" t="s">
        <v>598</v>
      </c>
      <c r="G467" s="20"/>
      <c r="H467" s="125" t="s">
        <v>338</v>
      </c>
      <c r="I467" s="165"/>
      <c r="J467" s="131"/>
      <c r="R467" s="157"/>
      <c r="S467" s="157"/>
    </row>
    <row r="468" spans="1:19" ht="13.15">
      <c r="A468" s="253" t="str">
        <f>A428</f>
        <v>LOAD DATA - Cont'd</v>
      </c>
      <c r="G468" s="261"/>
      <c r="I468" s="165"/>
      <c r="J468" s="131"/>
      <c r="R468" s="157"/>
      <c r="S468" s="157"/>
    </row>
    <row r="469" spans="1:19">
      <c r="G469" s="261"/>
      <c r="I469" s="165"/>
      <c r="J469" s="131"/>
      <c r="R469" s="157"/>
      <c r="S469" s="157"/>
    </row>
    <row r="470" spans="1:19" ht="13.15">
      <c r="A470" s="253" t="s">
        <v>465</v>
      </c>
      <c r="F470" s="133"/>
      <c r="G470" s="167"/>
      <c r="I470" s="167"/>
      <c r="R470" s="157"/>
      <c r="S470" s="157"/>
    </row>
    <row r="471" spans="1:19">
      <c r="A471" s="181" t="s">
        <v>599</v>
      </c>
      <c r="B471" s="158"/>
      <c r="C471" s="158"/>
      <c r="D471" s="158"/>
      <c r="E471" s="158"/>
      <c r="F471" s="158"/>
      <c r="G471" s="158"/>
      <c r="H471" s="158"/>
      <c r="I471" s="158"/>
      <c r="J471" s="158"/>
      <c r="R471" s="157"/>
      <c r="S471" s="157"/>
    </row>
    <row r="472" spans="1:19">
      <c r="A472" s="158"/>
      <c r="B472" s="158"/>
      <c r="C472" s="158"/>
      <c r="D472" s="158"/>
      <c r="E472" s="158"/>
      <c r="F472" s="158"/>
      <c r="G472" s="158"/>
      <c r="H472" s="158"/>
      <c r="I472" s="158"/>
      <c r="J472" s="158"/>
      <c r="R472" s="157"/>
      <c r="S472" s="157"/>
    </row>
    <row r="473" spans="1:19">
      <c r="A473" s="260" t="s">
        <v>470</v>
      </c>
      <c r="R473" s="157"/>
      <c r="S473" s="157"/>
    </row>
    <row r="474" spans="1:19">
      <c r="A474" s="595" t="s">
        <v>572</v>
      </c>
      <c r="B474" s="595"/>
      <c r="C474" s="595"/>
      <c r="D474" s="595"/>
      <c r="E474" s="595"/>
      <c r="F474" s="595"/>
      <c r="G474" s="595"/>
      <c r="H474" s="595"/>
      <c r="I474" s="595"/>
      <c r="J474" s="595"/>
      <c r="R474" s="157"/>
      <c r="S474" s="157"/>
    </row>
    <row r="475" spans="1:19">
      <c r="B475" s="125" t="str">
        <f>"Top of deck to the top of the pile cap = "</f>
        <v xml:space="preserve">Top of deck to the top of the pile cap = </v>
      </c>
      <c r="G475" s="89">
        <f>+diaphragm</f>
        <v>0</v>
      </c>
      <c r="H475" s="125" t="s">
        <v>337</v>
      </c>
      <c r="I475" s="165"/>
      <c r="J475" s="131"/>
      <c r="R475" s="157"/>
      <c r="S475" s="157"/>
    </row>
    <row r="476" spans="1:19">
      <c r="I476" s="167"/>
      <c r="R476" s="157"/>
      <c r="S476" s="157"/>
    </row>
    <row r="477" spans="1:19">
      <c r="A477" s="583" t="s">
        <v>279</v>
      </c>
      <c r="B477" s="583"/>
      <c r="C477" s="583"/>
      <c r="D477" s="583"/>
      <c r="E477" s="583"/>
      <c r="F477" s="583"/>
      <c r="G477" s="583"/>
      <c r="H477" s="583"/>
      <c r="I477" s="583"/>
      <c r="J477" s="583"/>
      <c r="K477" s="583"/>
      <c r="L477" s="583"/>
      <c r="M477" s="583"/>
      <c r="R477" s="157"/>
      <c r="S477" s="157"/>
    </row>
    <row r="478" spans="1:19">
      <c r="A478" s="583"/>
      <c r="B478" s="583"/>
      <c r="C478" s="583"/>
      <c r="D478" s="583"/>
      <c r="E478" s="583"/>
      <c r="F478" s="583"/>
      <c r="G478" s="583"/>
      <c r="H478" s="583"/>
      <c r="I478" s="583"/>
      <c r="J478" s="583"/>
      <c r="K478" s="583"/>
      <c r="L478" s="583"/>
      <c r="M478" s="583"/>
      <c r="R478" s="157"/>
      <c r="S478" s="157"/>
    </row>
    <row r="479" spans="1:19">
      <c r="B479" s="174" t="str">
        <f>"Wind on structure moment = ("&amp;FIXED(G443)&amp;")[("&amp;FIXED(G135)&amp;"/2)+"&amp;G125&amp;"/12] ="</f>
        <v>Wind on structure moment = (0.00)[(0.00/2)+/12] =</v>
      </c>
      <c r="H479" s="167">
        <f>+G443*(G135/2+G125/12)</f>
        <v>0</v>
      </c>
      <c r="I479" s="125" t="s">
        <v>830</v>
      </c>
      <c r="J479" s="131"/>
      <c r="R479" s="157"/>
      <c r="S479" s="157"/>
    </row>
    <row r="480" spans="1:19">
      <c r="F480" s="133"/>
      <c r="G480" s="167"/>
      <c r="I480" s="167"/>
      <c r="R480" s="157"/>
      <c r="S480" s="157"/>
    </row>
    <row r="481" spans="1:19">
      <c r="A481" s="583" t="s">
        <v>2</v>
      </c>
      <c r="B481" s="583"/>
      <c r="C481" s="583"/>
      <c r="D481" s="583"/>
      <c r="E481" s="583"/>
      <c r="F481" s="583"/>
      <c r="G481" s="583"/>
      <c r="H481" s="583"/>
      <c r="I481" s="583"/>
      <c r="J481" s="583"/>
      <c r="K481" s="583"/>
      <c r="L481" s="583"/>
      <c r="M481" s="583"/>
      <c r="R481" s="157"/>
      <c r="S481" s="157"/>
    </row>
    <row r="482" spans="1:19">
      <c r="A482" s="583"/>
      <c r="B482" s="583"/>
      <c r="C482" s="583"/>
      <c r="D482" s="583"/>
      <c r="E482" s="583"/>
      <c r="F482" s="583"/>
      <c r="G482" s="583"/>
      <c r="H482" s="583"/>
      <c r="I482" s="583"/>
      <c r="J482" s="583"/>
      <c r="K482" s="583"/>
      <c r="L482" s="583"/>
      <c r="M482" s="583"/>
      <c r="R482" s="157"/>
      <c r="S482" s="157"/>
    </row>
    <row r="483" spans="1:19">
      <c r="A483" s="137"/>
      <c r="B483" s="174" t="str">
        <f>"Wind on live load moment = ("&amp;FIXED(G458)&amp;")("&amp;FIXED(G475,3,TRUE)&amp;"+6) ="</f>
        <v>Wind on live load moment = (0.00)(0.000+6) =</v>
      </c>
      <c r="C483" s="137"/>
      <c r="G483" s="167">
        <f>+G458*(G475+6)</f>
        <v>0</v>
      </c>
      <c r="H483" s="125" t="s">
        <v>830</v>
      </c>
      <c r="I483" s="137"/>
      <c r="J483" s="137"/>
      <c r="R483" s="157"/>
      <c r="S483" s="157"/>
    </row>
    <row r="484" spans="1:19">
      <c r="I484" s="165"/>
      <c r="J484" s="131"/>
      <c r="R484" s="157"/>
      <c r="S484" s="157"/>
    </row>
    <row r="485" spans="1:19">
      <c r="A485" s="582" t="s">
        <v>562</v>
      </c>
      <c r="B485" s="583"/>
      <c r="C485" s="583"/>
      <c r="D485" s="583"/>
      <c r="E485" s="583"/>
      <c r="F485" s="583"/>
      <c r="G485" s="583"/>
      <c r="H485" s="583"/>
      <c r="I485" s="583"/>
      <c r="J485" s="583"/>
      <c r="K485" s="583"/>
      <c r="L485" s="583"/>
      <c r="M485" s="583"/>
      <c r="R485" s="157"/>
      <c r="S485" s="157"/>
    </row>
    <row r="486" spans="1:19">
      <c r="A486" s="583"/>
      <c r="B486" s="583"/>
      <c r="C486" s="583"/>
      <c r="D486" s="583"/>
      <c r="E486" s="583"/>
      <c r="F486" s="583"/>
      <c r="G486" s="583"/>
      <c r="H486" s="583"/>
      <c r="I486" s="583"/>
      <c r="J486" s="583"/>
      <c r="K486" s="583"/>
      <c r="L486" s="583"/>
      <c r="M486" s="583"/>
      <c r="R486" s="157"/>
      <c r="S486" s="157"/>
    </row>
    <row r="487" spans="1:19">
      <c r="B487" s="174" t="str">
        <f>"Centrifugal moment = ("&amp;FIXED(G467)&amp;")("&amp;FIXED(G475,3,TRUE)&amp;"+6) ="</f>
        <v>Centrifugal moment = (0.00)(0.000+6) =</v>
      </c>
      <c r="G487" s="167">
        <f>+G467*(G475+6)</f>
        <v>0</v>
      </c>
      <c r="H487" s="125" t="s">
        <v>830</v>
      </c>
      <c r="R487" s="157"/>
      <c r="S487" s="157"/>
    </row>
    <row r="488" spans="1:19">
      <c r="I488" s="165"/>
      <c r="J488" s="131"/>
      <c r="R488" s="157"/>
      <c r="S488" s="157"/>
    </row>
    <row r="489" spans="1:19">
      <c r="A489" s="577" t="s">
        <v>280</v>
      </c>
      <c r="B489" s="577"/>
      <c r="C489" s="577"/>
      <c r="D489" s="577"/>
      <c r="E489" s="577"/>
      <c r="F489" s="577"/>
      <c r="G489" s="577"/>
      <c r="H489" s="577"/>
      <c r="I489" s="577"/>
      <c r="J489" s="577"/>
      <c r="K489" s="577"/>
      <c r="L489" s="577"/>
      <c r="M489" s="577"/>
      <c r="R489" s="157"/>
      <c r="S489" s="157"/>
    </row>
    <row r="490" spans="1:19">
      <c r="A490" s="577"/>
      <c r="B490" s="577"/>
      <c r="C490" s="577"/>
      <c r="D490" s="577"/>
      <c r="E490" s="577"/>
      <c r="F490" s="577"/>
      <c r="G490" s="577"/>
      <c r="H490" s="577"/>
      <c r="I490" s="577"/>
      <c r="J490" s="577"/>
      <c r="K490" s="577"/>
      <c r="L490" s="577"/>
      <c r="M490" s="577"/>
      <c r="R490" s="157"/>
      <c r="S490" s="157"/>
    </row>
    <row r="491" spans="1:19">
      <c r="A491" s="577"/>
      <c r="B491" s="577"/>
      <c r="C491" s="577"/>
      <c r="D491" s="577"/>
      <c r="E491" s="577"/>
      <c r="F491" s="577"/>
      <c r="G491" s="577"/>
      <c r="H491" s="577"/>
      <c r="I491" s="577"/>
      <c r="J491" s="577"/>
      <c r="K491" s="577"/>
      <c r="L491" s="577"/>
      <c r="M491" s="577"/>
      <c r="R491" s="157"/>
      <c r="S491" s="157"/>
    </row>
    <row r="492" spans="1:19">
      <c r="A492" s="577"/>
      <c r="B492" s="577"/>
      <c r="C492" s="577"/>
      <c r="D492" s="577"/>
      <c r="E492" s="577"/>
      <c r="F492" s="577"/>
      <c r="G492" s="577"/>
      <c r="H492" s="577"/>
      <c r="I492" s="577"/>
      <c r="J492" s="577"/>
      <c r="K492" s="577"/>
      <c r="L492" s="577"/>
      <c r="M492" s="577"/>
      <c r="R492" s="157"/>
      <c r="S492" s="157"/>
    </row>
    <row r="493" spans="1:19">
      <c r="A493" s="577"/>
      <c r="B493" s="577"/>
      <c r="C493" s="577"/>
      <c r="D493" s="577"/>
      <c r="E493" s="577"/>
      <c r="F493" s="577"/>
      <c r="G493" s="577"/>
      <c r="H493" s="577"/>
      <c r="I493" s="577"/>
      <c r="J493" s="577"/>
      <c r="K493" s="577"/>
      <c r="L493" s="577"/>
      <c r="M493" s="577"/>
      <c r="R493" s="157"/>
      <c r="S493" s="157"/>
    </row>
    <row r="494" spans="1:19">
      <c r="A494" s="577"/>
      <c r="B494" s="577"/>
      <c r="C494" s="577"/>
      <c r="D494" s="577"/>
      <c r="E494" s="577"/>
      <c r="F494" s="577"/>
      <c r="G494" s="577"/>
      <c r="H494" s="577"/>
      <c r="I494" s="577"/>
      <c r="J494" s="577"/>
      <c r="K494" s="577"/>
      <c r="L494" s="577"/>
      <c r="M494" s="577"/>
      <c r="R494" s="157"/>
      <c r="S494" s="157"/>
    </row>
    <row r="495" spans="1:19">
      <c r="A495" s="577"/>
      <c r="B495" s="577"/>
      <c r="C495" s="577"/>
      <c r="D495" s="577"/>
      <c r="E495" s="577"/>
      <c r="F495" s="577"/>
      <c r="G495" s="577"/>
      <c r="H495" s="577"/>
      <c r="I495" s="577"/>
      <c r="J495" s="577"/>
      <c r="K495" s="577"/>
      <c r="L495" s="577"/>
      <c r="M495" s="577"/>
      <c r="R495" s="157"/>
      <c r="S495" s="157"/>
    </row>
    <row r="496" spans="1:19">
      <c r="A496" s="137"/>
      <c r="B496" s="137"/>
      <c r="C496" s="137"/>
      <c r="D496" s="137"/>
      <c r="E496" s="137"/>
      <c r="F496" s="137"/>
      <c r="G496" s="137"/>
      <c r="H496" s="137"/>
      <c r="I496" s="137"/>
      <c r="J496" s="137"/>
      <c r="R496" s="157"/>
      <c r="S496" s="157"/>
    </row>
    <row r="497" spans="2:19">
      <c r="R497" s="157"/>
      <c r="S497" s="157"/>
    </row>
    <row r="498" spans="2:19">
      <c r="R498" s="157"/>
      <c r="S498" s="157"/>
    </row>
    <row r="499" spans="2:19">
      <c r="R499" s="157"/>
      <c r="S499" s="157"/>
    </row>
    <row r="500" spans="2:19">
      <c r="R500" s="157"/>
      <c r="S500" s="157"/>
    </row>
    <row r="501" spans="2:19">
      <c r="R501" s="157"/>
      <c r="S501" s="157"/>
    </row>
    <row r="502" spans="2:19">
      <c r="R502" s="157"/>
      <c r="S502" s="157"/>
    </row>
    <row r="503" spans="2:19">
      <c r="R503" s="157"/>
      <c r="S503" s="157"/>
    </row>
    <row r="504" spans="2:19">
      <c r="R504" s="157"/>
      <c r="S504" s="157"/>
    </row>
    <row r="505" spans="2:19">
      <c r="R505" s="157"/>
      <c r="S505" s="157"/>
    </row>
    <row r="506" spans="2:19">
      <c r="R506" s="157"/>
      <c r="S506" s="157"/>
    </row>
    <row r="507" spans="2:19">
      <c r="R507" s="157"/>
      <c r="S507" s="157"/>
    </row>
    <row r="508" spans="2:19">
      <c r="R508" s="157"/>
      <c r="S508" s="157"/>
    </row>
    <row r="509" spans="2:19">
      <c r="R509" s="157"/>
      <c r="S509" s="157"/>
    </row>
    <row r="510" spans="2:19">
      <c r="B510" s="125" t="s">
        <v>638</v>
      </c>
      <c r="R510" s="157"/>
      <c r="S510" s="157"/>
    </row>
    <row r="511" spans="2:19">
      <c r="B511" s="264" t="s">
        <v>523</v>
      </c>
      <c r="I511" s="167"/>
      <c r="R511" s="157"/>
      <c r="S511" s="157"/>
    </row>
    <row r="512" spans="2:19">
      <c r="C512" s="125" t="s">
        <v>820</v>
      </c>
      <c r="D512" s="125" t="str">
        <f>"("&amp;FIXED(H479,2,TRUE)&amp;")("&amp;G115&amp;"-1)("&amp;G117&amp;")/(2*"&amp;G157&amp;") ="</f>
        <v>(0.00)(-1)()/(2*0) =</v>
      </c>
      <c r="H512" s="167" t="e">
        <f>H479*(G115-1)*G117/(2*G157)</f>
        <v>#DIV/0!</v>
      </c>
      <c r="I512" s="125" t="s">
        <v>529</v>
      </c>
      <c r="J512" s="131"/>
      <c r="R512" s="157"/>
      <c r="S512" s="157"/>
    </row>
    <row r="513" spans="2:19">
      <c r="C513" s="125" t="s">
        <v>821</v>
      </c>
      <c r="D513" s="125" t="str">
        <f>"-("&amp;FIXED(H479,2,TRUE)&amp;")("&amp;G115&amp;"-1)("&amp;G117&amp;")/(2*"&amp;G157&amp;") ="</f>
        <v>-(0.00)(-1)()/(2*0) =</v>
      </c>
      <c r="H513" s="167" t="e">
        <f>-H479*(G115-1)*G117/(2*G157)</f>
        <v>#DIV/0!</v>
      </c>
      <c r="I513" s="125" t="s">
        <v>529</v>
      </c>
      <c r="J513" s="131"/>
      <c r="R513" s="157"/>
      <c r="S513" s="157"/>
    </row>
    <row r="514" spans="2:19">
      <c r="I514" s="165"/>
      <c r="J514" s="131"/>
      <c r="R514" s="157"/>
      <c r="S514" s="157"/>
    </row>
    <row r="515" spans="2:19">
      <c r="B515" s="125" t="s">
        <v>546</v>
      </c>
      <c r="G515" s="167"/>
      <c r="I515" s="165"/>
      <c r="J515" s="131"/>
      <c r="R515" s="157"/>
      <c r="S515" s="157"/>
    </row>
    <row r="516" spans="2:19">
      <c r="B516" s="264" t="s">
        <v>525</v>
      </c>
      <c r="G516" s="167"/>
      <c r="J516" s="131"/>
      <c r="R516" s="157"/>
      <c r="S516" s="157"/>
    </row>
    <row r="517" spans="2:19">
      <c r="C517" s="125" t="s">
        <v>820</v>
      </c>
      <c r="D517" s="125" t="str">
        <f>+FIXED(G450,2,TRUE)&amp;"/"&amp;G115&amp;" + ("&amp;FIXED(I452,2,TRUE)&amp;")("&amp;G115&amp;"-1)("&amp;G117&amp;")/(2*"&amp;G157&amp;") ="</f>
        <v>0.00/ + (0.00)(-1)()/(2*0) =</v>
      </c>
      <c r="H517" s="167" t="e">
        <f>+G450/G115+I452*(G115-1)*G117/(2*G157)</f>
        <v>#DIV/0!</v>
      </c>
      <c r="I517" s="125" t="s">
        <v>529</v>
      </c>
      <c r="J517" s="131"/>
      <c r="R517" s="157"/>
      <c r="S517" s="157"/>
    </row>
    <row r="518" spans="2:19">
      <c r="C518" s="125" t="s">
        <v>821</v>
      </c>
      <c r="D518" s="125" t="str">
        <f>+FIXED(G450,2,TRUE)&amp;"/"&amp;G115&amp;" - ("&amp;FIXED(I452,2,TRUE)&amp;")("&amp;G115&amp;"-1)("&amp;G117&amp;")/(2*"&amp;G157&amp;") ="</f>
        <v>0.00/ - (0.00)(-1)()/(2*0) =</v>
      </c>
      <c r="G518" s="167"/>
      <c r="H518" s="167" t="e">
        <f>+G450/G115-I452*(G115-1)*G117/(2*G157)</f>
        <v>#DIV/0!</v>
      </c>
      <c r="I518" s="125" t="s">
        <v>529</v>
      </c>
      <c r="J518" s="131"/>
      <c r="R518" s="157"/>
      <c r="S518" s="157"/>
    </row>
    <row r="519" spans="2:19">
      <c r="I519" s="165"/>
      <c r="J519" s="131"/>
      <c r="R519" s="157"/>
      <c r="S519" s="157"/>
    </row>
    <row r="520" spans="2:19">
      <c r="B520" s="125" t="s">
        <v>547</v>
      </c>
      <c r="G520" s="167"/>
      <c r="I520" s="165"/>
      <c r="J520" s="131"/>
      <c r="R520" s="157"/>
      <c r="S520" s="157"/>
    </row>
    <row r="521" spans="2:19">
      <c r="B521" s="264" t="s">
        <v>524</v>
      </c>
      <c r="G521" s="167"/>
      <c r="I521" s="165"/>
      <c r="J521" s="131"/>
      <c r="R521" s="157"/>
      <c r="S521" s="157"/>
    </row>
    <row r="522" spans="2:19">
      <c r="C522" s="125" t="s">
        <v>820</v>
      </c>
      <c r="D522" s="125" t="str">
        <f>"("&amp;FIXED(G483,2,TRUE)&amp;")("&amp;G115&amp;"-1)("&amp;G117&amp;")/(2*"&amp;G157&amp;") ="</f>
        <v>(0.00)(-1)()/(2*0) =</v>
      </c>
      <c r="H522" s="167" t="e">
        <f>(G483*(G115-1)*G117/(2*G157))</f>
        <v>#DIV/0!</v>
      </c>
      <c r="I522" s="125" t="s">
        <v>529</v>
      </c>
      <c r="J522" s="131"/>
      <c r="R522" s="157"/>
      <c r="S522" s="157"/>
    </row>
    <row r="523" spans="2:19">
      <c r="C523" s="125" t="s">
        <v>821</v>
      </c>
      <c r="D523" s="125" t="str">
        <f>"-("&amp;FIXED(G483,2,TRUE)&amp;")("&amp;G115&amp;"-1)("&amp;G117&amp;")/(2*"&amp;G157&amp;") ="</f>
        <v>-(0.00)(-1)()/(2*0) =</v>
      </c>
      <c r="G523" s="167"/>
      <c r="H523" s="167" t="e">
        <f>-(G483*(G115-1)*G117/(2*G157))</f>
        <v>#DIV/0!</v>
      </c>
      <c r="I523" s="125" t="s">
        <v>529</v>
      </c>
      <c r="J523" s="131"/>
      <c r="R523" s="157"/>
      <c r="S523" s="157"/>
    </row>
    <row r="524" spans="2:19">
      <c r="I524" s="165"/>
      <c r="J524" s="131"/>
      <c r="R524" s="157"/>
      <c r="S524" s="157"/>
    </row>
    <row r="525" spans="2:19">
      <c r="B525" s="125" t="s">
        <v>234</v>
      </c>
      <c r="G525" s="167"/>
      <c r="I525" s="165"/>
      <c r="J525" s="131"/>
      <c r="R525" s="157"/>
      <c r="S525" s="157"/>
    </row>
    <row r="526" spans="2:19">
      <c r="B526" s="264" t="s">
        <v>235</v>
      </c>
      <c r="G526" s="167"/>
      <c r="I526" s="165"/>
      <c r="J526" s="131"/>
      <c r="R526" s="157"/>
      <c r="S526" s="157"/>
    </row>
    <row r="527" spans="2:19">
      <c r="C527" s="125" t="s">
        <v>820</v>
      </c>
      <c r="D527" s="125" t="str">
        <f>"("&amp;FIXED(G487,2,TRUE)&amp;")("&amp;G115&amp;"-1)("&amp;G117&amp;")/(2*"&amp;G157&amp;") ="</f>
        <v>(0.00)(-1)()/(2*0) =</v>
      </c>
      <c r="H527" s="167" t="e">
        <f>(G487*(G115-1)*G117/(2*G157))</f>
        <v>#DIV/0!</v>
      </c>
      <c r="I527" s="125" t="s">
        <v>529</v>
      </c>
      <c r="J527" s="131"/>
      <c r="R527" s="157"/>
      <c r="S527" s="157"/>
    </row>
    <row r="528" spans="2:19">
      <c r="C528" s="125" t="s">
        <v>821</v>
      </c>
      <c r="D528" s="125" t="str">
        <f>"-("&amp;FIXED(G487,2,TRUE)&amp;")("&amp;G115&amp;"-1)("&amp;G117&amp;")/(2*"&amp;G157&amp;") ="</f>
        <v>-(0.00)(-1)()/(2*0) =</v>
      </c>
      <c r="G528" s="167"/>
      <c r="H528" s="167" t="e">
        <f>-(G487*(G115-1)*G117/(2*G157))</f>
        <v>#DIV/0!</v>
      </c>
      <c r="I528" s="125" t="s">
        <v>529</v>
      </c>
      <c r="J528" s="131"/>
      <c r="R528" s="157"/>
      <c r="S528" s="157"/>
    </row>
    <row r="529" spans="1:19" ht="13.15">
      <c r="A529" s="253" t="s">
        <v>364</v>
      </c>
      <c r="G529" s="167"/>
      <c r="I529" s="167"/>
      <c r="R529" s="157"/>
      <c r="S529" s="157"/>
    </row>
    <row r="530" spans="1:19">
      <c r="A530" s="588" t="s">
        <v>946</v>
      </c>
      <c r="B530" s="588"/>
      <c r="C530" s="588"/>
      <c r="D530" s="588"/>
      <c r="E530" s="588"/>
      <c r="F530" s="588"/>
      <c r="G530" s="588"/>
      <c r="H530" s="588"/>
      <c r="I530" s="588"/>
      <c r="J530" s="588"/>
      <c r="K530" s="588"/>
      <c r="L530" s="588"/>
      <c r="M530" s="588"/>
      <c r="R530" s="157"/>
      <c r="S530" s="157"/>
    </row>
    <row r="531" spans="1:19" ht="13.15" customHeight="1">
      <c r="A531" s="588"/>
      <c r="B531" s="588"/>
      <c r="C531" s="588"/>
      <c r="D531" s="588"/>
      <c r="E531" s="588"/>
      <c r="F531" s="588"/>
      <c r="G531" s="588"/>
      <c r="H531" s="588"/>
      <c r="I531" s="588"/>
      <c r="J531" s="588"/>
      <c r="K531" s="588"/>
      <c r="L531" s="588"/>
      <c r="M531" s="588"/>
      <c r="R531" s="157"/>
      <c r="S531" s="157"/>
    </row>
    <row r="532" spans="1:19">
      <c r="A532" s="588"/>
      <c r="B532" s="588"/>
      <c r="C532" s="588"/>
      <c r="D532" s="588"/>
      <c r="E532" s="588"/>
      <c r="F532" s="588"/>
      <c r="G532" s="588"/>
      <c r="H532" s="588"/>
      <c r="I532" s="588"/>
      <c r="J532" s="588"/>
      <c r="K532" s="588"/>
      <c r="L532" s="588"/>
      <c r="M532" s="588"/>
      <c r="R532" s="157"/>
      <c r="S532" s="157"/>
    </row>
    <row r="533" spans="1:19">
      <c r="A533" s="588"/>
      <c r="B533" s="588"/>
      <c r="C533" s="588"/>
      <c r="D533" s="588"/>
      <c r="E533" s="588"/>
      <c r="F533" s="588"/>
      <c r="G533" s="588"/>
      <c r="H533" s="588"/>
      <c r="I533" s="588"/>
      <c r="J533" s="588"/>
      <c r="K533" s="588"/>
      <c r="L533" s="588"/>
      <c r="M533" s="588"/>
      <c r="R533" s="157"/>
      <c r="S533" s="157"/>
    </row>
    <row r="534" spans="1:19" ht="13.15" thickBot="1">
      <c r="A534" s="191"/>
      <c r="B534" s="191"/>
      <c r="C534" s="191"/>
      <c r="D534" s="191"/>
      <c r="E534" s="191"/>
      <c r="F534" s="191"/>
      <c r="G534" s="191"/>
      <c r="H534" s="191"/>
      <c r="I534" s="191"/>
      <c r="J534" s="191"/>
      <c r="R534" s="157"/>
      <c r="S534" s="157"/>
    </row>
    <row r="535" spans="1:19" ht="13.15" thickBot="1">
      <c r="A535" s="125" t="s">
        <v>134</v>
      </c>
      <c r="G535" s="19"/>
      <c r="I535" s="167"/>
      <c r="R535" s="157"/>
      <c r="S535" s="157"/>
    </row>
    <row r="536" spans="1:19" ht="13.15" thickBot="1">
      <c r="A536" s="125" t="s">
        <v>176</v>
      </c>
      <c r="G536" s="19"/>
      <c r="I536" s="167"/>
      <c r="R536" s="157"/>
      <c r="S536" s="157"/>
    </row>
    <row r="537" spans="1:19">
      <c r="I537" s="167"/>
      <c r="R537" s="157"/>
      <c r="S537" s="157"/>
    </row>
    <row r="538" spans="1:19" ht="13.15" customHeight="1">
      <c r="A538" s="581" t="str">
        <f>IF(G535="H",+Hpiles,IF(G535="P",+pipepiles,"Error - invalid pile type entered"))</f>
        <v>Error - invalid pile type entered</v>
      </c>
      <c r="B538" s="581"/>
      <c r="C538" s="581"/>
      <c r="D538" s="581"/>
      <c r="E538" s="581"/>
      <c r="F538" s="581"/>
      <c r="G538" s="581"/>
      <c r="H538" s="581"/>
      <c r="I538" s="581"/>
      <c r="J538" s="581"/>
      <c r="K538" s="581"/>
      <c r="L538" s="581"/>
      <c r="M538" s="581"/>
      <c r="R538" s="157">
        <f>IF(LEFT(A538,5)="Error",1,0)</f>
        <v>1</v>
      </c>
      <c r="S538" s="157">
        <f>IF(LEFT(A538,5)="Warni",1,0)</f>
        <v>0</v>
      </c>
    </row>
    <row r="539" spans="1:19">
      <c r="A539" s="581"/>
      <c r="B539" s="581"/>
      <c r="C539" s="581"/>
      <c r="D539" s="581"/>
      <c r="E539" s="581"/>
      <c r="F539" s="581"/>
      <c r="G539" s="581"/>
      <c r="H539" s="581"/>
      <c r="I539" s="581"/>
      <c r="J539" s="581"/>
      <c r="K539" s="581"/>
      <c r="L539" s="581"/>
      <c r="M539" s="581"/>
      <c r="R539" s="157"/>
      <c r="S539" s="157"/>
    </row>
    <row r="540" spans="1:19">
      <c r="A540" s="581"/>
      <c r="B540" s="581"/>
      <c r="C540" s="581"/>
      <c r="D540" s="581"/>
      <c r="E540" s="581"/>
      <c r="F540" s="581"/>
      <c r="G540" s="581"/>
      <c r="H540" s="581"/>
      <c r="I540" s="581"/>
      <c r="J540" s="581"/>
      <c r="K540" s="581"/>
      <c r="L540" s="581"/>
      <c r="M540" s="581"/>
      <c r="R540" s="157"/>
      <c r="S540" s="157"/>
    </row>
    <row r="541" spans="1:19">
      <c r="A541" s="581"/>
      <c r="B541" s="581"/>
      <c r="C541" s="581"/>
      <c r="D541" s="581"/>
      <c r="E541" s="581"/>
      <c r="F541" s="581"/>
      <c r="G541" s="581"/>
      <c r="H541" s="581"/>
      <c r="I541" s="581"/>
      <c r="J541" s="581"/>
      <c r="K541" s="581"/>
      <c r="L541" s="581"/>
      <c r="M541" s="581"/>
      <c r="R541" s="157"/>
      <c r="S541" s="157"/>
    </row>
    <row r="542" spans="1:19">
      <c r="A542" s="158"/>
      <c r="B542" s="158"/>
      <c r="C542" s="158"/>
      <c r="D542" s="158"/>
      <c r="E542" s="158"/>
      <c r="F542" s="158"/>
      <c r="G542" s="158"/>
      <c r="H542" s="158"/>
      <c r="I542" s="158"/>
      <c r="J542" s="158"/>
      <c r="K542" s="563" t="str">
        <f>IF(G535="H","HP Section Shapes","")</f>
        <v/>
      </c>
      <c r="R542" s="157"/>
      <c r="S542" s="157"/>
    </row>
    <row r="543" spans="1:19" ht="13.15" thickBot="1">
      <c r="B543" s="125" t="s">
        <v>133</v>
      </c>
      <c r="I543" s="560" t="str">
        <f>IF(G535="H",IF(ISNA('Pile Data'!B28)=TRUE,"HP pile designation must match EXACTLY one of those in list at right",""),"")</f>
        <v/>
      </c>
      <c r="K543" s="562" t="str">
        <f>IF(G535="H","Full Section","")</f>
        <v/>
      </c>
      <c r="L543" s="134" t="str">
        <f>IF(G535="H","Reduced Section","")</f>
        <v/>
      </c>
      <c r="R543" s="157"/>
      <c r="S543" s="157"/>
    </row>
    <row r="544" spans="1:19" ht="13.15" thickBot="1">
      <c r="C544" s="125" t="s">
        <v>517</v>
      </c>
      <c r="G544" s="374"/>
      <c r="I544" s="131"/>
      <c r="K544" s="560" t="str">
        <f>IF(G535="H","HP14x117","")</f>
        <v/>
      </c>
      <c r="L544" s="125" t="str">
        <f>IF(G535="H","HP14x117R","")</f>
        <v/>
      </c>
      <c r="R544" s="157"/>
      <c r="S544" s="157"/>
    </row>
    <row r="545" spans="1:19" ht="15.4" thickBot="1">
      <c r="C545" s="139" t="s">
        <v>132</v>
      </c>
      <c r="G545" s="93"/>
      <c r="H545" s="373" t="s">
        <v>829</v>
      </c>
      <c r="I545" s="178"/>
      <c r="K545" s="560" t="str">
        <f>IF(G535="H","HP14x102","")</f>
        <v/>
      </c>
      <c r="L545" s="125" t="str">
        <f>IF(G535="H","HP14x102R","")</f>
        <v/>
      </c>
      <c r="R545" s="157"/>
      <c r="S545" s="157"/>
    </row>
    <row r="546" spans="1:19" ht="13.15" thickBot="1">
      <c r="C546" s="125" t="str">
        <f>IF(G535="P","Compressive strength of pile concrete, f'c",IF(G535="H","Pile section depth, d",""))</f>
        <v/>
      </c>
      <c r="G546" s="93"/>
      <c r="H546" s="192" t="str">
        <f>IF(G535="P","ksi",IF(G535="H","in",""))</f>
        <v/>
      </c>
      <c r="I546" s="180"/>
      <c r="K546" s="560" t="str">
        <f>IF(G535="H","HP14x89","")</f>
        <v/>
      </c>
      <c r="L546" s="125" t="str">
        <f>IF(G535="H","HP14x89R","")</f>
        <v/>
      </c>
      <c r="R546" s="157"/>
      <c r="S546" s="157"/>
    </row>
    <row r="547" spans="1:19" ht="13.15" thickBot="1">
      <c r="C547" s="125" t="str">
        <f>IF(G535="H","Flange width, bf",IF(G535="P","Pipe outside diameter, Do",""))</f>
        <v/>
      </c>
      <c r="G547" s="21"/>
      <c r="H547" s="125" t="s">
        <v>516</v>
      </c>
      <c r="I547" s="180"/>
      <c r="K547" s="560" t="str">
        <f>IF(G535="H","HP14x73","")</f>
        <v/>
      </c>
      <c r="L547" s="125" t="str">
        <f>IF(G535="H","HP14x73R","")</f>
        <v/>
      </c>
      <c r="R547" s="157"/>
      <c r="S547" s="157"/>
    </row>
    <row r="548" spans="1:19" ht="13.15" thickBot="1">
      <c r="C548" s="125" t="str">
        <f>IF(G535="H","Flange thickness, tf",IF(G535="P","Pipe thickness, tp",""))</f>
        <v/>
      </c>
      <c r="G548" s="92"/>
      <c r="H548" s="125" t="s">
        <v>516</v>
      </c>
      <c r="I548" s="194"/>
      <c r="K548" s="560" t="str">
        <f>IF(G535="H","HP12x84","")</f>
        <v/>
      </c>
      <c r="L548" s="125" t="str">
        <f>IF(G535="H","HP12x84R","")</f>
        <v/>
      </c>
      <c r="R548" s="157"/>
      <c r="S548" s="157"/>
    </row>
    <row r="549" spans="1:19" ht="14.65" thickBot="1">
      <c r="C549" s="125" t="str">
        <f>IF(G535="H","Pile Area, Ap",IF(G535="P","Pile area transformed to steel, Atr",""))</f>
        <v/>
      </c>
      <c r="G549" s="94"/>
      <c r="H549" s="125" t="s">
        <v>510</v>
      </c>
      <c r="I549" s="180"/>
      <c r="K549" s="560" t="str">
        <f>IF(G535="H","HP12x74","")</f>
        <v/>
      </c>
      <c r="L549" s="125" t="str">
        <f>IF(G535="H","HP12x74R","")</f>
        <v/>
      </c>
      <c r="R549" s="157"/>
      <c r="S549" s="157"/>
    </row>
    <row r="550" spans="1:19" ht="15.4" thickBot="1">
      <c r="C550" s="125" t="s">
        <v>135</v>
      </c>
      <c r="G550" s="40"/>
      <c r="H550" s="181" t="s">
        <v>512</v>
      </c>
      <c r="I550" s="178"/>
      <c r="K550" s="560" t="str">
        <f>IF(G535="H","HP12x63","")</f>
        <v/>
      </c>
      <c r="L550" s="125" t="str">
        <f>IF(G535="H","HP12x63R","")</f>
        <v/>
      </c>
      <c r="R550" s="157"/>
      <c r="S550" s="157"/>
    </row>
    <row r="551" spans="1:19" ht="15.4" thickBot="1">
      <c r="C551" s="125" t="s">
        <v>513</v>
      </c>
      <c r="G551" s="95"/>
      <c r="H551" s="181" t="s">
        <v>515</v>
      </c>
      <c r="I551" s="180"/>
      <c r="K551" s="560" t="str">
        <f>IF(G535="H","HP12x53","")</f>
        <v/>
      </c>
      <c r="L551" s="125" t="str">
        <f>IF(G535="H","HP12x53R","")</f>
        <v/>
      </c>
      <c r="R551" s="157"/>
      <c r="S551" s="157"/>
    </row>
    <row r="552" spans="1:19" ht="15.4" thickBot="1">
      <c r="C552" s="125" t="s">
        <v>514</v>
      </c>
      <c r="G552" s="96"/>
      <c r="H552" s="125" t="s">
        <v>516</v>
      </c>
      <c r="I552" s="165"/>
      <c r="K552" s="560" t="str">
        <f>IF(G535="H","HP10x57","")</f>
        <v/>
      </c>
      <c r="L552" s="125" t="str">
        <f>IF(G535="H","HP10x57R","")</f>
        <v/>
      </c>
      <c r="R552" s="157"/>
      <c r="S552" s="157"/>
    </row>
    <row r="553" spans="1:19" ht="15.4" thickBot="1">
      <c r="C553" s="125" t="s">
        <v>518</v>
      </c>
      <c r="G553" s="93"/>
      <c r="H553" s="181" t="s">
        <v>515</v>
      </c>
      <c r="I553" s="180"/>
      <c r="K553" s="560" t="str">
        <f>IF(G535="H","HP10x42","")</f>
        <v/>
      </c>
      <c r="L553" s="125" t="str">
        <f>IF(G535="H","HP10x42R","")</f>
        <v/>
      </c>
      <c r="R553" s="157"/>
      <c r="S553" s="157"/>
    </row>
    <row r="554" spans="1:19">
      <c r="R554" s="157"/>
      <c r="S554" s="157"/>
    </row>
    <row r="555" spans="1:19">
      <c r="R555" s="157"/>
      <c r="S555" s="157"/>
    </row>
    <row r="556" spans="1:19">
      <c r="A556" s="577" t="s">
        <v>321</v>
      </c>
      <c r="B556" s="577"/>
      <c r="C556" s="577"/>
      <c r="D556" s="577"/>
      <c r="E556" s="577"/>
      <c r="F556" s="577"/>
      <c r="G556" s="577"/>
      <c r="H556" s="577"/>
      <c r="I556" s="577"/>
      <c r="J556" s="577"/>
      <c r="K556" s="577"/>
      <c r="L556" s="577"/>
      <c r="M556" s="577"/>
      <c r="R556" s="157"/>
      <c r="S556" s="157"/>
    </row>
    <row r="557" spans="1:19">
      <c r="A557" s="577"/>
      <c r="B557" s="577"/>
      <c r="C557" s="577"/>
      <c r="D557" s="577"/>
      <c r="E557" s="577"/>
      <c r="F557" s="577"/>
      <c r="G557" s="577"/>
      <c r="H557" s="577"/>
      <c r="I557" s="577"/>
      <c r="J557" s="577"/>
      <c r="K557" s="577"/>
      <c r="L557" s="577"/>
      <c r="M557" s="577"/>
      <c r="R557" s="157"/>
      <c r="S557" s="157"/>
    </row>
    <row r="558" spans="1:19">
      <c r="A558" s="577"/>
      <c r="B558" s="577"/>
      <c r="C558" s="577"/>
      <c r="D558" s="577"/>
      <c r="E558" s="577"/>
      <c r="F558" s="577"/>
      <c r="G558" s="577"/>
      <c r="H558" s="577"/>
      <c r="I558" s="577"/>
      <c r="J558" s="577"/>
      <c r="K558" s="577"/>
      <c r="L558" s="577"/>
      <c r="M558" s="577"/>
      <c r="R558" s="157"/>
      <c r="S558" s="157"/>
    </row>
    <row r="559" spans="1:19">
      <c r="A559" s="577"/>
      <c r="B559" s="577"/>
      <c r="C559" s="577"/>
      <c r="D559" s="577"/>
      <c r="E559" s="577"/>
      <c r="F559" s="577"/>
      <c r="G559" s="577"/>
      <c r="H559" s="577"/>
      <c r="I559" s="577"/>
      <c r="J559" s="577"/>
      <c r="K559" s="577"/>
      <c r="L559" s="577"/>
      <c r="M559" s="577"/>
      <c r="R559" s="157"/>
      <c r="S559" s="157"/>
    </row>
    <row r="560" spans="1:19">
      <c r="A560" s="577"/>
      <c r="B560" s="577"/>
      <c r="C560" s="577"/>
      <c r="D560" s="577"/>
      <c r="E560" s="577"/>
      <c r="F560" s="577"/>
      <c r="G560" s="577"/>
      <c r="H560" s="577"/>
      <c r="I560" s="577"/>
      <c r="J560" s="577"/>
      <c r="K560" s="577"/>
      <c r="L560" s="577"/>
      <c r="M560" s="577"/>
      <c r="R560" s="157"/>
      <c r="S560" s="157"/>
    </row>
    <row r="561" spans="1:19">
      <c r="A561" s="577"/>
      <c r="B561" s="577"/>
      <c r="C561" s="577"/>
      <c r="D561" s="577"/>
      <c r="E561" s="577"/>
      <c r="F561" s="577"/>
      <c r="G561" s="577"/>
      <c r="H561" s="577"/>
      <c r="I561" s="577"/>
      <c r="J561" s="577"/>
      <c r="K561" s="577"/>
      <c r="L561" s="577"/>
      <c r="M561" s="577"/>
      <c r="R561" s="157"/>
      <c r="S561" s="157"/>
    </row>
    <row r="562" spans="1:19">
      <c r="A562" s="577"/>
      <c r="B562" s="577"/>
      <c r="C562" s="577"/>
      <c r="D562" s="577"/>
      <c r="E562" s="577"/>
      <c r="F562" s="577"/>
      <c r="G562" s="577"/>
      <c r="H562" s="577"/>
      <c r="I562" s="577"/>
      <c r="J562" s="577"/>
      <c r="K562" s="577"/>
      <c r="L562" s="577"/>
      <c r="M562" s="577"/>
      <c r="R562" s="157"/>
      <c r="S562" s="157"/>
    </row>
    <row r="563" spans="1:19">
      <c r="R563" s="157"/>
      <c r="S563" s="157"/>
    </row>
    <row r="564" spans="1:19">
      <c r="B564" s="174" t="e">
        <f>"The maximum total factored dead + live girder reactions = "&amp;"("&amp;FIXED(MAX(K354:K371),2,TRUE)&amp;")(2) + ("&amp;FIXED(MAX(K333:K350),2,TRUE)&amp;")("&amp;(ngirder-2)&amp;") ="</f>
        <v>#DIV/0!</v>
      </c>
      <c r="J564" s="228" t="e">
        <f>+MAX(K333:K350)*(ngirder-2)+MAX(K354:K371)*2</f>
        <v>#DIV/0!</v>
      </c>
      <c r="K564" s="125" t="s">
        <v>338</v>
      </c>
      <c r="R564" s="157"/>
      <c r="S564" s="157"/>
    </row>
    <row r="565" spans="1:19" ht="13.15" thickBot="1">
      <c r="I565" s="165"/>
      <c r="J565" s="131"/>
      <c r="R565" s="157"/>
      <c r="S565" s="157"/>
    </row>
    <row r="566" spans="1:19" ht="13.15" thickBot="1">
      <c r="B566" s="125" t="s">
        <v>835</v>
      </c>
      <c r="G566" s="20"/>
      <c r="R566" s="157"/>
      <c r="S566" s="157"/>
    </row>
    <row r="567" spans="1:19" ht="13.15" thickBot="1">
      <c r="B567" s="163" t="e">
        <f>IF((G168-5)/(G566-1)&gt;10,"Warning - pile spacing is too large, increase number of piles",IF((G168-3)/(G566-1)&lt;3,"Warning - pile spacing is too small, decrease number of piles","Approximate range of allowed pile spacing for "&amp;G566&amp;" piles is about "&amp;FIXED((G168-2*G576)/(G566-1),2,TRUE)&amp;" ft to "&amp;FIXED((G168-2*G575)/(G566-1),2,TRUE)&amp;" ft"))</f>
        <v>#DIV/0!</v>
      </c>
      <c r="R567" s="157"/>
      <c r="S567" s="157"/>
    </row>
    <row r="568" spans="1:19" ht="13.15" thickBot="1">
      <c r="B568" s="125" t="s">
        <v>798</v>
      </c>
      <c r="G568" s="88"/>
      <c r="H568" s="125" t="s">
        <v>337</v>
      </c>
      <c r="I568" s="165"/>
      <c r="J568" s="131"/>
      <c r="R568" s="157"/>
      <c r="S568" s="157"/>
    </row>
    <row r="569" spans="1:19" ht="15.4" thickBot="1">
      <c r="A569" s="139"/>
      <c r="B569" s="139" t="s">
        <v>688</v>
      </c>
      <c r="D569" s="139"/>
      <c r="E569" s="139"/>
      <c r="F569" s="139"/>
      <c r="G569" s="46"/>
      <c r="H569" s="196" t="s">
        <v>337</v>
      </c>
      <c r="I569" s="197"/>
      <c r="J569" s="198"/>
      <c r="K569" s="139"/>
      <c r="L569" s="139"/>
      <c r="M569" s="139"/>
      <c r="R569" s="157"/>
      <c r="S569" s="157"/>
    </row>
    <row r="570" spans="1:19">
      <c r="I570" s="167"/>
      <c r="R570" s="157"/>
      <c r="S570" s="157"/>
    </row>
    <row r="571" spans="1:19">
      <c r="A571" s="588" t="s">
        <v>974</v>
      </c>
      <c r="B571" s="581"/>
      <c r="C571" s="581"/>
      <c r="D571" s="581"/>
      <c r="E571" s="581"/>
      <c r="F571" s="581"/>
      <c r="G571" s="581"/>
      <c r="H571" s="581"/>
      <c r="I571" s="581"/>
      <c r="J571" s="581"/>
      <c r="K571" s="581"/>
      <c r="L571" s="581"/>
      <c r="M571" s="581"/>
      <c r="R571" s="157"/>
      <c r="S571" s="157"/>
    </row>
    <row r="572" spans="1:19">
      <c r="A572" s="581"/>
      <c r="B572" s="581"/>
      <c r="C572" s="581"/>
      <c r="D572" s="581"/>
      <c r="E572" s="581"/>
      <c r="F572" s="581"/>
      <c r="G572" s="581"/>
      <c r="H572" s="581"/>
      <c r="I572" s="581"/>
      <c r="J572" s="581"/>
      <c r="K572" s="581"/>
      <c r="L572" s="581"/>
      <c r="M572" s="581"/>
      <c r="R572" s="157"/>
      <c r="S572" s="157"/>
    </row>
    <row r="573" spans="1:19">
      <c r="A573" s="581"/>
      <c r="B573" s="581"/>
      <c r="C573" s="581"/>
      <c r="D573" s="581"/>
      <c r="E573" s="581"/>
      <c r="F573" s="581"/>
      <c r="G573" s="581"/>
      <c r="H573" s="581"/>
      <c r="I573" s="581"/>
      <c r="J573" s="581"/>
      <c r="K573" s="581"/>
      <c r="L573" s="581"/>
      <c r="M573" s="581"/>
      <c r="R573" s="157"/>
      <c r="S573" s="157"/>
    </row>
    <row r="574" spans="1:19">
      <c r="A574" s="137"/>
      <c r="B574" s="137"/>
      <c r="C574" s="137"/>
      <c r="D574" s="137"/>
      <c r="E574" s="137"/>
      <c r="F574" s="137"/>
      <c r="G574" s="137"/>
      <c r="H574" s="137"/>
      <c r="I574" s="137"/>
      <c r="J574" s="137"/>
      <c r="R574" s="157"/>
      <c r="S574" s="157"/>
    </row>
    <row r="575" spans="1:19">
      <c r="B575" s="125" t="s">
        <v>772</v>
      </c>
      <c r="G575" s="133" t="e">
        <f>TEXT(MAX(1.5,IF(H240="D",(1.6875+14/12+IF(piletype="H",piledepth,pilewidth)/12/2)/(SIN(PI()*skew/180))),(1.6875+IF(piletype="H",piledepth,pilewidth)/12/2)/(SIN(PI()*skew/180))),"0.000")</f>
        <v>#DIV/0!</v>
      </c>
      <c r="H575" s="125" t="s">
        <v>322</v>
      </c>
      <c r="I575" s="165"/>
      <c r="J575" s="131"/>
      <c r="R575" s="157"/>
      <c r="S575" s="157"/>
    </row>
    <row r="576" spans="1:19">
      <c r="B576" s="125" t="s">
        <v>233</v>
      </c>
      <c r="G576" s="265" t="e">
        <f>TEXT(CEILING(MAX(2.5,IF(H240="D",(1.6875+14/12+IF(piletype="H",piledepth,pilewidth)/12/2)/(SIN(PI()*skew/180))),(1.6875+IF(piletype="H",piledepth,pilewidth)/12/2)/(SIN(PI()*skew/180))),0.25),"0.000")</f>
        <v>#DIV/0!</v>
      </c>
      <c r="H576" s="125" t="s">
        <v>322</v>
      </c>
      <c r="I576" s="165"/>
      <c r="J576" s="131"/>
      <c r="K576" s="266"/>
      <c r="L576" s="266"/>
      <c r="R576" s="157"/>
      <c r="S576" s="157"/>
    </row>
    <row r="577" spans="1:19">
      <c r="B577" s="125" t="s">
        <v>320</v>
      </c>
      <c r="G577" s="133" t="e">
        <f>TEXT((G168-(npiles-1)*pilespacing)/2,"0.000")</f>
        <v>#DIV/0!</v>
      </c>
      <c r="H577" s="125" t="s">
        <v>322</v>
      </c>
      <c r="I577" s="167"/>
      <c r="R577" s="157"/>
      <c r="S577" s="157"/>
    </row>
    <row r="578" spans="1:19">
      <c r="B578" s="174" t="s">
        <v>268</v>
      </c>
      <c r="E578" s="199" t="str">
        <f>IF(G568&lt;3,"Error - piles are spaced closer than the minimum 3 ft, increase spacing",IF(G568&gt;10,"Error - piles are spaced further apart than the maximum 10 ft, decrease pile spacing",IF(G535="H",IF(G568&lt;2.5/12*('Pile Data'!D28^2+'Pile Data'!F28^2)^0.5,"Error - pile spacing needs to be at least 2.5 times diagonal dimension for HP piles",IF(G568*(G566-1)+2*G575&gt;G168,"Error - edge distance of piles smaller than the "&amp;G575&amp;" ft allowable",IF(G568*(G566-1)&lt;G168-2*G576,"Error - edge distance of piles is greater than the "&amp;G576&amp;" ft allowable","OK"))),IF(G535="P",IF(2.5/12*'Pile Data'!D28&gt;G568,"Error - pile spacing needs to be at least 2.5 times pile diameter for round piles",IF(G568*(G566-1)+2*G575&gt;G168,"Error - edge distance of piles smaller than the "&amp;G575&amp;" ft allowable",IF(G568*(G566-1)&lt;G168-2*G576,"Error - edge distance of piles is greater than the "&amp;G576&amp;" ft allowable","OK")))))))</f>
        <v>Error - piles are spaced closer than the minimum 3 ft, increase spacing</v>
      </c>
      <c r="R578" s="157">
        <f>IF(LEFT(E578,5)="Error",1,0)</f>
        <v>1</v>
      </c>
      <c r="S578" s="157">
        <f>IF(LEFT(E578,5)="Warni",1,0)</f>
        <v>0</v>
      </c>
    </row>
    <row r="579" spans="1:19">
      <c r="B579" s="174"/>
      <c r="E579" s="199"/>
      <c r="R579" s="157"/>
      <c r="S579" s="157"/>
    </row>
    <row r="580" spans="1:19" ht="13.15">
      <c r="A580" s="253" t="str">
        <f>A529&amp;" - Cont'd"</f>
        <v>PILE DATA - Cont'd</v>
      </c>
      <c r="I580" s="178"/>
      <c r="J580" s="131"/>
      <c r="R580" s="157"/>
      <c r="S580" s="157"/>
    </row>
    <row r="581" spans="1:19">
      <c r="F581" s="133"/>
      <c r="I581" s="177"/>
      <c r="R581" s="157"/>
      <c r="S581" s="157"/>
    </row>
    <row r="582" spans="1:19" ht="13.15">
      <c r="A582" s="253" t="s">
        <v>332</v>
      </c>
      <c r="G582" s="167"/>
      <c r="I582" s="167"/>
      <c r="R582" s="157"/>
      <c r="S582" s="157"/>
    </row>
    <row r="583" spans="1:19">
      <c r="A583" s="577" t="s">
        <v>247</v>
      </c>
      <c r="B583" s="577"/>
      <c r="C583" s="577"/>
      <c r="D583" s="577"/>
      <c r="E583" s="577"/>
      <c r="F583" s="577"/>
      <c r="G583" s="577"/>
      <c r="H583" s="577"/>
      <c r="I583" s="577"/>
      <c r="J583" s="577"/>
      <c r="K583" s="577"/>
      <c r="L583" s="577"/>
      <c r="M583" s="577"/>
      <c r="R583" s="157"/>
      <c r="S583" s="157"/>
    </row>
    <row r="584" spans="1:19">
      <c r="A584" s="577"/>
      <c r="B584" s="577"/>
      <c r="C584" s="577"/>
      <c r="D584" s="577"/>
      <c r="E584" s="577"/>
      <c r="F584" s="577"/>
      <c r="G584" s="577"/>
      <c r="H584" s="577"/>
      <c r="I584" s="577"/>
      <c r="J584" s="577"/>
      <c r="K584" s="577"/>
      <c r="L584" s="577"/>
      <c r="M584" s="577"/>
      <c r="R584" s="157"/>
      <c r="S584" s="157"/>
    </row>
    <row r="585" spans="1:19">
      <c r="A585" s="577"/>
      <c r="B585" s="577"/>
      <c r="C585" s="577"/>
      <c r="D585" s="577"/>
      <c r="E585" s="577"/>
      <c r="F585" s="577"/>
      <c r="G585" s="577"/>
      <c r="H585" s="577"/>
      <c r="I585" s="577"/>
      <c r="J585" s="577"/>
      <c r="K585" s="577"/>
      <c r="L585" s="577"/>
      <c r="M585" s="577"/>
      <c r="R585" s="157"/>
      <c r="S585" s="157"/>
    </row>
    <row r="586" spans="1:19">
      <c r="A586" s="577"/>
      <c r="B586" s="577"/>
      <c r="C586" s="577"/>
      <c r="D586" s="577"/>
      <c r="E586" s="577"/>
      <c r="F586" s="577"/>
      <c r="G586" s="577"/>
      <c r="H586" s="577"/>
      <c r="I586" s="577"/>
      <c r="J586" s="577"/>
      <c r="K586" s="577"/>
      <c r="L586" s="577"/>
      <c r="M586" s="577"/>
      <c r="R586" s="157"/>
      <c r="S586" s="157"/>
    </row>
    <row r="587" spans="1:19" ht="13.15" thickBot="1">
      <c r="A587" s="254"/>
      <c r="B587" s="254"/>
      <c r="C587" s="254"/>
      <c r="D587" s="254"/>
      <c r="E587" s="254"/>
      <c r="F587" s="254"/>
      <c r="G587" s="254"/>
      <c r="H587" s="254"/>
      <c r="I587" s="254"/>
      <c r="J587" s="254"/>
      <c r="K587" s="254"/>
      <c r="L587" s="254"/>
      <c r="M587" s="254"/>
      <c r="R587" s="157"/>
      <c r="S587" s="157"/>
    </row>
    <row r="588" spans="1:19" ht="13.15" thickBot="1">
      <c r="B588" s="125" t="s">
        <v>520</v>
      </c>
      <c r="G588" s="22"/>
      <c r="H588" s="125" t="s">
        <v>337</v>
      </c>
      <c r="I588" s="165"/>
      <c r="J588" s="131"/>
      <c r="R588" s="157"/>
      <c r="S588" s="157"/>
    </row>
    <row r="589" spans="1:19">
      <c r="B589" s="163" t="str">
        <f>IF(estfixity&gt;pilelength,"Error - assumed depth to fixity is longer than the total pile length","")</f>
        <v/>
      </c>
      <c r="I589" s="167"/>
      <c r="R589" s="157">
        <f>IF(LEFT(B589,5)="Error",1,0)</f>
        <v>0</v>
      </c>
      <c r="S589" s="157">
        <f>IF(LEFT(B589,5)="Warni",1,0)</f>
        <v>0</v>
      </c>
    </row>
    <row r="590" spans="1:19">
      <c r="A590" s="583" t="s">
        <v>583</v>
      </c>
      <c r="B590" s="583"/>
      <c r="C590" s="583"/>
      <c r="D590" s="583"/>
      <c r="E590" s="583"/>
      <c r="F590" s="583"/>
      <c r="G590" s="583"/>
      <c r="H590" s="583"/>
      <c r="I590" s="583"/>
      <c r="J590" s="583"/>
      <c r="K590" s="583"/>
      <c r="L590" s="583"/>
      <c r="M590" s="583"/>
      <c r="R590" s="157"/>
      <c r="S590" s="157"/>
    </row>
    <row r="591" spans="1:19">
      <c r="A591" s="583"/>
      <c r="B591" s="583"/>
      <c r="C591" s="583"/>
      <c r="D591" s="583"/>
      <c r="E591" s="583"/>
      <c r="F591" s="583"/>
      <c r="G591" s="583"/>
      <c r="H591" s="583"/>
      <c r="I591" s="583"/>
      <c r="J591" s="583"/>
      <c r="K591" s="583"/>
      <c r="L591" s="583"/>
      <c r="M591" s="583"/>
      <c r="R591" s="157"/>
      <c r="S591" s="157"/>
    </row>
    <row r="592" spans="1:19">
      <c r="A592" s="583"/>
      <c r="B592" s="583"/>
      <c r="C592" s="583"/>
      <c r="D592" s="583"/>
      <c r="E592" s="583"/>
      <c r="F592" s="583"/>
      <c r="G592" s="583"/>
      <c r="H592" s="583"/>
      <c r="I592" s="583"/>
      <c r="J592" s="583"/>
      <c r="K592" s="583"/>
      <c r="L592" s="583"/>
      <c r="M592" s="583"/>
      <c r="R592" s="157"/>
      <c r="S592" s="157"/>
    </row>
    <row r="593" spans="1:19">
      <c r="A593" s="583"/>
      <c r="B593" s="583"/>
      <c r="C593" s="583"/>
      <c r="D593" s="583"/>
      <c r="E593" s="583"/>
      <c r="F593" s="583"/>
      <c r="G593" s="583"/>
      <c r="H593" s="583"/>
      <c r="I593" s="583"/>
      <c r="J593" s="583"/>
      <c r="K593" s="583"/>
      <c r="L593" s="583"/>
      <c r="M593" s="583"/>
      <c r="R593" s="157"/>
      <c r="S593" s="157"/>
    </row>
    <row r="594" spans="1:19">
      <c r="A594" s="583"/>
      <c r="B594" s="583"/>
      <c r="C594" s="583"/>
      <c r="D594" s="583"/>
      <c r="E594" s="583"/>
      <c r="F594" s="583"/>
      <c r="G594" s="583"/>
      <c r="H594" s="583"/>
      <c r="I594" s="583"/>
      <c r="J594" s="583"/>
      <c r="K594" s="583"/>
      <c r="L594" s="583"/>
      <c r="M594" s="583"/>
      <c r="R594" s="157"/>
      <c r="S594" s="157"/>
    </row>
    <row r="595" spans="1:19">
      <c r="A595" s="169"/>
      <c r="B595" s="169"/>
      <c r="C595" s="169"/>
      <c r="D595" s="169"/>
      <c r="E595" s="169"/>
      <c r="F595" s="169"/>
      <c r="G595" s="169"/>
      <c r="H595" s="169"/>
      <c r="I595" s="169"/>
      <c r="J595" s="169"/>
      <c r="K595" s="169"/>
      <c r="L595" s="169"/>
      <c r="M595" s="169"/>
      <c r="R595" s="157"/>
      <c r="S595" s="157"/>
    </row>
    <row r="596" spans="1:19">
      <c r="A596" s="169"/>
      <c r="B596" s="125" t="s">
        <v>584</v>
      </c>
      <c r="G596" s="133" t="str">
        <f>+G568&amp;" sin ("&amp;G62&amp;") ="</f>
        <v xml:space="preserve"> sin () =</v>
      </c>
      <c r="H596" s="89">
        <f>+G568*SIN(I62)</f>
        <v>0</v>
      </c>
      <c r="I596" s="125" t="s">
        <v>337</v>
      </c>
      <c r="J596" s="169"/>
      <c r="K596" s="169"/>
      <c r="L596" s="169"/>
      <c r="M596" s="169"/>
      <c r="R596" s="157"/>
      <c r="S596" s="157"/>
    </row>
    <row r="597" spans="1:19" ht="14.25">
      <c r="A597" s="169"/>
      <c r="B597" s="125" t="s">
        <v>219</v>
      </c>
      <c r="C597" s="169"/>
      <c r="D597" s="169"/>
      <c r="E597" s="169"/>
      <c r="F597" s="169"/>
      <c r="G597" s="169"/>
      <c r="H597" s="169"/>
      <c r="J597" s="133" t="str">
        <f>+G566&amp;"("&amp;G566&amp;"^2 - 1)("&amp;FIXED(H596,3,TRUE)&amp;"^2)/12 ="</f>
        <v>(^2 - 1)(0.000^2)/12 =</v>
      </c>
      <c r="K597" s="177">
        <f>+G566*(G566-1)*(G566+1)*H596^2/12</f>
        <v>0</v>
      </c>
      <c r="L597" s="125" t="s">
        <v>309</v>
      </c>
      <c r="M597" s="169"/>
      <c r="R597" s="157"/>
      <c r="S597" s="157"/>
    </row>
    <row r="598" spans="1:19">
      <c r="A598" s="137"/>
      <c r="B598" s="137"/>
      <c r="C598" s="137"/>
      <c r="D598" s="137"/>
      <c r="E598" s="137"/>
      <c r="F598" s="137"/>
      <c r="G598" s="137"/>
      <c r="H598" s="137"/>
      <c r="I598" s="137"/>
      <c r="J598" s="137"/>
      <c r="K598" s="131"/>
      <c r="R598" s="157"/>
      <c r="S598" s="157"/>
    </row>
    <row r="599" spans="1:19">
      <c r="A599" s="137"/>
      <c r="B599" s="137"/>
      <c r="C599" s="137"/>
      <c r="D599" s="137"/>
      <c r="E599" s="137"/>
      <c r="F599" s="137"/>
      <c r="G599" s="137"/>
      <c r="H599" s="137"/>
      <c r="I599" s="137"/>
      <c r="J599" s="137"/>
      <c r="R599" s="157"/>
      <c r="S599" s="157"/>
    </row>
    <row r="600" spans="1:19">
      <c r="A600" s="137"/>
      <c r="B600" s="137"/>
      <c r="C600" s="137"/>
      <c r="D600" s="137"/>
      <c r="E600" s="137"/>
      <c r="F600" s="137"/>
      <c r="G600" s="137"/>
      <c r="H600" s="137"/>
      <c r="I600" s="137"/>
      <c r="J600" s="137"/>
      <c r="R600" s="157"/>
      <c r="S600" s="157"/>
    </row>
    <row r="601" spans="1:19">
      <c r="A601" s="137"/>
      <c r="B601" s="137"/>
      <c r="C601" s="137"/>
      <c r="D601" s="137"/>
      <c r="E601" s="137"/>
      <c r="F601" s="137"/>
      <c r="G601" s="137"/>
      <c r="H601" s="137"/>
      <c r="I601" s="137"/>
      <c r="J601" s="137"/>
      <c r="R601" s="157"/>
      <c r="S601" s="157"/>
    </row>
    <row r="602" spans="1:19">
      <c r="A602" s="137"/>
      <c r="B602" s="137"/>
      <c r="C602" s="137"/>
      <c r="D602" s="137"/>
      <c r="E602" s="137"/>
      <c r="F602" s="137"/>
      <c r="G602" s="137"/>
      <c r="H602" s="137"/>
      <c r="I602" s="137"/>
      <c r="J602" s="137"/>
      <c r="R602" s="157"/>
      <c r="S602" s="157"/>
    </row>
    <row r="603" spans="1:19">
      <c r="A603" s="137"/>
      <c r="B603" s="137"/>
      <c r="C603" s="137"/>
      <c r="D603" s="137"/>
      <c r="E603" s="137"/>
      <c r="F603" s="137"/>
      <c r="G603" s="137"/>
      <c r="H603" s="137"/>
      <c r="I603" s="137"/>
      <c r="J603" s="137"/>
      <c r="R603" s="157"/>
      <c r="S603" s="157"/>
    </row>
    <row r="604" spans="1:19">
      <c r="A604" s="137"/>
      <c r="B604" s="137"/>
      <c r="C604" s="137"/>
      <c r="D604" s="137"/>
      <c r="E604" s="137"/>
      <c r="F604" s="137"/>
      <c r="G604" s="137"/>
      <c r="H604" s="137"/>
      <c r="I604" s="137"/>
      <c r="J604" s="137"/>
      <c r="R604" s="157"/>
      <c r="S604" s="157"/>
    </row>
    <row r="605" spans="1:19">
      <c r="A605" s="137"/>
      <c r="B605" s="137"/>
      <c r="C605" s="137"/>
      <c r="D605" s="137"/>
      <c r="E605" s="137"/>
      <c r="F605" s="137"/>
      <c r="G605" s="137"/>
      <c r="H605" s="137"/>
      <c r="I605" s="137"/>
      <c r="J605" s="137"/>
      <c r="R605" s="157"/>
      <c r="S605" s="157"/>
    </row>
    <row r="606" spans="1:19">
      <c r="A606" s="137"/>
      <c r="B606" s="137"/>
      <c r="C606" s="137"/>
      <c r="D606" s="137"/>
      <c r="E606" s="137"/>
      <c r="F606" s="137"/>
      <c r="G606" s="137"/>
      <c r="H606" s="137"/>
      <c r="I606" s="137"/>
      <c r="J606" s="137"/>
      <c r="R606" s="157"/>
      <c r="S606" s="157"/>
    </row>
    <row r="607" spans="1:19">
      <c r="A607" s="137"/>
      <c r="B607" s="137"/>
      <c r="C607" s="137"/>
      <c r="D607" s="137"/>
      <c r="E607" s="137"/>
      <c r="F607" s="137"/>
      <c r="G607" s="137"/>
      <c r="H607" s="137"/>
      <c r="I607" s="137"/>
      <c r="J607" s="137"/>
      <c r="R607" s="157"/>
      <c r="S607" s="157"/>
    </row>
    <row r="608" spans="1:19">
      <c r="A608" s="137"/>
      <c r="B608" s="137"/>
      <c r="C608" s="137"/>
      <c r="D608" s="137"/>
      <c r="E608" s="137"/>
      <c r="F608" s="137"/>
      <c r="G608" s="137"/>
      <c r="H608" s="137"/>
      <c r="I608" s="137"/>
      <c r="J608" s="137"/>
      <c r="R608" s="157"/>
      <c r="S608" s="157"/>
    </row>
    <row r="609" spans="1:19">
      <c r="A609" s="137"/>
      <c r="B609" s="137"/>
      <c r="C609" s="137"/>
      <c r="D609" s="137"/>
      <c r="E609" s="137"/>
      <c r="F609" s="137"/>
      <c r="G609" s="137"/>
      <c r="H609" s="137"/>
      <c r="I609" s="137"/>
      <c r="J609" s="137"/>
      <c r="R609" s="157"/>
      <c r="S609" s="157"/>
    </row>
    <row r="610" spans="1:19">
      <c r="A610" s="137"/>
      <c r="B610" s="137"/>
      <c r="C610" s="137"/>
      <c r="D610" s="137"/>
      <c r="E610" s="137"/>
      <c r="F610" s="137"/>
      <c r="G610" s="137"/>
      <c r="H610" s="137"/>
      <c r="I610" s="137"/>
      <c r="J610" s="137"/>
      <c r="R610" s="157"/>
      <c r="S610" s="157"/>
    </row>
    <row r="611" spans="1:19">
      <c r="A611" s="137"/>
      <c r="B611" s="137"/>
      <c r="C611" s="137"/>
      <c r="D611" s="137"/>
      <c r="E611" s="137"/>
      <c r="F611" s="137"/>
      <c r="G611" s="137"/>
      <c r="H611" s="137"/>
      <c r="I611" s="137"/>
      <c r="J611" s="137"/>
      <c r="R611" s="157"/>
      <c r="S611" s="157"/>
    </row>
    <row r="612" spans="1:19">
      <c r="A612" s="137"/>
      <c r="B612" s="137"/>
      <c r="C612" s="137"/>
      <c r="D612" s="137"/>
      <c r="E612" s="137"/>
      <c r="F612" s="137"/>
      <c r="G612" s="137"/>
      <c r="H612" s="137"/>
      <c r="I612" s="137"/>
      <c r="J612" s="137"/>
      <c r="R612" s="157"/>
      <c r="S612" s="157"/>
    </row>
    <row r="613" spans="1:19">
      <c r="A613" s="137"/>
      <c r="B613" s="137"/>
      <c r="C613" s="137"/>
      <c r="D613" s="137"/>
      <c r="E613" s="137"/>
      <c r="F613" s="137"/>
      <c r="G613" s="137"/>
      <c r="H613" s="137"/>
      <c r="I613" s="137"/>
      <c r="J613" s="137"/>
      <c r="R613" s="157"/>
      <c r="S613" s="157"/>
    </row>
    <row r="614" spans="1:19">
      <c r="A614" s="137"/>
      <c r="B614" s="137"/>
      <c r="C614" s="137"/>
      <c r="D614" s="137"/>
      <c r="E614" s="137"/>
      <c r="F614" s="137"/>
      <c r="G614" s="137"/>
      <c r="H614" s="137"/>
      <c r="I614" s="137"/>
      <c r="J614" s="137"/>
      <c r="R614" s="157"/>
      <c r="S614" s="157"/>
    </row>
    <row r="615" spans="1:19">
      <c r="A615" s="137"/>
      <c r="B615" s="137"/>
      <c r="C615" s="137"/>
      <c r="D615" s="137"/>
      <c r="E615" s="137"/>
      <c r="F615" s="137"/>
      <c r="G615" s="137"/>
      <c r="H615" s="137"/>
      <c r="I615" s="137"/>
      <c r="J615" s="137"/>
      <c r="R615" s="157"/>
      <c r="S615" s="157"/>
    </row>
    <row r="616" spans="1:19">
      <c r="A616" s="137"/>
      <c r="B616" s="137"/>
      <c r="C616" s="137"/>
      <c r="D616" s="137"/>
      <c r="E616" s="137"/>
      <c r="F616" s="137"/>
      <c r="G616" s="137"/>
      <c r="H616" s="137"/>
      <c r="I616" s="137"/>
      <c r="J616" s="137"/>
      <c r="R616" s="157"/>
      <c r="S616" s="157"/>
    </row>
    <row r="617" spans="1:19">
      <c r="A617" s="137"/>
      <c r="B617" s="137"/>
      <c r="C617" s="137"/>
      <c r="D617" s="137"/>
      <c r="E617" s="137"/>
      <c r="F617" s="137"/>
      <c r="G617" s="137"/>
      <c r="H617" s="137"/>
      <c r="I617" s="137"/>
      <c r="J617" s="137"/>
      <c r="R617" s="157"/>
      <c r="S617" s="157"/>
    </row>
    <row r="618" spans="1:19">
      <c r="A618" s="137"/>
      <c r="B618" s="137"/>
      <c r="C618" s="137"/>
      <c r="D618" s="137"/>
      <c r="E618" s="137"/>
      <c r="F618" s="137"/>
      <c r="G618" s="137"/>
      <c r="H618" s="137"/>
      <c r="I618" s="137"/>
      <c r="J618" s="137"/>
      <c r="R618" s="157"/>
      <c r="S618" s="157"/>
    </row>
    <row r="619" spans="1:19">
      <c r="A619" s="137"/>
      <c r="B619" s="137"/>
      <c r="C619" s="137"/>
      <c r="D619" s="137"/>
      <c r="E619" s="137"/>
      <c r="F619" s="137"/>
      <c r="G619" s="137"/>
      <c r="H619" s="137"/>
      <c r="I619" s="137"/>
      <c r="J619" s="137"/>
      <c r="R619" s="157"/>
      <c r="S619" s="157"/>
    </row>
    <row r="620" spans="1:19">
      <c r="A620" s="137"/>
      <c r="B620" s="137"/>
      <c r="C620" s="137"/>
      <c r="D620" s="137"/>
      <c r="E620" s="137"/>
      <c r="F620" s="137"/>
      <c r="G620" s="137"/>
      <c r="H620" s="137"/>
      <c r="I620" s="137"/>
      <c r="J620" s="137"/>
      <c r="R620" s="157"/>
      <c r="S620" s="157"/>
    </row>
    <row r="621" spans="1:19">
      <c r="A621" s="125" t="s">
        <v>182</v>
      </c>
      <c r="F621" s="133"/>
      <c r="G621" s="167"/>
      <c r="I621" s="167"/>
      <c r="R621" s="157"/>
      <c r="S621" s="157"/>
    </row>
    <row r="622" spans="1:19" s="377" customFormat="1" ht="10.15">
      <c r="F622" s="378"/>
      <c r="G622" s="379"/>
      <c r="I622" s="379"/>
      <c r="R622" s="372"/>
      <c r="S622" s="372"/>
    </row>
    <row r="623" spans="1:19">
      <c r="B623" s="125" t="s">
        <v>545</v>
      </c>
      <c r="F623" s="133"/>
      <c r="G623" s="167"/>
      <c r="I623" s="167"/>
      <c r="R623" s="157"/>
      <c r="S623" s="157"/>
    </row>
    <row r="624" spans="1:19">
      <c r="C624" s="174" t="str">
        <f>"Wind on structure moment = ("&amp;FIXED(G443)&amp;")("&amp;FIXED(G588,2,TRUE)&amp;"+"&amp;G186&amp;"+"&amp;G125&amp;"/12+"&amp;TEXT(G135,"0.000")&amp;"/2) ="</f>
        <v>Wind on structure moment = (0.00)(0.00++/12+0.000/2) =</v>
      </c>
      <c r="F624" s="133"/>
      <c r="G624" s="167"/>
      <c r="J624" s="167">
        <f>+G443*(G588+G186+G125/12+G135/2)</f>
        <v>0</v>
      </c>
      <c r="K624" s="125" t="s">
        <v>830</v>
      </c>
      <c r="R624" s="157"/>
      <c r="S624" s="157"/>
    </row>
    <row r="625" spans="2:19">
      <c r="C625" s="125" t="s">
        <v>183</v>
      </c>
      <c r="E625" s="125" t="s">
        <v>820</v>
      </c>
      <c r="F625" s="125" t="str">
        <f>"("&amp;FIXED(J624,2,TRUE)&amp;")("&amp;G566&amp;"-1)("&amp;FIXED(H596,3,TRUE)&amp;")/(2*"&amp;FIXED(K597,0,TRUE)&amp;") ="</f>
        <v>(0.00)(-1)(0.000)/(2*0) =</v>
      </c>
      <c r="G625" s="167"/>
      <c r="J625" s="167" t="e">
        <f>J624*(G566-1)*H596/(2*K597)</f>
        <v>#DIV/0!</v>
      </c>
      <c r="K625" s="125" t="s">
        <v>521</v>
      </c>
      <c r="R625" s="157"/>
      <c r="S625" s="157"/>
    </row>
    <row r="626" spans="2:19">
      <c r="E626" s="125" t="s">
        <v>821</v>
      </c>
      <c r="F626" s="125" t="str">
        <f>"-("&amp;FIXED(J624,2,TRUE)&amp;")("&amp;G566&amp;"-1)("&amp;FIXED(H596,3,TRUE)&amp;")/(2*"&amp;FIXED(K597,0,TRUE)&amp;") ="</f>
        <v>-(0.00)(-1)(0.000)/(2*0) =</v>
      </c>
      <c r="G626" s="167"/>
      <c r="J626" s="167" t="e">
        <f>-J624*(G566-1)*H596/(2*K597)</f>
        <v>#DIV/0!</v>
      </c>
      <c r="K626" s="125" t="s">
        <v>521</v>
      </c>
      <c r="R626" s="157"/>
      <c r="S626" s="157"/>
    </row>
    <row r="627" spans="2:19" s="377" customFormat="1" ht="10.15">
      <c r="I627" s="380"/>
      <c r="J627" s="376"/>
      <c r="R627" s="372"/>
      <c r="S627" s="372"/>
    </row>
    <row r="628" spans="2:19">
      <c r="B628" s="125" t="s">
        <v>546</v>
      </c>
      <c r="G628" s="167"/>
      <c r="I628" s="167"/>
      <c r="R628" s="157"/>
      <c r="S628" s="157"/>
    </row>
    <row r="629" spans="2:19">
      <c r="C629" s="125" t="s">
        <v>184</v>
      </c>
      <c r="E629" s="125" t="s">
        <v>820</v>
      </c>
      <c r="F629" s="125" t="str">
        <f>+FIXED(G450)&amp;"/"&amp;G566&amp;" + ("&amp;FIXED(I452,2,TRUE)&amp;")("&amp;G566&amp;"-1)("&amp;FIXED(H596,3,TRUE)&amp;")/(2*"&amp;FIXED(K597,0,TRUE)&amp;") ="</f>
        <v>0.00/ + (0.00)(-1)(0.000)/(2*0) =</v>
      </c>
      <c r="G629" s="167"/>
      <c r="J629" s="167" t="e">
        <f>+G450/G566+I452*(G566-1)*H596/(2*K597)</f>
        <v>#DIV/0!</v>
      </c>
      <c r="K629" s="125" t="s">
        <v>521</v>
      </c>
      <c r="R629" s="157"/>
      <c r="S629" s="157"/>
    </row>
    <row r="630" spans="2:19">
      <c r="E630" s="125" t="s">
        <v>821</v>
      </c>
      <c r="F630" s="125" t="str">
        <f>+FIXED(G450)&amp;"/"&amp;G566&amp;" - ("&amp;FIXED(I452,2,TRUE)&amp;")("&amp;G566&amp;"-1)("&amp;FIXED(H596,3,TRUE)&amp;")/(2*"&amp;FIXED(K597,0,TRUE)&amp;") ="</f>
        <v>0.00/ - (0.00)(-1)(0.000)/(2*0) =</v>
      </c>
      <c r="J630" s="167" t="e">
        <f>G450/G566-I452*(G566-1)*H596/(2*K597)</f>
        <v>#DIV/0!</v>
      </c>
      <c r="K630" s="125" t="s">
        <v>521</v>
      </c>
      <c r="R630" s="157"/>
      <c r="S630" s="157"/>
    </row>
    <row r="631" spans="2:19" s="377" customFormat="1" ht="10.15">
      <c r="G631" s="379"/>
      <c r="R631" s="372"/>
      <c r="S631" s="372"/>
    </row>
    <row r="632" spans="2:19">
      <c r="B632" s="125" t="s">
        <v>547</v>
      </c>
      <c r="G632" s="167"/>
      <c r="I632" s="167"/>
      <c r="R632" s="157"/>
      <c r="S632" s="157"/>
    </row>
    <row r="633" spans="2:19">
      <c r="C633" s="167" t="str">
        <f>"Wind on live load moment = ("&amp;FIXED(G458)&amp;")(6+"&amp;FIXED(G588,2,TRUE)&amp;"+"&amp;G186&amp;"+"&amp;FIXED(H207,3,TRUE)&amp;") ="</f>
        <v>Wind on live load moment = (0.00)(6+0.00++0.000) =</v>
      </c>
      <c r="G633" s="167"/>
      <c r="J633" s="167">
        <f>+G458*(6+(G588+G186+H207))</f>
        <v>0</v>
      </c>
      <c r="K633" s="125" t="s">
        <v>830</v>
      </c>
      <c r="R633" s="157"/>
      <c r="S633" s="157"/>
    </row>
    <row r="634" spans="2:19">
      <c r="C634" s="125" t="s">
        <v>185</v>
      </c>
      <c r="E634" s="125" t="s">
        <v>820</v>
      </c>
      <c r="F634" s="125" t="str">
        <f>"("&amp;FIXED(J633,2,TRUE)&amp;")("&amp;G566&amp;"-1)("&amp;FIXED(H596,3,TRUE)&amp;")/(2*"&amp;FIXED(K597,0,TRUE)&amp;") ="</f>
        <v>(0.00)(-1)(0.000)/(2*0) =</v>
      </c>
      <c r="G634" s="167"/>
      <c r="J634" s="167" t="e">
        <f>(J633*(G566-1)*H596/(2*K597))</f>
        <v>#DIV/0!</v>
      </c>
      <c r="K634" s="125" t="s">
        <v>521</v>
      </c>
      <c r="R634" s="157"/>
      <c r="S634" s="157"/>
    </row>
    <row r="635" spans="2:19">
      <c r="E635" s="125" t="s">
        <v>821</v>
      </c>
      <c r="F635" s="125" t="str">
        <f>"-("&amp;FIXED(J633,2,TRUE)&amp;")("&amp;G566&amp;"-1)("&amp;FIXED(H596,3,TRUE)&amp;")/(2*"&amp;FIXED(K597,0,TRUE)&amp;") ="</f>
        <v>-(0.00)(-1)(0.000)/(2*0) =</v>
      </c>
      <c r="J635" s="167" t="e">
        <f>-(J633*(G566-1)*H596/(2*K597))</f>
        <v>#DIV/0!</v>
      </c>
      <c r="K635" s="125" t="s">
        <v>521</v>
      </c>
      <c r="R635" s="157"/>
      <c r="S635" s="157"/>
    </row>
    <row r="636" spans="2:19" s="377" customFormat="1" ht="10.15">
      <c r="G636" s="379"/>
      <c r="I636" s="379"/>
      <c r="R636" s="372"/>
      <c r="S636" s="372"/>
    </row>
    <row r="637" spans="2:19">
      <c r="B637" s="125" t="s">
        <v>236</v>
      </c>
      <c r="G637" s="167"/>
      <c r="I637" s="167"/>
      <c r="R637" s="157"/>
      <c r="S637" s="157"/>
    </row>
    <row r="638" spans="2:19">
      <c r="C638" s="167" t="str">
        <f>"Centrifugal forces moment = ("&amp;FIXED(G467)&amp;")(6+"&amp;FIXED(G588,2,TRUE)&amp;"+"&amp;G186&amp;"+"&amp;FIXED(H207,3,TRUE)&amp;") ="</f>
        <v>Centrifugal forces moment = (0.00)(6+0.00++0.000) =</v>
      </c>
      <c r="G638" s="167"/>
      <c r="J638" s="167">
        <f>+G467*((6+G588+G186+H207))</f>
        <v>0</v>
      </c>
      <c r="K638" s="125" t="s">
        <v>830</v>
      </c>
      <c r="R638" s="157"/>
      <c r="S638" s="157"/>
    </row>
    <row r="639" spans="2:19">
      <c r="C639" s="125" t="s">
        <v>186</v>
      </c>
      <c r="E639" s="125" t="s">
        <v>820</v>
      </c>
      <c r="F639" s="125" t="str">
        <f>"("&amp;FIXED(J638,2,TRUE)&amp;")("&amp;G566&amp;"-1)("&amp;FIXED(H596,3,TRUE)&amp;")/(2*"&amp;FIXED(K597,0,TRUE)&amp;") ="</f>
        <v>(0.00)(-1)(0.000)/(2*0) =</v>
      </c>
      <c r="G639" s="167"/>
      <c r="J639" s="167" t="e">
        <f>(J638*(G566-1)*H596/(2*K597))</f>
        <v>#DIV/0!</v>
      </c>
      <c r="K639" s="125" t="s">
        <v>521</v>
      </c>
      <c r="R639" s="157"/>
      <c r="S639" s="157"/>
    </row>
    <row r="640" spans="2:19">
      <c r="E640" s="125" t="s">
        <v>821</v>
      </c>
      <c r="F640" s="125" t="str">
        <f>"-("&amp;FIXED(J638,2,TRUE)&amp;")("&amp;G566&amp;"-1)("&amp;FIXED(H596,3,TRUE)&amp;")/(2*"&amp;FIXED(K597,0,TRUE)&amp;") ="</f>
        <v>-(0.00)(-1)(0.000)/(2*0) =</v>
      </c>
      <c r="J640" s="167" t="e">
        <f>-(J638*(G566-1)*H596/(2*K597))</f>
        <v>#DIV/0!</v>
      </c>
      <c r="K640" s="125" t="s">
        <v>521</v>
      </c>
      <c r="R640" s="157"/>
      <c r="S640" s="157"/>
    </row>
    <row r="641" spans="1:19" ht="13.15">
      <c r="A641" s="253" t="str">
        <f>A580</f>
        <v>PILE DATA - Cont'd</v>
      </c>
      <c r="G641" s="167"/>
      <c r="I641" s="167"/>
      <c r="R641" s="157"/>
      <c r="S641" s="157"/>
    </row>
    <row r="642" spans="1:19">
      <c r="G642" s="167"/>
      <c r="I642" s="167"/>
      <c r="R642" s="157"/>
      <c r="S642" s="157"/>
    </row>
    <row r="643" spans="1:19" ht="13.15">
      <c r="A643" s="253" t="s">
        <v>333</v>
      </c>
      <c r="G643" s="167"/>
      <c r="I643" s="167"/>
      <c r="R643" s="157"/>
      <c r="S643" s="157"/>
    </row>
    <row r="644" spans="1:19">
      <c r="A644" s="596" t="s">
        <v>817</v>
      </c>
      <c r="B644" s="596"/>
      <c r="C644" s="596"/>
      <c r="D644" s="596"/>
      <c r="E644" s="596"/>
      <c r="F644" s="596"/>
      <c r="G644" s="596"/>
      <c r="H644" s="596"/>
      <c r="I644" s="596"/>
      <c r="J644" s="596"/>
      <c r="K644" s="596"/>
      <c r="L644" s="596"/>
      <c r="M644" s="596"/>
      <c r="R644" s="157"/>
      <c r="S644" s="157"/>
    </row>
    <row r="645" spans="1:19">
      <c r="A645" s="596"/>
      <c r="B645" s="596"/>
      <c r="C645" s="596"/>
      <c r="D645" s="596"/>
      <c r="E645" s="596"/>
      <c r="F645" s="596"/>
      <c r="G645" s="596"/>
      <c r="H645" s="596"/>
      <c r="I645" s="596"/>
      <c r="J645" s="596"/>
      <c r="K645" s="596"/>
      <c r="L645" s="596"/>
      <c r="M645" s="596"/>
      <c r="R645" s="157"/>
      <c r="S645" s="157"/>
    </row>
    <row r="646" spans="1:19">
      <c r="A646" s="596"/>
      <c r="B646" s="596"/>
      <c r="C646" s="596"/>
      <c r="D646" s="596"/>
      <c r="E646" s="596"/>
      <c r="F646" s="596"/>
      <c r="G646" s="596"/>
      <c r="H646" s="596"/>
      <c r="I646" s="596"/>
      <c r="J646" s="596"/>
      <c r="K646" s="596"/>
      <c r="L646" s="596"/>
      <c r="M646" s="596"/>
      <c r="R646" s="157"/>
      <c r="S646" s="157"/>
    </row>
    <row r="647" spans="1:19">
      <c r="A647" s="596"/>
      <c r="B647" s="596"/>
      <c r="C647" s="596"/>
      <c r="D647" s="596"/>
      <c r="E647" s="596"/>
      <c r="F647" s="596"/>
      <c r="G647" s="596"/>
      <c r="H647" s="596"/>
      <c r="I647" s="596"/>
      <c r="J647" s="596"/>
      <c r="K647" s="596"/>
      <c r="L647" s="596"/>
      <c r="M647" s="596"/>
      <c r="R647" s="157"/>
      <c r="S647" s="157"/>
    </row>
    <row r="648" spans="1:19">
      <c r="A648" s="136"/>
      <c r="B648" s="136"/>
      <c r="C648" s="136"/>
      <c r="D648" s="136"/>
      <c r="E648" s="136"/>
      <c r="F648" s="136"/>
      <c r="G648" s="136"/>
      <c r="H648" s="136"/>
      <c r="I648" s="136"/>
      <c r="J648" s="136"/>
      <c r="R648" s="157"/>
      <c r="S648" s="157"/>
    </row>
    <row r="649" spans="1:19">
      <c r="A649" s="125" t="s">
        <v>440</v>
      </c>
      <c r="R649" s="157"/>
      <c r="S649" s="157"/>
    </row>
    <row r="650" spans="1:19">
      <c r="B650" s="125" t="s">
        <v>256</v>
      </c>
      <c r="C650" s="137"/>
      <c r="D650" s="137"/>
      <c r="E650" s="137"/>
      <c r="F650" s="137">
        <v>18</v>
      </c>
      <c r="G650" s="166" t="s">
        <v>187</v>
      </c>
      <c r="I650" s="200"/>
      <c r="J650" s="201"/>
      <c r="R650" s="157"/>
      <c r="S650" s="157"/>
    </row>
    <row r="651" spans="1:19" ht="13.15" thickBot="1">
      <c r="C651" s="137"/>
      <c r="D651" s="137"/>
      <c r="E651" s="137"/>
      <c r="F651" s="137"/>
      <c r="G651" s="166"/>
      <c r="I651" s="200"/>
      <c r="J651" s="201"/>
      <c r="R651" s="157"/>
      <c r="S651" s="157"/>
    </row>
    <row r="652" spans="1:19" ht="13.15" thickBot="1">
      <c r="B652" s="125" t="s">
        <v>257</v>
      </c>
      <c r="F652" s="88"/>
      <c r="G652" s="125" t="s">
        <v>188</v>
      </c>
      <c r="I652" s="202"/>
      <c r="J652" s="131"/>
      <c r="R652" s="157"/>
      <c r="S652" s="157"/>
    </row>
    <row r="653" spans="1:19">
      <c r="B653" s="518" t="s">
        <v>945</v>
      </c>
      <c r="R653" s="157"/>
      <c r="S653" s="157"/>
    </row>
    <row r="654" spans="1:19">
      <c r="A654" s="125" t="s">
        <v>258</v>
      </c>
      <c r="R654" s="157"/>
      <c r="S654" s="157"/>
    </row>
    <row r="655" spans="1:19">
      <c r="B655" s="167" t="str">
        <f>"Approach Slab Load = (0.150)("&amp;width&amp;"-3.375)"&amp;"("&amp;ApprSlabLength&amp;")(18/12)/2 ="</f>
        <v>Approach Slab Load = (0.150)(-3.375)()(18/12)/2 =</v>
      </c>
      <c r="I655" s="167">
        <f>0.15*((width-3.375)*ApprSlabLength*F650/12/2)</f>
        <v>0</v>
      </c>
      <c r="J655" s="125" t="s">
        <v>338</v>
      </c>
      <c r="R655" s="157"/>
      <c r="S655" s="157"/>
    </row>
    <row r="656" spans="1:19">
      <c r="I656" s="165"/>
      <c r="J656" s="131"/>
      <c r="K656" s="167"/>
      <c r="L656" s="167"/>
      <c r="R656" s="157"/>
      <c r="S656" s="157"/>
    </row>
    <row r="657" spans="1:19">
      <c r="B657" s="170" t="str">
        <f>"Approach Slab Future Wearing Surface = (0.030)("&amp;FIXED(G71,3,TRUE)&amp;")("&amp;ApprSlabLength&amp;")/2 ="</f>
        <v>Approach Slab Future Wearing Surface = (0.030)(0.000)()/2 =</v>
      </c>
      <c r="G657" s="167"/>
      <c r="I657" s="167">
        <f>0.03*(G71*ApprSlabLength/2)</f>
        <v>0</v>
      </c>
      <c r="J657" s="125" t="s">
        <v>189</v>
      </c>
      <c r="K657" s="167"/>
      <c r="L657" s="167"/>
      <c r="R657" s="157"/>
      <c r="S657" s="157"/>
    </row>
    <row r="658" spans="1:19">
      <c r="I658" s="165"/>
      <c r="J658" s="131"/>
      <c r="K658" s="167"/>
      <c r="L658" s="167"/>
      <c r="R658" s="157"/>
      <c r="S658" s="157"/>
    </row>
    <row r="659" spans="1:19">
      <c r="B659" s="170" t="str">
        <f>"Approach Slab Lane Load (1 lane) = ("&amp;FIXED(IF(curbwidth=0,0,IF(G300=0,IF(G301=0,IF(G302=0,IF(G303=0,0,0.64),0.64),0.64),0.64)),2,TRUE)&amp;")("&amp;ApprSlabLength&amp;")/2 ="</f>
        <v>Approach Slab Lane Load (1 lane) = (0.00)()/2 =</v>
      </c>
      <c r="C659" s="170"/>
      <c r="D659" s="170"/>
      <c r="E659" s="170"/>
      <c r="F659" s="170"/>
      <c r="G659" s="182"/>
      <c r="I659" s="182">
        <f>IF(curbwidth=0,0,IF(G300=0,IF(G301=0,IF(G302=0,IF(G303=0,0,0.64),0.64),0.64),0.64))*ApprSlabLength/2</f>
        <v>0</v>
      </c>
      <c r="J659" s="125" t="s">
        <v>190</v>
      </c>
      <c r="K659" s="167"/>
      <c r="L659" s="167"/>
      <c r="R659" s="157"/>
      <c r="S659" s="157"/>
    </row>
    <row r="660" spans="1:19">
      <c r="B660" s="170"/>
      <c r="C660" s="170"/>
      <c r="D660" s="170"/>
      <c r="E660" s="170"/>
      <c r="F660" s="170"/>
      <c r="I660" s="165"/>
      <c r="J660" s="131"/>
      <c r="K660" s="167"/>
      <c r="L660" s="167"/>
      <c r="R660" s="157"/>
      <c r="S660" s="157"/>
    </row>
    <row r="661" spans="1:19">
      <c r="B661" s="170" t="str">
        <f>"Approach Slab Pedestrian Load (total reaction) = ("&amp;FIXED(IF(G300=0,IF(G301=0,IF(G302=0,IF(G303=0,0.085,0.075),0.075),0.075),0.075),3,TRUE)&amp;")("&amp;FIXED(G73,3,TRUE)&amp;")("&amp;ApprSlabLength&amp;")/2 ="</f>
        <v>Approach Slab Pedestrian Load (total reaction) = (0.085)(0.000)()/2 =</v>
      </c>
      <c r="C661" s="170"/>
      <c r="D661" s="170"/>
      <c r="E661" s="170"/>
      <c r="F661" s="170"/>
      <c r="G661" s="182"/>
      <c r="I661" s="182">
        <f>IF(G300=0,IF(G301=0,IF(G302=0,IF(G303=0,0.085,0.075),0.075),0.075),0.075)*G73*ApprSlabLength/2</f>
        <v>0</v>
      </c>
      <c r="J661" s="125" t="s">
        <v>338</v>
      </c>
      <c r="K661" s="167"/>
      <c r="L661" s="167"/>
      <c r="R661" s="157"/>
      <c r="S661" s="157"/>
    </row>
    <row r="662" spans="1:19">
      <c r="B662" s="170"/>
      <c r="C662" s="170"/>
      <c r="D662" s="170"/>
      <c r="E662" s="170"/>
      <c r="F662" s="170"/>
      <c r="I662" s="165"/>
      <c r="J662" s="131"/>
      <c r="K662" s="167"/>
      <c r="L662" s="167"/>
      <c r="R662" s="157"/>
      <c r="S662" s="157"/>
    </row>
    <row r="663" spans="1:19">
      <c r="B663" s="125" t="e">
        <f>"Abutment Self-Weight Dead Load = (0.150)("&amp;FIXED(G168,3,TRUE)&amp;")("&amp;G173&amp;")("&amp;FIXED(H210,3,TRUE)&amp;") ="</f>
        <v>#DIV/0!</v>
      </c>
      <c r="G663" s="167"/>
      <c r="I663" s="167" t="e">
        <f>0.15*(G168*G173*H210)</f>
        <v>#DIV/0!</v>
      </c>
      <c r="J663" s="125" t="s">
        <v>338</v>
      </c>
      <c r="K663" s="167"/>
      <c r="L663" s="167"/>
      <c r="R663" s="157"/>
      <c r="S663" s="157"/>
    </row>
    <row r="664" spans="1:19">
      <c r="G664" s="167"/>
      <c r="I664" s="167"/>
      <c r="K664" s="167"/>
      <c r="L664" s="167"/>
      <c r="R664" s="157"/>
      <c r="S664" s="157"/>
    </row>
    <row r="665" spans="1:19">
      <c r="A665" s="125" t="s">
        <v>966</v>
      </c>
      <c r="G665" s="167"/>
      <c r="I665" s="167"/>
      <c r="K665" s="167"/>
      <c r="L665" s="167"/>
      <c r="R665" s="157"/>
      <c r="S665" s="157"/>
    </row>
    <row r="666" spans="1:19">
      <c r="A666" s="581" t="e">
        <f>+N666&amp;H241&amp;" + "&amp;G173&amp;"/SIN("&amp;G62&amp;") = "&amp;FIXED(H241+G173/SIN(I62),3,TRUE)&amp;N667</f>
        <v>#DIV/0!</v>
      </c>
      <c r="B666" s="581"/>
      <c r="C666" s="581"/>
      <c r="D666" s="581"/>
      <c r="E666" s="581"/>
      <c r="F666" s="581"/>
      <c r="G666" s="581"/>
      <c r="H666" s="581"/>
      <c r="I666" s="581"/>
      <c r="J666" s="581"/>
      <c r="K666" s="581"/>
      <c r="L666" s="581"/>
      <c r="M666" s="581"/>
      <c r="N666" s="24" t="s">
        <v>967</v>
      </c>
      <c r="R666" s="157"/>
      <c r="S666" s="157"/>
    </row>
    <row r="667" spans="1:19">
      <c r="A667" s="581"/>
      <c r="B667" s="581"/>
      <c r="C667" s="581"/>
      <c r="D667" s="581"/>
      <c r="E667" s="581"/>
      <c r="F667" s="581"/>
      <c r="G667" s="581"/>
      <c r="H667" s="581"/>
      <c r="I667" s="581"/>
      <c r="J667" s="581"/>
      <c r="K667" s="581"/>
      <c r="L667" s="581"/>
      <c r="M667" s="581"/>
      <c r="N667" s="24" t="s">
        <v>968</v>
      </c>
      <c r="R667" s="157"/>
      <c r="S667" s="157"/>
    </row>
    <row r="668" spans="1:19">
      <c r="A668" s="581"/>
      <c r="B668" s="581"/>
      <c r="C668" s="581"/>
      <c r="D668" s="581"/>
      <c r="E668" s="581"/>
      <c r="F668" s="581"/>
      <c r="G668" s="581"/>
      <c r="H668" s="581"/>
      <c r="I668" s="581"/>
      <c r="J668" s="581"/>
      <c r="K668" s="581"/>
      <c r="L668" s="581"/>
      <c r="M668" s="581"/>
      <c r="R668" s="157"/>
      <c r="S668" s="157"/>
    </row>
    <row r="669" spans="1:19" ht="13.15" thickBot="1">
      <c r="A669" s="581"/>
      <c r="B669" s="581"/>
      <c r="C669" s="581"/>
      <c r="D669" s="581"/>
      <c r="E669" s="581"/>
      <c r="F669" s="581"/>
      <c r="G669" s="581"/>
      <c r="H669" s="581"/>
      <c r="I669" s="581"/>
      <c r="J669" s="581"/>
      <c r="K669" s="581"/>
      <c r="L669" s="581"/>
      <c r="M669" s="581"/>
      <c r="R669" s="157"/>
      <c r="S669" s="157"/>
    </row>
    <row r="670" spans="1:19" ht="13.15" thickBot="1">
      <c r="B670" s="125" t="s">
        <v>969</v>
      </c>
      <c r="G670" s="88"/>
      <c r="H670" s="125" t="s">
        <v>825</v>
      </c>
      <c r="I670" s="194"/>
      <c r="J670" s="131"/>
      <c r="K670" s="167"/>
      <c r="L670" s="167"/>
      <c r="R670" s="157"/>
      <c r="S670" s="157"/>
    </row>
    <row r="671" spans="1:19">
      <c r="G671" s="257"/>
      <c r="I671" s="194"/>
      <c r="J671" s="131"/>
      <c r="K671" s="167"/>
      <c r="L671" s="167"/>
      <c r="R671" s="157"/>
      <c r="S671" s="157"/>
    </row>
    <row r="672" spans="1:19">
      <c r="B672" s="125" t="str">
        <f>"Weight of two wingwalls = (2)(0.150){("&amp;FIXED(G249,3)&amp;")(1)("&amp;FIXED(G260,3,TRUE)&amp;"+1sin"&amp;G62&amp;"/2)+[("&amp;FIXED(H241,3,TRUE)&amp;"-1)("&amp;FIXED(G260,3,TRUE)&amp;")("&amp;FIXED(G249,3)&amp;"+"&amp;FIXED(G254,3)&amp;")/2)]}"</f>
        <v>Weight of two wingwalls = (2)(0.150){(0.000)(1)(1.688+1sin/2)+[(0.000-1)(1.688)(0.000+0.000)/2)]}</v>
      </c>
      <c r="I672" s="167"/>
      <c r="K672" s="167"/>
      <c r="L672" s="167"/>
      <c r="R672" s="157"/>
      <c r="S672" s="157"/>
    </row>
    <row r="673" spans="1:19">
      <c r="I673" s="167"/>
      <c r="K673" s="167"/>
      <c r="L673" s="167"/>
      <c r="R673" s="157"/>
      <c r="S673" s="157"/>
    </row>
    <row r="674" spans="1:19">
      <c r="B674" s="125" t="str">
        <f>"Weight of two Barriers = (2)("&amp;FIXED(G670,3,TRUE)&amp;")("&amp;H241&amp;"+"&amp;G173&amp;"/sin "&amp;G62&amp;")"</f>
        <v>Weight of two Barriers = (2)(0.000)(+4/sin )</v>
      </c>
      <c r="K674" s="167"/>
      <c r="L674" s="167"/>
      <c r="R674" s="157"/>
      <c r="S674" s="157"/>
    </row>
    <row r="675" spans="1:19">
      <c r="K675" s="167"/>
      <c r="L675" s="167"/>
      <c r="R675" s="157"/>
      <c r="S675" s="157"/>
    </row>
    <row r="676" spans="1:19">
      <c r="B676" s="174" t="s">
        <v>970</v>
      </c>
      <c r="G676" s="167" t="e">
        <f>2*0.15*((G249*1*(G260+1*SIN(I62)/2)+((IF(H241&gt;16.67,3.5,H241)-1)*G260*(G249+G254)/2)))+2*G670*(H241+G173/SIN(I62))</f>
        <v>#DIV/0!</v>
      </c>
      <c r="H676" s="125" t="s">
        <v>338</v>
      </c>
      <c r="I676" s="165"/>
      <c r="J676" s="131"/>
      <c r="K676" s="167"/>
      <c r="L676" s="167"/>
      <c r="R676" s="157"/>
      <c r="S676" s="157"/>
    </row>
    <row r="677" spans="1:19">
      <c r="K677" s="167"/>
      <c r="L677" s="167"/>
      <c r="R677" s="157"/>
      <c r="S677" s="157"/>
    </row>
    <row r="678" spans="1:19" ht="13.15">
      <c r="A678" s="253" t="s">
        <v>508</v>
      </c>
      <c r="K678" s="167"/>
      <c r="L678" s="167"/>
      <c r="R678" s="157"/>
      <c r="S678" s="157"/>
    </row>
    <row r="679" spans="1:19">
      <c r="A679" s="577" t="s">
        <v>212</v>
      </c>
      <c r="B679" s="577"/>
      <c r="C679" s="577"/>
      <c r="D679" s="577"/>
      <c r="E679" s="577"/>
      <c r="F679" s="577"/>
      <c r="G679" s="577"/>
      <c r="H679" s="577"/>
      <c r="I679" s="577"/>
      <c r="J679" s="577"/>
      <c r="K679" s="577"/>
      <c r="L679" s="577"/>
      <c r="M679" s="577"/>
      <c r="R679" s="157"/>
      <c r="S679" s="157"/>
    </row>
    <row r="680" spans="1:19">
      <c r="A680" s="577"/>
      <c r="B680" s="577"/>
      <c r="C680" s="577"/>
      <c r="D680" s="577"/>
      <c r="E680" s="577"/>
      <c r="F680" s="577"/>
      <c r="G680" s="577"/>
      <c r="H680" s="577"/>
      <c r="I680" s="577"/>
      <c r="J680" s="577"/>
      <c r="K680" s="577"/>
      <c r="L680" s="577"/>
      <c r="M680" s="577"/>
      <c r="R680" s="157"/>
      <c r="S680" s="157"/>
    </row>
    <row r="681" spans="1:19">
      <c r="A681" s="577"/>
      <c r="B681" s="577"/>
      <c r="C681" s="577"/>
      <c r="D681" s="577"/>
      <c r="E681" s="577"/>
      <c r="F681" s="577"/>
      <c r="G681" s="577"/>
      <c r="H681" s="577"/>
      <c r="I681" s="577"/>
      <c r="J681" s="577"/>
      <c r="K681" s="577"/>
      <c r="L681" s="577"/>
      <c r="M681" s="577"/>
      <c r="R681" s="157"/>
      <c r="S681" s="157"/>
    </row>
    <row r="682" spans="1:19">
      <c r="A682" s="577"/>
      <c r="B682" s="577"/>
      <c r="C682" s="577"/>
      <c r="D682" s="577"/>
      <c r="E682" s="577"/>
      <c r="F682" s="577"/>
      <c r="G682" s="577"/>
      <c r="H682" s="577"/>
      <c r="I682" s="577"/>
      <c r="J682" s="577"/>
      <c r="K682" s="577"/>
      <c r="L682" s="577"/>
      <c r="M682" s="577"/>
      <c r="R682" s="157"/>
      <c r="S682" s="157"/>
    </row>
    <row r="683" spans="1:19">
      <c r="A683" s="577"/>
      <c r="B683" s="577"/>
      <c r="C683" s="577"/>
      <c r="D683" s="577"/>
      <c r="E683" s="577"/>
      <c r="F683" s="577"/>
      <c r="G683" s="577"/>
      <c r="H683" s="577"/>
      <c r="I683" s="577"/>
      <c r="J683" s="577"/>
      <c r="K683" s="577"/>
      <c r="L683" s="577"/>
      <c r="M683" s="577"/>
      <c r="R683" s="157"/>
      <c r="S683" s="157"/>
    </row>
    <row r="684" spans="1:19">
      <c r="A684" s="577"/>
      <c r="B684" s="577"/>
      <c r="C684" s="577"/>
      <c r="D684" s="577"/>
      <c r="E684" s="577"/>
      <c r="F684" s="577"/>
      <c r="G684" s="577"/>
      <c r="H684" s="577"/>
      <c r="I684" s="577"/>
      <c r="J684" s="577"/>
      <c r="K684" s="577"/>
      <c r="L684" s="577"/>
      <c r="M684" s="577"/>
      <c r="R684" s="157"/>
      <c r="S684" s="157"/>
    </row>
    <row r="685" spans="1:19">
      <c r="A685" s="577"/>
      <c r="B685" s="577"/>
      <c r="C685" s="577"/>
      <c r="D685" s="577"/>
      <c r="E685" s="577"/>
      <c r="F685" s="577"/>
      <c r="G685" s="577"/>
      <c r="H685" s="577"/>
      <c r="I685" s="577"/>
      <c r="J685" s="577"/>
      <c r="K685" s="577"/>
      <c r="L685" s="577"/>
      <c r="M685" s="577"/>
      <c r="R685" s="157"/>
      <c r="S685" s="157"/>
    </row>
    <row r="686" spans="1:19">
      <c r="A686" s="137"/>
      <c r="B686" s="137"/>
      <c r="C686" s="137"/>
      <c r="D686" s="137"/>
      <c r="E686" s="137"/>
      <c r="F686" s="137"/>
      <c r="G686" s="137"/>
      <c r="H686" s="137"/>
      <c r="I686" s="137"/>
      <c r="J686" s="137"/>
      <c r="R686" s="157"/>
      <c r="S686" s="157"/>
    </row>
    <row r="687" spans="1:19">
      <c r="A687" s="583" t="s">
        <v>98</v>
      </c>
      <c r="B687" s="583"/>
      <c r="C687" s="583"/>
      <c r="D687" s="583"/>
      <c r="E687" s="583"/>
      <c r="F687" s="583"/>
      <c r="G687" s="583"/>
      <c r="H687" s="583"/>
      <c r="I687" s="583"/>
      <c r="J687" s="583"/>
      <c r="K687" s="583"/>
      <c r="L687" s="583"/>
      <c r="M687" s="583"/>
      <c r="R687" s="157"/>
      <c r="S687" s="157"/>
    </row>
    <row r="688" spans="1:19" ht="14.65">
      <c r="B688" s="125" t="s">
        <v>528</v>
      </c>
      <c r="G688" s="203">
        <f>+IF(G33="C",0.000006,0.0000065)</f>
        <v>6.4999999999999996E-6</v>
      </c>
      <c r="H688" s="161" t="s">
        <v>213</v>
      </c>
      <c r="I688" s="174" t="str">
        <f>+IF(G33="C","DM-4 5.4.2.2","AASHTO 6.4.1")</f>
        <v>AASHTO 6.4.1</v>
      </c>
      <c r="J688" s="166"/>
      <c r="K688" s="594" t="str">
        <f>"&lt;==  "&amp;
"&lt;=="</f>
        <v>&lt;==  &lt;==</v>
      </c>
      <c r="L688" s="593" t="str">
        <f>IF(G33="C","for concrete girders","for steel girders")</f>
        <v>for steel girders</v>
      </c>
      <c r="M688" s="593"/>
      <c r="R688" s="157"/>
      <c r="S688" s="157"/>
    </row>
    <row r="689" spans="1:19" ht="15.75">
      <c r="B689" s="125" t="s">
        <v>299</v>
      </c>
      <c r="G689" s="205">
        <f>+IF(G33="C",80,100)</f>
        <v>100</v>
      </c>
      <c r="H689" s="206" t="s">
        <v>214</v>
      </c>
      <c r="I689" s="204"/>
      <c r="J689" s="166"/>
      <c r="K689" s="594"/>
      <c r="L689" s="593"/>
      <c r="M689" s="593"/>
      <c r="R689" s="157"/>
      <c r="S689" s="157"/>
    </row>
    <row r="690" spans="1:19" ht="15">
      <c r="B690" s="125" t="s">
        <v>361</v>
      </c>
      <c r="G690" s="208">
        <v>1</v>
      </c>
      <c r="H690" s="170" t="s">
        <v>215</v>
      </c>
      <c r="I690" s="204"/>
      <c r="J690" s="166"/>
      <c r="K690" s="207"/>
      <c r="R690" s="157"/>
      <c r="S690" s="157"/>
    </row>
    <row r="691" spans="1:19">
      <c r="G691" s="208"/>
      <c r="H691" s="170"/>
      <c r="I691" s="204"/>
      <c r="J691" s="166"/>
      <c r="K691" s="207"/>
      <c r="R691" s="157"/>
      <c r="S691" s="157"/>
    </row>
    <row r="692" spans="1:19" ht="15.75">
      <c r="B692" s="125" t="s">
        <v>818</v>
      </c>
      <c r="G692" s="174" t="str">
        <f>"("&amp;FIXED(G690,1)&amp;")("&amp;G688&amp;")("&amp;G689&amp;")("&amp;G47&amp;"x12) = "</f>
        <v xml:space="preserve">(1.0)(0.0000065)(100)(x12) = </v>
      </c>
      <c r="J692" s="179">
        <f>+G688*G689*G690*G47*12</f>
        <v>0</v>
      </c>
      <c r="K692" s="125" t="s">
        <v>516</v>
      </c>
      <c r="R692" s="157"/>
      <c r="S692" s="157"/>
    </row>
    <row r="693" spans="1:19">
      <c r="I693" s="165"/>
      <c r="J693" s="131"/>
      <c r="K693" s="207"/>
      <c r="R693" s="157"/>
      <c r="S693" s="157"/>
    </row>
    <row r="694" spans="1:19">
      <c r="A694" s="577" t="s">
        <v>165</v>
      </c>
      <c r="B694" s="577"/>
      <c r="C694" s="577"/>
      <c r="D694" s="577"/>
      <c r="E694" s="577"/>
      <c r="F694" s="577"/>
      <c r="G694" s="577"/>
      <c r="H694" s="577"/>
      <c r="I694" s="577"/>
      <c r="J694" s="577"/>
      <c r="K694" s="577"/>
      <c r="L694" s="577"/>
      <c r="M694" s="577"/>
      <c r="R694" s="157"/>
      <c r="S694" s="157"/>
    </row>
    <row r="695" spans="1:19">
      <c r="A695" s="577"/>
      <c r="B695" s="577"/>
      <c r="C695" s="577"/>
      <c r="D695" s="577"/>
      <c r="E695" s="577"/>
      <c r="F695" s="577"/>
      <c r="G695" s="577"/>
      <c r="H695" s="577"/>
      <c r="I695" s="577"/>
      <c r="J695" s="577"/>
      <c r="K695" s="577"/>
      <c r="L695" s="577"/>
      <c r="M695" s="577"/>
      <c r="R695" s="157"/>
      <c r="S695" s="157"/>
    </row>
    <row r="696" spans="1:19" ht="13.15" thickBot="1">
      <c r="A696" s="577"/>
      <c r="B696" s="577"/>
      <c r="C696" s="577"/>
      <c r="D696" s="577"/>
      <c r="E696" s="577"/>
      <c r="F696" s="577"/>
      <c r="G696" s="577"/>
      <c r="H696" s="577"/>
      <c r="I696" s="577"/>
      <c r="J696" s="577"/>
      <c r="K696" s="577"/>
      <c r="L696" s="577"/>
      <c r="M696" s="577"/>
      <c r="R696" s="157"/>
      <c r="S696" s="157"/>
    </row>
    <row r="697" spans="1:19" ht="13.15" thickBot="1">
      <c r="B697" s="125" t="s">
        <v>330</v>
      </c>
      <c r="H697" s="23"/>
      <c r="I697" s="125" t="s">
        <v>509</v>
      </c>
      <c r="R697" s="157"/>
      <c r="S697" s="157"/>
    </row>
    <row r="698" spans="1:19">
      <c r="H698" s="267"/>
      <c r="R698" s="157"/>
      <c r="S698" s="157"/>
    </row>
    <row r="699" spans="1:19" ht="15">
      <c r="B699" s="125" t="s">
        <v>166</v>
      </c>
      <c r="I699" s="133" t="str">
        <f>"("&amp;FIXED(H697/100,2,TRUE)&amp;")("&amp;FIXED(J692,2,TRUE)&amp;") ="</f>
        <v>(0.00)(0.00) =</v>
      </c>
      <c r="J699" s="167">
        <f>+(H697/100)*J692</f>
        <v>0</v>
      </c>
      <c r="K699" s="125" t="s">
        <v>516</v>
      </c>
      <c r="R699" s="157"/>
      <c r="S699" s="157"/>
    </row>
    <row r="700" spans="1:19" ht="13.15">
      <c r="A700" s="253" t="str">
        <f>A641</f>
        <v>PILE DATA - Cont'd</v>
      </c>
      <c r="I700" s="165"/>
      <c r="J700" s="131"/>
      <c r="R700" s="157"/>
      <c r="S700" s="157"/>
    </row>
    <row r="701" spans="1:19">
      <c r="I701" s="165"/>
      <c r="J701" s="131"/>
      <c r="R701" s="157"/>
      <c r="S701" s="157"/>
    </row>
    <row r="702" spans="1:19">
      <c r="A702" s="577" t="s">
        <v>421</v>
      </c>
      <c r="B702" s="577"/>
      <c r="C702" s="577"/>
      <c r="D702" s="577"/>
      <c r="E702" s="577"/>
      <c r="F702" s="577"/>
      <c r="G702" s="577"/>
      <c r="H702" s="577"/>
      <c r="I702" s="577"/>
      <c r="J702" s="577"/>
      <c r="K702" s="577"/>
      <c r="L702" s="577"/>
      <c r="M702" s="577"/>
      <c r="R702" s="157"/>
      <c r="S702" s="157"/>
    </row>
    <row r="703" spans="1:19">
      <c r="A703" s="577"/>
      <c r="B703" s="577"/>
      <c r="C703" s="577"/>
      <c r="D703" s="577"/>
      <c r="E703" s="577"/>
      <c r="F703" s="577"/>
      <c r="G703" s="577"/>
      <c r="H703" s="577"/>
      <c r="I703" s="577"/>
      <c r="J703" s="577"/>
      <c r="K703" s="577"/>
      <c r="L703" s="577"/>
      <c r="M703" s="577"/>
      <c r="R703" s="157"/>
      <c r="S703" s="157"/>
    </row>
    <row r="704" spans="1:19">
      <c r="A704" s="577"/>
      <c r="B704" s="577"/>
      <c r="C704" s="577"/>
      <c r="D704" s="577"/>
      <c r="E704" s="577"/>
      <c r="F704" s="577"/>
      <c r="G704" s="577"/>
      <c r="H704" s="577"/>
      <c r="I704" s="577"/>
      <c r="J704" s="577"/>
      <c r="K704" s="577"/>
      <c r="L704" s="577"/>
      <c r="M704" s="577"/>
      <c r="R704" s="157"/>
      <c r="S704" s="157"/>
    </row>
    <row r="705" spans="1:19">
      <c r="A705" s="577"/>
      <c r="B705" s="577"/>
      <c r="C705" s="577"/>
      <c r="D705" s="577"/>
      <c r="E705" s="577"/>
      <c r="F705" s="577"/>
      <c r="G705" s="577"/>
      <c r="H705" s="577"/>
      <c r="I705" s="577"/>
      <c r="J705" s="577"/>
      <c r="K705" s="577"/>
      <c r="L705" s="577"/>
      <c r="M705" s="577"/>
      <c r="R705" s="157"/>
      <c r="S705" s="157"/>
    </row>
    <row r="706" spans="1:19">
      <c r="A706" s="137"/>
      <c r="B706" s="137"/>
      <c r="C706" s="137"/>
      <c r="D706" s="137"/>
      <c r="E706" s="137"/>
      <c r="F706" s="137"/>
      <c r="G706" s="137"/>
      <c r="H706" s="137"/>
      <c r="I706" s="137"/>
      <c r="J706" s="137"/>
      <c r="R706" s="157"/>
      <c r="S706" s="157"/>
    </row>
    <row r="707" spans="1:19">
      <c r="A707" s="583" t="s">
        <v>643</v>
      </c>
      <c r="B707" s="583"/>
      <c r="C707" s="583"/>
      <c r="D707" s="583"/>
      <c r="E707" s="583"/>
      <c r="F707" s="583"/>
      <c r="G707" s="583"/>
      <c r="H707" s="583"/>
      <c r="I707" s="583"/>
      <c r="J707" s="583"/>
      <c r="K707" s="583"/>
      <c r="L707" s="583"/>
      <c r="M707" s="583"/>
      <c r="R707" s="157"/>
      <c r="S707" s="157"/>
    </row>
    <row r="708" spans="1:19">
      <c r="A708" s="583"/>
      <c r="B708" s="583"/>
      <c r="C708" s="583"/>
      <c r="D708" s="583"/>
      <c r="E708" s="583"/>
      <c r="F708" s="583"/>
      <c r="G708" s="583"/>
      <c r="H708" s="583"/>
      <c r="I708" s="583"/>
      <c r="J708" s="583"/>
      <c r="K708" s="583"/>
      <c r="L708" s="583"/>
      <c r="M708" s="583"/>
      <c r="R708" s="157"/>
      <c r="S708" s="157"/>
    </row>
    <row r="709" spans="1:19">
      <c r="A709" s="583"/>
      <c r="B709" s="583"/>
      <c r="C709" s="583"/>
      <c r="D709" s="583"/>
      <c r="E709" s="583"/>
      <c r="F709" s="583"/>
      <c r="G709" s="583"/>
      <c r="H709" s="583"/>
      <c r="I709" s="583"/>
      <c r="J709" s="583"/>
      <c r="K709" s="583"/>
      <c r="L709" s="583"/>
      <c r="M709" s="583"/>
      <c r="R709" s="157"/>
      <c r="S709" s="157"/>
    </row>
    <row r="710" spans="1:19" ht="15">
      <c r="B710" s="125" t="s">
        <v>645</v>
      </c>
      <c r="G710" s="211">
        <v>3</v>
      </c>
      <c r="R710" s="157"/>
      <c r="S710" s="157"/>
    </row>
    <row r="711" spans="1:19">
      <c r="R711" s="157"/>
      <c r="S711" s="157"/>
    </row>
    <row r="712" spans="1:19" ht="14.25">
      <c r="A712" s="181" t="s">
        <v>216</v>
      </c>
      <c r="B712" s="158"/>
      <c r="C712" s="158"/>
      <c r="D712" s="158"/>
      <c r="E712" s="158"/>
      <c r="F712" s="158"/>
      <c r="G712" s="158"/>
      <c r="H712" s="158"/>
      <c r="I712" s="158"/>
      <c r="J712" s="158"/>
      <c r="R712" s="157"/>
      <c r="S712" s="157"/>
    </row>
    <row r="713" spans="1:19" ht="14.25">
      <c r="B713" s="125" t="s">
        <v>646</v>
      </c>
      <c r="E713" s="89">
        <v>0.1</v>
      </c>
      <c r="F713" s="139" t="s">
        <v>699</v>
      </c>
      <c r="I713" s="178"/>
      <c r="J713" s="198"/>
      <c r="R713" s="157"/>
      <c r="S713" s="157"/>
    </row>
    <row r="714" spans="1:19">
      <c r="G714" s="167"/>
      <c r="I714" s="177"/>
      <c r="R714" s="157"/>
      <c r="S714" s="157"/>
    </row>
    <row r="715" spans="1:19">
      <c r="A715" s="583" t="s">
        <v>808</v>
      </c>
      <c r="B715" s="583"/>
      <c r="C715" s="583"/>
      <c r="D715" s="583"/>
      <c r="E715" s="583"/>
      <c r="F715" s="583"/>
      <c r="G715" s="583"/>
      <c r="H715" s="583"/>
      <c r="I715" s="583"/>
      <c r="J715" s="583"/>
      <c r="K715" s="583"/>
      <c r="L715" s="583"/>
      <c r="M715" s="583"/>
      <c r="R715" s="157"/>
      <c r="S715" s="157"/>
    </row>
    <row r="716" spans="1:19">
      <c r="A716" s="583"/>
      <c r="B716" s="583"/>
      <c r="C716" s="583"/>
      <c r="D716" s="583"/>
      <c r="E716" s="583"/>
      <c r="F716" s="583"/>
      <c r="G716" s="583"/>
      <c r="H716" s="583"/>
      <c r="I716" s="583"/>
      <c r="J716" s="583"/>
      <c r="K716" s="583"/>
      <c r="L716" s="583"/>
      <c r="M716" s="583"/>
      <c r="R716" s="157"/>
      <c r="S716" s="157"/>
    </row>
    <row r="717" spans="1:19" ht="15">
      <c r="B717" s="139" t="s">
        <v>809</v>
      </c>
      <c r="C717" s="139"/>
      <c r="D717" s="139"/>
      <c r="E717" s="139"/>
      <c r="F717" s="139"/>
      <c r="G717" s="139" t="str">
        <f>"(1/2)("&amp;FIXED(G710,0,TRUE)&amp;")("&amp;FIXED(E713,3,TRUE)&amp;")("&amp;FIXED(H210,3)&amp;")^2 ="</f>
        <v>(1/2)(3)(0.100)(0.000)^2 =</v>
      </c>
      <c r="H717" s="139"/>
      <c r="I717" s="167">
        <f>0.5*G710*E713*(H210)^2</f>
        <v>0</v>
      </c>
      <c r="J717" s="125" t="s">
        <v>700</v>
      </c>
      <c r="R717" s="157"/>
      <c r="S717" s="157"/>
    </row>
    <row r="718" spans="1:19">
      <c r="I718" s="180"/>
      <c r="J718" s="131"/>
      <c r="R718" s="157"/>
      <c r="S718" s="157"/>
    </row>
    <row r="719" spans="1:19">
      <c r="A719" s="577" t="s">
        <v>637</v>
      </c>
      <c r="B719" s="577"/>
      <c r="C719" s="577"/>
      <c r="D719" s="577"/>
      <c r="E719" s="577"/>
      <c r="F719" s="577"/>
      <c r="G719" s="577"/>
      <c r="H719" s="577"/>
      <c r="I719" s="577"/>
      <c r="J719" s="577"/>
      <c r="K719" s="577"/>
      <c r="L719" s="577"/>
      <c r="M719" s="577"/>
      <c r="R719" s="157"/>
      <c r="S719" s="157"/>
    </row>
    <row r="720" spans="1:19">
      <c r="A720" s="577"/>
      <c r="B720" s="577"/>
      <c r="C720" s="577"/>
      <c r="D720" s="577"/>
      <c r="E720" s="577"/>
      <c r="F720" s="577"/>
      <c r="G720" s="577"/>
      <c r="H720" s="577"/>
      <c r="I720" s="577"/>
      <c r="J720" s="577"/>
      <c r="K720" s="577"/>
      <c r="L720" s="577"/>
      <c r="M720" s="577"/>
      <c r="R720" s="157"/>
      <c r="S720" s="157"/>
    </row>
    <row r="721" spans="1:19">
      <c r="B721" s="125" t="str">
        <f>"Total passive earth pressure force on abutment, F = ("&amp;FIXED(I717,2,TRUE)&amp;")("&amp;FIXED(G76,3,TRUE)&amp;") ="</f>
        <v>Total passive earth pressure force on abutment, F = (0.00)(0.000) =</v>
      </c>
      <c r="G721" s="211"/>
      <c r="I721" s="176">
        <f>+I717*G76</f>
        <v>0</v>
      </c>
      <c r="J721" s="125" t="s">
        <v>338</v>
      </c>
      <c r="R721" s="157"/>
      <c r="S721" s="157"/>
    </row>
    <row r="722" spans="1:19">
      <c r="I722" s="180"/>
      <c r="J722" s="131"/>
      <c r="R722" s="157"/>
      <c r="S722" s="157"/>
    </row>
    <row r="723" spans="1:19" ht="15">
      <c r="A723" s="125" t="s">
        <v>647</v>
      </c>
      <c r="F723" s="125">
        <f>+G588</f>
        <v>0</v>
      </c>
      <c r="G723" s="125" t="s">
        <v>337</v>
      </c>
      <c r="I723" s="165"/>
      <c r="J723" s="131"/>
      <c r="R723" s="157"/>
      <c r="S723" s="157"/>
    </row>
    <row r="724" spans="1:19">
      <c r="I724" s="167"/>
      <c r="R724" s="157"/>
      <c r="S724" s="157"/>
    </row>
    <row r="725" spans="1:19">
      <c r="A725" s="583" t="s">
        <v>422</v>
      </c>
      <c r="B725" s="583"/>
      <c r="C725" s="583"/>
      <c r="D725" s="583"/>
      <c r="E725" s="583"/>
      <c r="F725" s="583"/>
      <c r="G725" s="583"/>
      <c r="H725" s="583"/>
      <c r="I725" s="583"/>
      <c r="J725" s="583"/>
      <c r="K725" s="583"/>
      <c r="L725" s="583"/>
      <c r="M725" s="583"/>
      <c r="R725" s="157"/>
      <c r="S725" s="157"/>
    </row>
    <row r="726" spans="1:19">
      <c r="A726" s="583"/>
      <c r="B726" s="583"/>
      <c r="C726" s="583"/>
      <c r="D726" s="583"/>
      <c r="E726" s="583"/>
      <c r="F726" s="583"/>
      <c r="G726" s="583"/>
      <c r="H726" s="583"/>
      <c r="I726" s="583"/>
      <c r="J726" s="583"/>
      <c r="K726" s="583"/>
      <c r="L726" s="583"/>
      <c r="M726" s="583"/>
      <c r="R726" s="157"/>
      <c r="S726" s="157"/>
    </row>
    <row r="727" spans="1:19" ht="15">
      <c r="B727" s="125" t="s">
        <v>266</v>
      </c>
      <c r="F727" s="125" t="str">
        <f>"(2)("&amp;FIXED(I721,1,TRUE)&amp;")("&amp;FIXED(H210,3)&amp;")/[(3)("&amp;G56&amp;")]/"&amp;G566&amp;" ="</f>
        <v>(2)(0.0)(0.000)/[(3)()]/ =</v>
      </c>
      <c r="I727" s="167" t="e">
        <f>+I721*2*H210/3/G56/G566</f>
        <v>#DIV/0!</v>
      </c>
      <c r="J727" s="125" t="s">
        <v>521</v>
      </c>
      <c r="R727" s="157"/>
      <c r="S727" s="157"/>
    </row>
    <row r="728" spans="1:19">
      <c r="I728" s="180"/>
      <c r="J728" s="131"/>
      <c r="R728" s="157"/>
      <c r="S728" s="157"/>
    </row>
    <row r="729" spans="1:19">
      <c r="A729" s="583" t="s">
        <v>425</v>
      </c>
      <c r="B729" s="583"/>
      <c r="C729" s="583"/>
      <c r="D729" s="583"/>
      <c r="E729" s="583"/>
      <c r="F729" s="583"/>
      <c r="G729" s="583"/>
      <c r="H729" s="583"/>
      <c r="I729" s="583"/>
      <c r="J729" s="583"/>
      <c r="K729" s="583"/>
      <c r="L729" s="583"/>
      <c r="M729" s="583"/>
      <c r="R729" s="157"/>
      <c r="S729" s="157"/>
    </row>
    <row r="730" spans="1:19">
      <c r="A730" s="583"/>
      <c r="B730" s="583"/>
      <c r="C730" s="583"/>
      <c r="D730" s="583"/>
      <c r="E730" s="583"/>
      <c r="F730" s="583"/>
      <c r="G730" s="583"/>
      <c r="H730" s="583"/>
      <c r="I730" s="583"/>
      <c r="J730" s="583"/>
      <c r="K730" s="583"/>
      <c r="L730" s="583"/>
      <c r="M730" s="583"/>
      <c r="R730" s="157"/>
      <c r="S730" s="157"/>
    </row>
    <row r="731" spans="1:19" ht="15.4">
      <c r="B731" s="125" t="s">
        <v>335</v>
      </c>
      <c r="F731" s="125" t="str">
        <f>"(6)(29000)("&amp;FIXED(G550,0,TRUE)&amp;")("&amp;FIXED(J699,2)&amp;")/[(12)(12x"&amp;F723&amp;")^2] ="</f>
        <v>(6)(29000)(0)(0.00)/[(12)(12x0)^2] =</v>
      </c>
      <c r="I731" s="176" t="e">
        <f>6*29000*G550*J699/(12*(12*F723)^2)</f>
        <v>#DIV/0!</v>
      </c>
      <c r="J731" s="125" t="s">
        <v>363</v>
      </c>
      <c r="R731" s="157"/>
      <c r="S731" s="157"/>
    </row>
    <row r="732" spans="1:19">
      <c r="F732" s="133"/>
      <c r="I732" s="165"/>
      <c r="J732" s="131"/>
      <c r="R732" s="157"/>
      <c r="S732" s="157"/>
    </row>
    <row r="733" spans="1:19">
      <c r="A733" s="577" t="s">
        <v>769</v>
      </c>
      <c r="B733" s="577"/>
      <c r="C733" s="577"/>
      <c r="D733" s="577"/>
      <c r="E733" s="577"/>
      <c r="F733" s="577"/>
      <c r="G733" s="577"/>
      <c r="H733" s="577"/>
      <c r="I733" s="577"/>
      <c r="J733" s="577"/>
      <c r="K733" s="577"/>
      <c r="L733" s="577"/>
      <c r="M733" s="577"/>
      <c r="R733" s="157"/>
      <c r="S733" s="157"/>
    </row>
    <row r="734" spans="1:19">
      <c r="A734" s="577"/>
      <c r="B734" s="577"/>
      <c r="C734" s="577"/>
      <c r="D734" s="577"/>
      <c r="E734" s="577"/>
      <c r="F734" s="577"/>
      <c r="G734" s="577"/>
      <c r="H734" s="577"/>
      <c r="I734" s="577"/>
      <c r="J734" s="577"/>
      <c r="K734" s="577"/>
      <c r="L734" s="577"/>
      <c r="M734" s="577"/>
      <c r="R734" s="157"/>
      <c r="S734" s="157"/>
    </row>
    <row r="735" spans="1:19">
      <c r="A735" s="577"/>
      <c r="B735" s="577"/>
      <c r="C735" s="577"/>
      <c r="D735" s="577"/>
      <c r="E735" s="577"/>
      <c r="F735" s="577"/>
      <c r="G735" s="577"/>
      <c r="H735" s="577"/>
      <c r="I735" s="577"/>
      <c r="J735" s="577"/>
      <c r="K735" s="577"/>
      <c r="L735" s="577"/>
      <c r="M735" s="577"/>
      <c r="R735" s="157"/>
      <c r="S735" s="157"/>
    </row>
    <row r="736" spans="1:19" ht="15">
      <c r="B736" s="125" t="s">
        <v>644</v>
      </c>
      <c r="F736" s="211" t="str">
        <f>"("&amp;FIXED(G545,0,TRUE)&amp;")("&amp;FIXED(G553,2,TRUE)&amp;")/12 = "&amp;FIXED(G545*G553/12,1,TRUE)&amp;" k-ft "</f>
        <v xml:space="preserve">(0)(0.00)/12 = 0.0 k-ft </v>
      </c>
      <c r="G736" s="176"/>
      <c r="I736" s="165"/>
      <c r="J736" s="131"/>
      <c r="R736" s="157"/>
      <c r="S736" s="157"/>
    </row>
    <row r="737" spans="1:19" ht="15">
      <c r="D737" s="147" t="e">
        <f>IF(I731&gt;G545*pileplastsecmod/12,"since "&amp;FIXED(G545*pileplastsecmod/12,1,TRUE)&amp;" &lt; "&amp;FIXED(I731,1,TRUE),"since "&amp;FIXED(I731,1,TRUE)&amp;" &lt; "&amp;FIXED(G545*pileplastsecmod/12,1,TRUE))</f>
        <v>#DIV/0!</v>
      </c>
      <c r="E737" s="212" t="s">
        <v>648</v>
      </c>
      <c r="F737" s="213" t="e">
        <f>MIN(I731,G545*G553/12)</f>
        <v>#DIV/0!</v>
      </c>
      <c r="G737" s="139" t="s">
        <v>830</v>
      </c>
      <c r="I737" s="197"/>
      <c r="J737" s="198"/>
      <c r="R737" s="157"/>
      <c r="S737" s="157"/>
    </row>
    <row r="738" spans="1:19">
      <c r="F738" s="133"/>
      <c r="G738" s="176"/>
      <c r="H738" s="181"/>
      <c r="I738" s="167"/>
      <c r="R738" s="157"/>
      <c r="S738" s="157"/>
    </row>
    <row r="739" spans="1:19">
      <c r="A739" s="583" t="s">
        <v>336</v>
      </c>
      <c r="B739" s="583"/>
      <c r="C739" s="583"/>
      <c r="D739" s="583"/>
      <c r="E739" s="583"/>
      <c r="F739" s="583"/>
      <c r="G739" s="583"/>
      <c r="H739" s="583"/>
      <c r="I739" s="583"/>
      <c r="J739" s="583"/>
      <c r="K739" s="583"/>
      <c r="L739" s="583"/>
      <c r="M739" s="583"/>
      <c r="R739" s="157"/>
      <c r="S739" s="157"/>
    </row>
    <row r="740" spans="1:19">
      <c r="A740" s="583"/>
      <c r="B740" s="583"/>
      <c r="C740" s="583"/>
      <c r="D740" s="583"/>
      <c r="E740" s="583"/>
      <c r="F740" s="583"/>
      <c r="G740" s="583"/>
      <c r="H740" s="583"/>
      <c r="I740" s="583"/>
      <c r="J740" s="583"/>
      <c r="K740" s="583"/>
      <c r="L740" s="583"/>
      <c r="M740" s="583"/>
      <c r="R740" s="157"/>
      <c r="S740" s="157"/>
    </row>
    <row r="741" spans="1:19" ht="15">
      <c r="B741" s="166" t="s">
        <v>770</v>
      </c>
      <c r="F741" s="125" t="e">
        <f>+"(2)("&amp;FIXED(F737,1,TRUE)&amp;")/"&amp;F723&amp;" ="</f>
        <v>#DIV/0!</v>
      </c>
      <c r="H741" s="167" t="e">
        <f>2*F737/F723</f>
        <v>#DIV/0!</v>
      </c>
      <c r="I741" s="125" t="s">
        <v>521</v>
      </c>
      <c r="R741" s="157"/>
      <c r="S741" s="157"/>
    </row>
    <row r="742" spans="1:19">
      <c r="F742" s="133"/>
      <c r="I742" s="180"/>
      <c r="J742" s="131"/>
      <c r="R742" s="157"/>
      <c r="S742" s="157"/>
    </row>
    <row r="743" spans="1:19" ht="13.15">
      <c r="A743" s="253" t="str">
        <f>A700</f>
        <v>PILE DATA - Cont'd</v>
      </c>
      <c r="F743" s="133"/>
      <c r="G743" s="176"/>
      <c r="I743" s="176"/>
      <c r="R743" s="157"/>
      <c r="S743" s="157"/>
    </row>
    <row r="744" spans="1:19">
      <c r="F744" s="133"/>
      <c r="G744" s="176"/>
      <c r="I744" s="176"/>
      <c r="R744" s="157"/>
      <c r="S744" s="157"/>
    </row>
    <row r="745" spans="1:19">
      <c r="A745" s="125" t="s">
        <v>131</v>
      </c>
      <c r="F745" s="133"/>
      <c r="G745" s="176"/>
      <c r="I745" s="167"/>
      <c r="R745" s="157"/>
      <c r="S745" s="157"/>
    </row>
    <row r="746" spans="1:19" ht="15">
      <c r="B746" s="214" t="s">
        <v>701</v>
      </c>
      <c r="E746" s="213" t="e">
        <f>+FIXED(I727,2,TRUE)&amp;" + ("&amp;FIXED(H741,2,TRUE)&amp;")("&amp;FIXED(H210,3)&amp;")/"&amp;G56&amp;" + "&amp;FIXED(I731,1,TRUE)&amp;"/("&amp;G56&amp;") = "&amp;FIXED(I727+H741*H210/G56+I731/G56,2,TRUE)&amp;" k/pile"</f>
        <v>#DIV/0!</v>
      </c>
      <c r="I746" s="167"/>
      <c r="R746" s="157"/>
      <c r="S746" s="157"/>
    </row>
    <row r="747" spans="1:19" ht="15">
      <c r="B747" s="125" t="s">
        <v>62</v>
      </c>
      <c r="F747" s="167">
        <f>IF(G56&lt;G47,((+I721*2*H210/3)/G566+H741*H210+I731)/(G56),0)</f>
        <v>0</v>
      </c>
      <c r="G747" s="125" t="s">
        <v>521</v>
      </c>
      <c r="I747" s="180"/>
      <c r="J747" s="131"/>
      <c r="R747" s="157"/>
      <c r="S747" s="157"/>
    </row>
    <row r="748" spans="1:19">
      <c r="B748" s="590" t="str">
        <f>IF(G56=G47,"(Note: Axial force = 0 is used for single spans because the lateral loads on the two abutments will balance each other and no net vertical load on the piles will exist)","")</f>
        <v>(Note: Axial force = 0 is used for single spans because the lateral loads on the two abutments will balance each other and no net vertical load on the piles will exist)</v>
      </c>
      <c r="C748" s="590"/>
      <c r="D748" s="590"/>
      <c r="E748" s="590"/>
      <c r="F748" s="590"/>
      <c r="G748" s="590"/>
      <c r="H748" s="590"/>
      <c r="I748" s="590"/>
      <c r="J748" s="590"/>
      <c r="K748" s="590"/>
      <c r="L748" s="590"/>
      <c r="M748" s="590"/>
      <c r="R748" s="157"/>
      <c r="S748" s="157"/>
    </row>
    <row r="749" spans="1:19">
      <c r="B749" s="590"/>
      <c r="C749" s="590"/>
      <c r="D749" s="590"/>
      <c r="E749" s="590"/>
      <c r="F749" s="590"/>
      <c r="G749" s="590"/>
      <c r="H749" s="590"/>
      <c r="I749" s="590"/>
      <c r="J749" s="590"/>
      <c r="K749" s="590"/>
      <c r="L749" s="590"/>
      <c r="M749" s="590"/>
      <c r="R749" s="157"/>
      <c r="S749" s="157"/>
    </row>
    <row r="750" spans="1:19">
      <c r="G750" s="167"/>
      <c r="I750" s="176"/>
      <c r="R750" s="157"/>
      <c r="S750" s="157"/>
    </row>
    <row r="751" spans="1:19">
      <c r="G751" s="167"/>
      <c r="I751" s="176"/>
      <c r="R751" s="157"/>
      <c r="S751" s="157"/>
    </row>
    <row r="752" spans="1:19">
      <c r="G752" s="167"/>
      <c r="I752" s="176"/>
      <c r="R752" s="157"/>
      <c r="S752" s="157"/>
    </row>
    <row r="753" spans="1:19">
      <c r="G753" s="167"/>
      <c r="I753" s="176"/>
      <c r="R753" s="157"/>
      <c r="S753" s="157"/>
    </row>
    <row r="754" spans="1:19">
      <c r="G754" s="167"/>
      <c r="I754" s="176"/>
      <c r="R754" s="157"/>
      <c r="S754" s="157"/>
    </row>
    <row r="755" spans="1:19">
      <c r="G755" s="167"/>
      <c r="I755" s="176"/>
      <c r="R755" s="157"/>
      <c r="S755" s="157"/>
    </row>
    <row r="756" spans="1:19" ht="15">
      <c r="F756" s="587" t="s">
        <v>93</v>
      </c>
      <c r="G756" s="589" t="s">
        <v>649</v>
      </c>
      <c r="H756" s="589"/>
      <c r="I756" s="176"/>
      <c r="R756" s="157"/>
      <c r="S756" s="157"/>
    </row>
    <row r="757" spans="1:19">
      <c r="F757" s="587"/>
      <c r="G757" s="268" t="s">
        <v>92</v>
      </c>
      <c r="I757" s="176"/>
      <c r="R757" s="157"/>
      <c r="S757" s="157"/>
    </row>
    <row r="758" spans="1:19">
      <c r="G758" s="167"/>
      <c r="I758" s="176"/>
      <c r="R758" s="157"/>
      <c r="S758" s="157"/>
    </row>
    <row r="759" spans="1:19">
      <c r="G759" s="167"/>
      <c r="I759" s="167"/>
      <c r="R759" s="157"/>
      <c r="S759" s="157"/>
    </row>
    <row r="760" spans="1:19">
      <c r="G760" s="167"/>
      <c r="I760" s="167"/>
      <c r="R760" s="157"/>
      <c r="S760" s="157"/>
    </row>
    <row r="761" spans="1:19">
      <c r="A761" s="581" t="s">
        <v>797</v>
      </c>
      <c r="B761" s="581"/>
      <c r="C761" s="581"/>
      <c r="D761" s="581"/>
      <c r="E761" s="581"/>
      <c r="F761" s="581"/>
      <c r="G761" s="581"/>
      <c r="H761" s="581"/>
      <c r="I761" s="581"/>
      <c r="J761" s="581"/>
      <c r="K761" s="581"/>
      <c r="L761" s="581"/>
      <c r="M761" s="581"/>
      <c r="R761" s="157"/>
      <c r="S761" s="157"/>
    </row>
    <row r="762" spans="1:19">
      <c r="A762" s="581"/>
      <c r="B762" s="581"/>
      <c r="C762" s="581"/>
      <c r="D762" s="581"/>
      <c r="E762" s="581"/>
      <c r="F762" s="581"/>
      <c r="G762" s="581"/>
      <c r="H762" s="581"/>
      <c r="I762" s="581"/>
      <c r="J762" s="581"/>
      <c r="K762" s="581"/>
      <c r="L762" s="581"/>
      <c r="M762" s="581"/>
      <c r="R762" s="157"/>
      <c r="S762" s="157"/>
    </row>
    <row r="763" spans="1:19">
      <c r="A763" s="581"/>
      <c r="B763" s="581"/>
      <c r="C763" s="581"/>
      <c r="D763" s="581"/>
      <c r="E763" s="581"/>
      <c r="F763" s="581"/>
      <c r="G763" s="581"/>
      <c r="H763" s="581"/>
      <c r="I763" s="581"/>
      <c r="J763" s="581"/>
      <c r="K763" s="581"/>
      <c r="L763" s="581"/>
      <c r="M763" s="581"/>
      <c r="R763" s="157"/>
      <c r="S763" s="157"/>
    </row>
    <row r="764" spans="1:19">
      <c r="A764" s="581"/>
      <c r="B764" s="581"/>
      <c r="C764" s="581"/>
      <c r="D764" s="581"/>
      <c r="E764" s="581"/>
      <c r="F764" s="581"/>
      <c r="G764" s="581"/>
      <c r="H764" s="581"/>
      <c r="I764" s="581"/>
      <c r="J764" s="581"/>
      <c r="K764" s="581"/>
      <c r="L764" s="581"/>
      <c r="M764" s="581"/>
      <c r="R764" s="157"/>
      <c r="S764" s="157"/>
    </row>
    <row r="765" spans="1:19">
      <c r="A765" s="581"/>
      <c r="B765" s="581"/>
      <c r="C765" s="581"/>
      <c r="D765" s="581"/>
      <c r="E765" s="581"/>
      <c r="F765" s="581"/>
      <c r="G765" s="581"/>
      <c r="H765" s="581"/>
      <c r="I765" s="581"/>
      <c r="J765" s="581"/>
      <c r="K765" s="581"/>
      <c r="L765" s="581"/>
      <c r="M765" s="581"/>
      <c r="R765" s="157"/>
      <c r="S765" s="157"/>
    </row>
    <row r="766" spans="1:19">
      <c r="A766" s="215"/>
      <c r="B766" s="215"/>
      <c r="C766" s="215"/>
      <c r="D766" s="215"/>
      <c r="E766" s="215"/>
      <c r="F766" s="215"/>
      <c r="G766" s="215"/>
      <c r="H766" s="215"/>
      <c r="I766" s="215"/>
      <c r="J766" s="215"/>
      <c r="R766" s="157"/>
      <c r="S766" s="157"/>
    </row>
    <row r="767" spans="1:19">
      <c r="A767" s="260" t="s">
        <v>526</v>
      </c>
      <c r="R767" s="157"/>
      <c r="S767" s="157"/>
    </row>
    <row r="768" spans="1:19">
      <c r="R768" s="157"/>
      <c r="S768" s="157"/>
    </row>
    <row r="769" spans="1:19">
      <c r="A769" s="260" t="s">
        <v>822</v>
      </c>
      <c r="F769" s="170"/>
      <c r="G769" s="182"/>
      <c r="H769" s="170"/>
      <c r="I769" s="167"/>
      <c r="R769" s="157"/>
      <c r="S769" s="157"/>
    </row>
    <row r="770" spans="1:19">
      <c r="A770" s="170" t="e">
        <f>"max=("&amp;FIXED(Main!K333,1,TRUE)&amp;"x"&amp;FIXED(Main!G115-2,0,TRUE)&amp;"+"&amp;FIXED(Main!K354,1,TRUE)&amp;"x2)/"&amp;Main!G566&amp;" + "&amp;FIXED(etamax,2,TRUE)&amp;"{["&amp;'Load Factors'!E6&amp;"("&amp;FIXED(Main!I655,1,TRUE)&amp;"+"&amp;FIXED(Main!I663,1,TRUE)&amp;"+"&amp;FIXED(Main!G676,1,TRUE)&amp;")+"&amp;FIXED('Load Factors'!E7,2,TRUE)&amp;"("&amp;FIXED(Main!I657,1,TRUE)&amp;")+"&amp;'Load Factors'!E12&amp;"("&amp;FIXED(nlane2,0,TRUE)&amp;")("&amp;FIXED(Main!I659,1,TRUE)&amp;")]/"&amp;Main!G566&amp;" +"&amp;'Load Factors'!E16&amp;"("&amp;FIXED(Main!J639,1,TRUE)&amp;") + "&amp;FIXED('Load Factors'!E17,2,TRUE)&amp;"("&amp;FIXED(Main!F747,1,TRUE)&amp;")} "</f>
        <v>#DIV/0!</v>
      </c>
      <c r="D770" s="170"/>
      <c r="F770" s="170"/>
      <c r="G770" s="182"/>
      <c r="H770" s="170"/>
      <c r="I770" s="167"/>
      <c r="R770" s="157"/>
      <c r="S770" s="157"/>
    </row>
    <row r="771" spans="1:19">
      <c r="A771" s="125" t="s">
        <v>242</v>
      </c>
      <c r="B771" s="591" t="e">
        <f>(K333*(G115-2)+K354*2)/G566+etamax*(('Load Factors'!E6*(I655+I663+G676)+'Load Factors'!E7*I657+'Load Factors'!E12*nlane2*I659)/G566+'Load Factors'!E16*J639+'Load Factors'!E17*F747)</f>
        <v>#DIV/0!</v>
      </c>
      <c r="C771" s="591"/>
      <c r="D771" s="125" t="s">
        <v>521</v>
      </c>
      <c r="F771" s="170"/>
      <c r="G771" s="182"/>
      <c r="H771" s="170"/>
      <c r="I771" s="167"/>
      <c r="R771" s="157"/>
      <c r="S771" s="157"/>
    </row>
    <row r="772" spans="1:19">
      <c r="A772" s="170" t="e">
        <f>"min=("&amp;FIXED(Main!K334,1,TRUE)&amp;"x"&amp;FIXED(Main!G115-2,0,TRUE)&amp;"+"&amp;FIXED(Main!K355,1,TRUE)&amp;"x2)/"&amp;Main!G566&amp;" + "&amp;FIXED(etamin,2,TRUE)&amp;"{["&amp;FIXED('Load Factors'!F6,2,TRUE)&amp;"("&amp;FIXED(Main!I655,1,TRUE)&amp;"+"&amp;FIXED(Main!I663,1,TRUE)&amp;"+"&amp;FIXED(Main!G676,1,TRUE)&amp;")+"&amp;FIXED('Load Factors'!F7,2,TRUE)&amp;"("&amp;FIXED(Main!I657,1,TRUE)&amp;")+"&amp;FIXED('Load Factors'!F12,2,TRUE)&amp;"("&amp;FIXED(nlane2,0,TRUE)&amp;")(0.0)]/"&amp;Main!G566&amp;"} +"&amp;FIXED(etamax,2,TRUE)&amp;"["&amp;FIXED('Load Factors'!F16,2,TRUE)&amp;"("&amp;FIXED(Main!J640,1,TRUE)&amp;") + "&amp;FIXED('Load Factors'!F17,2,TRUE)&amp;"(0.0)]"</f>
        <v>#DIV/0!</v>
      </c>
      <c r="D772" s="170"/>
      <c r="F772" s="170"/>
      <c r="G772" s="170"/>
      <c r="H772" s="182"/>
      <c r="J772" s="165"/>
      <c r="K772" s="131"/>
      <c r="R772" s="157"/>
      <c r="S772" s="157"/>
    </row>
    <row r="773" spans="1:19">
      <c r="A773" s="125" t="s">
        <v>241</v>
      </c>
      <c r="B773" s="591" t="e">
        <f>(Main!K334*(Main!G115-2)+Main!K355*2)/Main!G566+etamin*(('Load Factors'!F6*(Main!I655+Main!I663+Main!G676)+'Load Factors'!F7*Main!I657+'Load Factors'!F12*nlane2*0)/Main!G566)+etamax*'Load Factors'!F16*Main!J640</f>
        <v>#DIV/0!</v>
      </c>
      <c r="C773" s="591"/>
      <c r="D773" s="125" t="s">
        <v>521</v>
      </c>
      <c r="F773" s="170"/>
      <c r="G773" s="182"/>
      <c r="H773" s="170"/>
      <c r="I773" s="167"/>
      <c r="J773" s="131"/>
      <c r="K773" s="131"/>
      <c r="R773" s="157"/>
      <c r="S773" s="157"/>
    </row>
    <row r="774" spans="1:19">
      <c r="D774" s="170"/>
      <c r="F774" s="170"/>
      <c r="G774" s="170"/>
      <c r="J774" s="165"/>
      <c r="K774" s="131"/>
      <c r="R774" s="157"/>
      <c r="S774" s="157"/>
    </row>
    <row r="775" spans="1:19">
      <c r="A775" s="260" t="s">
        <v>837</v>
      </c>
      <c r="F775" s="170"/>
      <c r="G775" s="182"/>
      <c r="H775" s="170"/>
      <c r="I775" s="167"/>
      <c r="J775" s="131"/>
      <c r="K775" s="131"/>
      <c r="R775" s="157"/>
      <c r="S775" s="157"/>
    </row>
    <row r="776" spans="1:19">
      <c r="A776" s="170" t="e">
        <f>"max=("&amp;FIXED(K337,1,TRUE)&amp;"x"&amp;FIXED(G115-2,0,TRUE)&amp;"+"&amp;FIXED(K358,1,TRUE)&amp;"x2)/"&amp;G566&amp;" + "&amp;FIXED(etamax,2,TRUE)&amp;"{["&amp;'Load Factors'!G6&amp;"("&amp;FIXED(I655,1,TRUE)&amp;"+"&amp;FIXED(I663,1,TRUE)&amp;"+"&amp;FIXED(G676,1,TRUE)&amp;")+"&amp;FIXED('Load Factors'!G7,2,TRUE)&amp;"("&amp;FIXED(I657,1,TRUE)&amp;")+"&amp;'Load Factors'!G12&amp;"("&amp;FIXED(nlane,0,TRUE)&amp;")("&amp;FIXED(I659,1,TRUE)&amp;")+"&amp;'Load Factors'!G13&amp;"("&amp;FIXED(I661,1,TRUE)&amp;")]/"&amp;G566&amp;" +"&amp;'Load Factors'!G16&amp;"("&amp;FIXED(J639,1,TRUE)&amp;") + "&amp;FIXED('Load Factors'!G17,2,TRUE)&amp;"("&amp;FIXED(F747,1,TRUE)&amp;")}"</f>
        <v>#DIV/0!</v>
      </c>
      <c r="D776" s="170"/>
      <c r="F776" s="170"/>
      <c r="G776" s="170"/>
      <c r="J776" s="165"/>
      <c r="K776" s="131"/>
      <c r="R776" s="157"/>
      <c r="S776" s="157"/>
    </row>
    <row r="777" spans="1:19">
      <c r="A777" s="125" t="s">
        <v>242</v>
      </c>
      <c r="B777" s="591" t="e">
        <f>+(K337*(G115-2)+K358*2)/G566+(('Load Factors'!G6*(I655+I663+G676)+'Load Factors'!G7*I657+'Load Factors'!G12*nlane*I659+'Load Factors'!G13*I661)/G566+'Load Factors'!G16*J639+'Load Factors'!G17*F747)*etamax</f>
        <v>#DIV/0!</v>
      </c>
      <c r="C777" s="591"/>
      <c r="D777" s="125" t="s">
        <v>521</v>
      </c>
      <c r="F777" s="170"/>
      <c r="G777" s="170"/>
      <c r="H777" s="182"/>
      <c r="J777" s="165"/>
      <c r="K777" s="131"/>
      <c r="R777" s="157"/>
      <c r="S777" s="157"/>
    </row>
    <row r="778" spans="1:19">
      <c r="A778" s="170" t="e">
        <f>"min=("&amp;FIXED(K338,1,TRUE)&amp;"x"&amp;FIXED(G115-2,0,TRUE)&amp;"+"&amp;FIXED(K359,1,TRUE)&amp;"x2)/"&amp;G566&amp;" + "&amp;FIXED(etamin,2,TRUE)&amp;"{["&amp;FIXED('Load Factors'!H6,2,TRUE)&amp;"("&amp;FIXED(I655,1,TRUE)&amp;"+"&amp;FIXED(I663,1,TRUE)&amp;"+"&amp;FIXED(G676,1,TRUE)&amp;")+"&amp;FIXED('Load Factors'!H7,2,TRUE)&amp;"("&amp;FIXED(I657,1,TRUE)&amp;")+"&amp;FIXED('Load Factors'!H12,2,TRUE)&amp;"("&amp;FIXED(nlane,0,TRUE)&amp;")(0.0)+"&amp;FIXED('Load Factors'!H13,2,TRUE)&amp;"("&amp;FIXED(I661,1,TRUE)&amp;")]/"&amp;G566&amp;"} +"&amp;FIXED(etamax,2,TRUE)&amp;"["&amp;FIXED('Load Factors'!H16,2,TRUE)&amp;"("&amp;FIXED(J640,1,TRUE)&amp;") + "&amp;FIXED('Load Factors'!H17,2,TRUE)&amp;"(0.0)]"</f>
        <v>#DIV/0!</v>
      </c>
      <c r="D778" s="170"/>
      <c r="F778" s="170"/>
      <c r="G778" s="170"/>
      <c r="H778" s="182"/>
      <c r="J778" s="165"/>
      <c r="K778" s="131"/>
      <c r="R778" s="157"/>
      <c r="S778" s="157"/>
    </row>
    <row r="779" spans="1:19">
      <c r="A779" s="125" t="s">
        <v>241</v>
      </c>
      <c r="B779" s="591" t="e">
        <f>+(K338*(G115-2)+K359*2)/G566+etamin*(('Load Factors'!H6*(I655+I663+G676)+'Load Factors'!H7*I657+'Load Factors'!H12*nlane*0+'Load Factors'!H13*I661)/G566)+etamax*'Load Factors'!H16*J640</f>
        <v>#DIV/0!</v>
      </c>
      <c r="C779" s="591"/>
      <c r="D779" s="125" t="s">
        <v>521</v>
      </c>
      <c r="F779" s="170"/>
      <c r="G779" s="170"/>
      <c r="H779" s="182"/>
      <c r="J779" s="165"/>
      <c r="K779" s="131"/>
      <c r="R779" s="157"/>
      <c r="S779" s="157"/>
    </row>
    <row r="780" spans="1:19">
      <c r="D780" s="170"/>
      <c r="F780" s="170"/>
      <c r="G780" s="170"/>
      <c r="H780" s="182"/>
      <c r="J780" s="165"/>
      <c r="K780" s="131"/>
      <c r="R780" s="157"/>
      <c r="S780" s="157"/>
    </row>
    <row r="781" spans="1:19">
      <c r="A781" s="260" t="s">
        <v>823</v>
      </c>
      <c r="F781" s="170"/>
      <c r="G781" s="170"/>
      <c r="H781" s="182"/>
      <c r="J781" s="165"/>
      <c r="K781" s="131"/>
      <c r="R781" s="157"/>
      <c r="S781" s="157"/>
    </row>
    <row r="782" spans="1:19">
      <c r="A782" s="170" t="e">
        <f>"max=("&amp;FIXED(K341,1,TRUE)&amp;"x"&amp;FIXED(G115-2,0,TRUE)&amp;"+"&amp;FIXED(K362,1,TRUE)&amp;"x2)/"&amp;G566&amp;" + "&amp;FIXED(etamax,2,TRUE)&amp;"{["&amp;'Load Factors'!I6&amp;"("&amp;FIXED(I655,1,TRUE)&amp;"+"&amp;FIXED(I663,1,TRUE)&amp;"+"&amp;FIXED(G676,1,TRUE)&amp;")+"&amp;'Load Factors'!I7&amp;"("&amp;FIXED(I657,1,TRUE)&amp;")+"&amp;'Load Factors'!I12&amp;"("&amp;FIXED(nlane2,0,TRUE)&amp;"-1)("&amp;FIXED(I659,1,TRUE)&amp;")]/"&amp;G566&amp;" +"&amp;'Load Factors'!I16&amp;"("&amp;FIXED(J639,1,TRUE)&amp;") + "&amp;FIXED('Load Factors'!I17,1,TRUE)&amp;"("&amp;FIXED(F747,1,TRUE)&amp;")}"</f>
        <v>#DIV/0!</v>
      </c>
      <c r="D782" s="170"/>
      <c r="F782" s="170"/>
      <c r="G782" s="170"/>
      <c r="J782" s="165"/>
      <c r="K782" s="131"/>
      <c r="R782" s="157"/>
      <c r="S782" s="157"/>
    </row>
    <row r="783" spans="1:19">
      <c r="A783" s="125" t="s">
        <v>242</v>
      </c>
      <c r="B783" s="591" t="e">
        <f>+(K341*(G115-2)+K362*2)/G566+(('Load Factors'!I6*(I655+I663+G676)+'Load Factors'!I7*I657+'Load Factors'!I12*(nlane2-1)*I659)/G566+'Load Factors'!I16*J639+'Load Factors'!I17*F747)*etamax</f>
        <v>#DIV/0!</v>
      </c>
      <c r="C783" s="591"/>
      <c r="D783" s="125" t="s">
        <v>521</v>
      </c>
      <c r="F783" s="170"/>
      <c r="G783" s="170"/>
      <c r="H783" s="182"/>
      <c r="J783" s="165"/>
      <c r="K783" s="131"/>
      <c r="R783" s="157"/>
      <c r="S783" s="157"/>
    </row>
    <row r="784" spans="1:19">
      <c r="A784" s="170" t="e">
        <f>"min=("&amp;FIXED(K342,1,TRUE)&amp;"x"&amp;FIXED(G115-2,0,TRUE)&amp;"+"&amp;FIXED(K363,1,TRUE)&amp;"x2)/"&amp;G566&amp;" + "&amp;FIXED(etamin,2,TRUE)&amp;"{["&amp;'Load Factors'!J6&amp;"("&amp;FIXED(I655,1,TRUE)&amp;"+"&amp;FIXED(I663,1,TRUE)&amp;"+"&amp;FIXED(G676,1,TRUE)&amp;")+"&amp;'Load Factors'!J7&amp;"("&amp;FIXED(I657,1,TRUE)&amp;")+"&amp;FIXED('Load Factors'!J12,2,TRUE)&amp;"("&amp;FIXED(nlane2-1,0,TRUE)&amp;")(0.0)]/"&amp;G566&amp;"} +"&amp;FIXED(etamax,2,TRUE)&amp;"["&amp;FIXED('Load Factors'!J16,2,TRUE)&amp;"("&amp;FIXED(J640,1,TRUE)&amp;") + "&amp;FIXED('Load Factors'!J17,1,TRUE)&amp;"(0.0)]"</f>
        <v>#DIV/0!</v>
      </c>
      <c r="D784" s="170"/>
      <c r="F784" s="170"/>
      <c r="G784" s="170"/>
      <c r="H784" s="182"/>
      <c r="J784" s="165"/>
      <c r="K784" s="131"/>
      <c r="R784" s="157"/>
      <c r="S784" s="157"/>
    </row>
    <row r="785" spans="1:19">
      <c r="A785" s="125" t="s">
        <v>241</v>
      </c>
      <c r="B785" s="591" t="e">
        <f>+(K342*(G115-2)+K363*2)/G566+etamin*(('Load Factors'!J6*(I655+I663+G676)+'Load Factors'!J7*I657+'Load Factors'!J12*(nlane2-1)*0)/G566)+etamax*('Load Factors'!J16*J640)</f>
        <v>#DIV/0!</v>
      </c>
      <c r="C785" s="591"/>
      <c r="D785" s="125" t="s">
        <v>521</v>
      </c>
      <c r="F785" s="170"/>
      <c r="G785" s="170"/>
      <c r="H785" s="182"/>
      <c r="J785" s="165"/>
      <c r="K785" s="131"/>
      <c r="R785" s="157"/>
      <c r="S785" s="157"/>
    </row>
    <row r="786" spans="1:19">
      <c r="D786" s="170"/>
      <c r="F786" s="170"/>
      <c r="G786" s="170"/>
      <c r="J786" s="165"/>
      <c r="K786" s="131"/>
      <c r="R786" s="157"/>
      <c r="S786" s="157"/>
    </row>
    <row r="787" spans="1:19">
      <c r="A787" s="260" t="s">
        <v>522</v>
      </c>
      <c r="F787" s="170"/>
      <c r="G787" s="170"/>
      <c r="H787" s="182"/>
      <c r="J787" s="165"/>
      <c r="K787" s="131"/>
      <c r="R787" s="157"/>
      <c r="S787" s="157"/>
    </row>
    <row r="788" spans="1:19">
      <c r="A788" s="170" t="e">
        <f>"max="&amp;"("&amp;FIXED(K345,1,TRUE)&amp;"x"&amp;FIXED(G115-2,0,TRUE)&amp;"+"&amp;FIXED(K366,1,TRUE)&amp;"x2)/"&amp;G566&amp;"+"&amp;FIXED(etamax,2,TRUE)&amp;"{["&amp;'Load Factors'!K6&amp;"("&amp;FIXED(I655,1,TRUE)&amp;"+"&amp;FIXED(I663,1,TRUE)&amp;"+"&amp;FIXED(G676,1,TRUE)&amp;")+"&amp;FIXED('Load Factors'!K7,2,TRUE)&amp;"("&amp;FIXED(I657,1,TRUE)&amp;")]/"&amp;G566&amp;"+"&amp;FIXED('Load Factors'!K14,2,TRUE)&amp;"("&amp;FIXED(J625,1,TRUE)&amp;")+"&amp;FIXED('Load Factors'!K17,2,TRUE)&amp;"("&amp;FIXED(F747,1,TRUE)&amp;")}+"&amp;IF(J629&gt;0,FIXED(etamax,2,TRUE),FIXED(etamin,2,TRUE))&amp;"("&amp;FIXED('Load Factors'!K14,2,TRUE)&amp;")("&amp;FIXED(J629,1,TRUE)&amp;")"</f>
        <v>#DIV/0!</v>
      </c>
      <c r="D788" s="170"/>
      <c r="F788" s="170"/>
      <c r="G788" s="170"/>
      <c r="J788" s="165"/>
      <c r="K788" s="131"/>
      <c r="R788" s="157"/>
      <c r="S788" s="157"/>
    </row>
    <row r="789" spans="1:19">
      <c r="A789" s="125" t="s">
        <v>242</v>
      </c>
      <c r="B789" s="591" t="e">
        <f>+(K345*(G115-2)+K366*2)/G566+(('Load Factors'!K6*(I655+I663+G676)+'Load Factors'!K7*I657)/G566+'Load Factors'!K14*J625+'Load Factors'!K17*F747)*etamax+IF(J629&gt;0,etamax,etamin)*'Load Factors'!K14*J629</f>
        <v>#DIV/0!</v>
      </c>
      <c r="C789" s="591"/>
      <c r="D789" s="125" t="s">
        <v>521</v>
      </c>
      <c r="F789" s="170"/>
      <c r="G789" s="170"/>
      <c r="H789" s="182"/>
      <c r="J789" s="165"/>
      <c r="K789" s="131"/>
      <c r="R789" s="157"/>
      <c r="S789" s="157"/>
    </row>
    <row r="790" spans="1:19">
      <c r="A790" s="170" t="e">
        <f>"min=("&amp;FIXED(K346,1,TRUE)&amp;"x"&amp;FIXED(G115-2,0,TRUE)&amp;"+"&amp;FIXED(K367,1,TRUE)&amp;"x2)/"&amp;G566&amp;"+"&amp;FIXED(etamin,2,TRUE)&amp;"["&amp;FIXED('Load Factors'!L6,2,TRUE)&amp;"("&amp;FIXED(I655,1,TRUE)&amp;"+"&amp;FIXED(I663,1,TRUE)&amp;"+"&amp;FIXED(G676,1,TRUE)&amp;")+"&amp;FIXED('Load Factors'!L7,2,TRUE)&amp;"x"&amp;FIXED(I657,1,TRUE)&amp;"]/"&amp;G566&amp;"+"&amp;FIXED(etamax,2,TRUE)&amp;"["&amp;FIXED('Load Factors'!L14,2,TRUE)&amp;"("&amp;FIXED(J626,1,TRUE)&amp;")+"&amp;FIXED('Load Factors'!L17,2,TRUE)&amp;"(0.0)+"&amp;FIXED('Load Factors'!L14,2,TRUE)&amp;"("&amp;FIXED(J630,1,TRUE)&amp;")]"</f>
        <v>#DIV/0!</v>
      </c>
      <c r="D790" s="170"/>
      <c r="F790" s="170"/>
      <c r="G790" s="170"/>
      <c r="H790" s="182"/>
      <c r="J790" s="165"/>
      <c r="K790" s="131"/>
      <c r="R790" s="157"/>
      <c r="S790" s="157"/>
    </row>
    <row r="791" spans="1:19">
      <c r="A791" s="125" t="s">
        <v>241</v>
      </c>
      <c r="B791" s="591" t="e">
        <f>+(K346*(G115-2)+K367*2)/G566+etamin*(('Load Factors'!L6*(I655+I663+G676)+'Load Factors'!L7*I657)/G566)+etamax*('Load Factors'!L14*(J626+J630)+'Load Factors'!L17*0)</f>
        <v>#DIV/0!</v>
      </c>
      <c r="C791" s="591"/>
      <c r="D791" s="125" t="s">
        <v>521</v>
      </c>
      <c r="F791" s="170"/>
      <c r="G791" s="170"/>
      <c r="H791" s="182"/>
      <c r="J791" s="165"/>
      <c r="K791" s="131"/>
      <c r="R791" s="157"/>
      <c r="S791" s="157"/>
    </row>
    <row r="792" spans="1:19">
      <c r="D792" s="170"/>
      <c r="F792" s="170"/>
      <c r="G792" s="170"/>
      <c r="J792" s="165"/>
      <c r="K792" s="131"/>
      <c r="R792" s="157"/>
      <c r="S792" s="157"/>
    </row>
    <row r="793" spans="1:19">
      <c r="A793" s="260" t="s">
        <v>838</v>
      </c>
      <c r="F793" s="170"/>
      <c r="G793" s="170"/>
      <c r="H793" s="182"/>
      <c r="J793" s="165"/>
      <c r="K793" s="131"/>
      <c r="M793" s="131"/>
      <c r="R793" s="157"/>
      <c r="S793" s="157"/>
    </row>
    <row r="794" spans="1:19">
      <c r="A794" s="170" t="e">
        <f>"max="&amp;"("&amp;FIXED(K349,1,TRUE)&amp;"x"&amp;FIXED(G115-2,0,TRUE)&amp;"+"&amp;FIXED(K370,1,TRUE)&amp;"x2)/"&amp;G566&amp;"+"&amp;FIXED(etamax,2,TRUE)&amp;"{["&amp;'Load Factors'!M6&amp;"("&amp;FIXED(I655,1,TRUE)&amp;"+"&amp;FIXED(I663,1,TRUE)&amp;"+"&amp;FIXED(G676,1,TRUE)&amp;")+"&amp;FIXED('Load Factors'!M7,2,TRUE)&amp;"x"&amp;FIXED(I657,1,TRUE)&amp;"+"&amp;FIXED('Load Factors'!M12,2,TRUE)&amp;"x"&amp;nlane2&amp;"x"&amp;FIXED(I659,1,TRUE)&amp;")]/"&amp;G566&amp;"+"&amp;FIXED('Load Factors'!M14,2,TRUE)&amp;"("&amp;FIXED(J625,1,TRUE)&amp;")+"&amp;FIXED('Load Factors'!M15,2,TRUE)&amp;"("&amp;FIXED(J634,1,TRUE)&amp;")+"&amp;'Load Factors'!M16&amp;"("&amp;FIXED(J639,1,TRUE)&amp;")+"&amp;FIXED('Load Factors'!M17,2,TRUE)&amp;"("&amp;FIXED(F747,1,TRUE)&amp;")}"</f>
        <v>#DIV/0!</v>
      </c>
      <c r="D794" s="170"/>
      <c r="F794" s="170"/>
      <c r="G794" s="170"/>
      <c r="J794" s="165"/>
      <c r="K794" s="131"/>
      <c r="R794" s="157"/>
      <c r="S794" s="157"/>
    </row>
    <row r="795" spans="1:19">
      <c r="A795" s="125" t="s">
        <v>242</v>
      </c>
      <c r="B795" s="591" t="e">
        <f>+(K349*(G115-2)+K370*2)/G566+(('Load Factors'!M6*(I655+I663+G676)+'Load Factors'!M7*I657+'Load Factors'!M12*nlane2*I659)/G566+'Load Factors'!M14*J625+'Load Factors'!M15*J634+'Load Factors'!M16*J639+'Load Factors'!M17*F747)*etamax</f>
        <v>#DIV/0!</v>
      </c>
      <c r="C795" s="591"/>
      <c r="D795" s="125" t="s">
        <v>521</v>
      </c>
      <c r="F795" s="170"/>
      <c r="G795" s="170"/>
      <c r="H795" s="182"/>
      <c r="J795" s="165"/>
      <c r="K795" s="131"/>
      <c r="R795" s="157"/>
      <c r="S795" s="157"/>
    </row>
    <row r="796" spans="1:19">
      <c r="A796" s="613" t="e">
        <f>"min=("&amp;FIXED(K350,1,TRUE)&amp;"x"&amp;FIXED(G115-2,0,TRUE)&amp;"+"&amp;FIXED(K371,1,TRUE)&amp;"x2)/"&amp;G566&amp;"+"&amp;FIXED(etamin,2,TRUE)&amp;"["&amp;FIXED('Load Factors'!N6,2,TRUE)&amp;"("&amp;FIXED(I655,1,TRUE)&amp;"+"&amp;FIXED(I663,1,TRUE)&amp;"+"&amp;FIXED(G676,1,TRUE)&amp;")+"&amp;FIXED('Load Factors'!N7,2,TRUE)&amp;"x"&amp;FIXED(I657,1,TRUE)&amp;"+"&amp;FIXED('Load Factors'!N12,2,TRUE)&amp;"x"&amp;nlane2&amp;"x0.0)]/"&amp;G566&amp;"+"&amp;FIXED(etamax,2,TRUE)&amp;"["&amp;FIXED('Load Factors'!N14,2,TRUE)&amp;"("&amp;FIXED(J626,1,TRUE)&amp;")+"&amp;FIXED('Load Factors'!N15,2,TRUE)&amp;"("&amp;FIXED(J635,1,TRUE)&amp;")+"&amp;'Load Factors'!N16&amp;"("&amp;FIXED(J640,1,TRUE)&amp;")+"&amp;FIXED('Load Factors'!N17,2,TRUE)&amp;"(0.0)]"</f>
        <v>#DIV/0!</v>
      </c>
      <c r="B796" s="613"/>
      <c r="C796" s="613"/>
      <c r="D796" s="613"/>
      <c r="E796" s="613"/>
      <c r="F796" s="613"/>
      <c r="G796" s="613"/>
      <c r="H796" s="613"/>
      <c r="I796" s="613"/>
      <c r="J796" s="613"/>
      <c r="K796" s="613"/>
      <c r="L796" s="613"/>
      <c r="M796" s="613"/>
      <c r="R796" s="157"/>
      <c r="S796" s="157"/>
    </row>
    <row r="797" spans="1:19">
      <c r="A797" s="125" t="s">
        <v>241</v>
      </c>
      <c r="B797" s="591" t="e">
        <f>+(K350*(G115-2)+K371*2)/G566+etamin*(('Load Factors'!N6*(I655+I663+G676)+'Load Factors'!N7*I657+'Load Factors'!N12*nlane2*0)/G566)+etamax*('Load Factors'!N14*J626+'Load Factors'!N15*J635+'Load Factors'!N16*J640+'Load Factors'!N17*0)</f>
        <v>#DIV/0!</v>
      </c>
      <c r="C797" s="591"/>
      <c r="D797" s="125" t="s">
        <v>521</v>
      </c>
      <c r="F797" s="170"/>
      <c r="G797" s="170"/>
      <c r="J797" s="165"/>
      <c r="K797" s="131"/>
      <c r="R797" s="157"/>
      <c r="S797" s="157"/>
    </row>
    <row r="798" spans="1:19">
      <c r="G798" s="167"/>
      <c r="I798" s="167"/>
      <c r="R798" s="157"/>
      <c r="S798" s="157"/>
    </row>
    <row r="799" spans="1:19">
      <c r="C799" s="125" t="s">
        <v>527</v>
      </c>
      <c r="E799" s="133" t="s">
        <v>820</v>
      </c>
      <c r="F799" s="125" t="e">
        <f>IF(B771&gt;=B783,IF(B771&gt;=B777,IF(B771&gt;=B789,IF(B771&gt;=B795,"STR I","STR V"),IF(B789&gt;=B795,"STR III","STR V")),IF(B777&gt;=B789,IF(B777&gt;=B795,"STR IP","STR V"),IF(B789&gt;=B795,"STR III","STR V"))),IF(B783&gt;=B777,IF(B783&gt;=B789,IF(B783&gt;=B795,"STR II","STR V"),IF(B789&gt;=B795,"STR III","STR V")),IF(B777&gt;=B789,IF(B777&gt;=B795,"STR IP","STR V"),IF(B789&gt;=B795,"STR III","STR V"))))</f>
        <v>#DIV/0!</v>
      </c>
      <c r="G799" s="167" t="e">
        <f>MAX(B771,B777,B783,B789,B795)</f>
        <v>#DIV/0!</v>
      </c>
      <c r="H799" s="125" t="s">
        <v>521</v>
      </c>
      <c r="I799" s="165"/>
      <c r="J799" s="131"/>
      <c r="R799" s="157"/>
      <c r="S799" s="157"/>
    </row>
    <row r="800" spans="1:19">
      <c r="E800" s="133" t="s">
        <v>821</v>
      </c>
      <c r="F800" s="125" t="e">
        <f>IF(B773&lt;=B785,IF(B773&lt;=B779,IF(B773&lt;=B791,IF(B773&lt;=B797,"STR I","STR V"),IF(B791&lt;=B797,"STR III","STR V")),IF(B779&lt;=B791,IF(B779&lt;=B797,"STR IP","STR V"),IF(B791&lt;=B797,"STR III","STR V"))),IF(B785&lt;=B779,IF(B785&lt;=B791,IF(B785&lt;=B797,"STR II","STR V"),IF(B791&lt;=B797,"STR III","STR V")),IF(B779&lt;=B791,IF(B779&lt;=B797,"STR IP","STR V"),IF(B791&lt;=B797,"STR III","STR V"))))</f>
        <v>#DIV/0!</v>
      </c>
      <c r="G800" s="167" t="e">
        <f>MIN(B773,B779,B785,B791,B797)</f>
        <v>#DIV/0!</v>
      </c>
      <c r="H800" s="125" t="s">
        <v>521</v>
      </c>
      <c r="I800" s="165"/>
      <c r="J800" s="131"/>
      <c r="R800" s="157"/>
      <c r="S800" s="157"/>
    </row>
    <row r="801" spans="1:19">
      <c r="C801" s="163" t="e">
        <f>IF(G800&lt;0,"Error - no uplift is permitted on any pile in integral abutments per DM-4 Ap. G1.2.1","")</f>
        <v>#DIV/0!</v>
      </c>
      <c r="G801" s="167"/>
      <c r="I801" s="167"/>
      <c r="R801" s="157" t="e">
        <f>IF(LEFT(C801,5)="Error",1,0)</f>
        <v>#DIV/0!</v>
      </c>
      <c r="S801" s="157" t="e">
        <f>IF(LEFT(C801,5)="Warni",1,0)</f>
        <v>#DIV/0!</v>
      </c>
    </row>
    <row r="802" spans="1:19" ht="13.15">
      <c r="A802" s="253" t="str">
        <f>A743</f>
        <v>PILE DATA - Cont'd</v>
      </c>
      <c r="C802" s="163"/>
      <c r="G802" s="167"/>
      <c r="I802" s="167"/>
      <c r="R802" s="157"/>
      <c r="S802" s="157"/>
    </row>
    <row r="803" spans="1:19">
      <c r="C803" s="163"/>
      <c r="G803" s="167"/>
      <c r="I803" s="167"/>
      <c r="R803" s="157"/>
      <c r="S803" s="157"/>
    </row>
    <row r="804" spans="1:19" ht="13.15">
      <c r="A804" s="253" t="s">
        <v>269</v>
      </c>
      <c r="E804" s="164"/>
      <c r="G804" s="167"/>
      <c r="I804" s="167"/>
      <c r="R804" s="157"/>
      <c r="S804" s="157"/>
    </row>
    <row r="805" spans="1:19">
      <c r="A805" s="588" t="s">
        <v>904</v>
      </c>
      <c r="B805" s="577"/>
      <c r="C805" s="577"/>
      <c r="D805" s="577"/>
      <c r="E805" s="577"/>
      <c r="F805" s="577"/>
      <c r="G805" s="577"/>
      <c r="H805" s="577"/>
      <c r="I805" s="577"/>
      <c r="J805" s="577"/>
      <c r="K805" s="577"/>
      <c r="L805" s="577"/>
      <c r="M805" s="577"/>
      <c r="R805" s="157"/>
      <c r="S805" s="157"/>
    </row>
    <row r="806" spans="1:19">
      <c r="A806" s="577"/>
      <c r="B806" s="577"/>
      <c r="C806" s="577"/>
      <c r="D806" s="577"/>
      <c r="E806" s="577"/>
      <c r="F806" s="577"/>
      <c r="G806" s="577"/>
      <c r="H806" s="577"/>
      <c r="I806" s="577"/>
      <c r="J806" s="577"/>
      <c r="K806" s="577"/>
      <c r="L806" s="577"/>
      <c r="M806" s="577"/>
      <c r="R806" s="157"/>
      <c r="S806" s="157"/>
    </row>
    <row r="807" spans="1:19">
      <c r="A807" s="577"/>
      <c r="B807" s="577"/>
      <c r="C807" s="577"/>
      <c r="D807" s="577"/>
      <c r="E807" s="577"/>
      <c r="F807" s="577"/>
      <c r="G807" s="577"/>
      <c r="H807" s="577"/>
      <c r="I807" s="577"/>
      <c r="J807" s="577"/>
      <c r="K807" s="577"/>
      <c r="L807" s="577"/>
      <c r="M807" s="577"/>
      <c r="R807" s="157"/>
      <c r="S807" s="157"/>
    </row>
    <row r="808" spans="1:19">
      <c r="A808" s="577"/>
      <c r="B808" s="577"/>
      <c r="C808" s="577"/>
      <c r="D808" s="577"/>
      <c r="E808" s="577"/>
      <c r="F808" s="577"/>
      <c r="G808" s="577"/>
      <c r="H808" s="577"/>
      <c r="I808" s="577"/>
      <c r="J808" s="577"/>
      <c r="K808" s="577"/>
      <c r="L808" s="577"/>
      <c r="M808" s="577"/>
      <c r="R808" s="157"/>
      <c r="S808" s="157"/>
    </row>
    <row r="809" spans="1:19">
      <c r="A809" s="577"/>
      <c r="B809" s="577"/>
      <c r="C809" s="577"/>
      <c r="D809" s="577"/>
      <c r="E809" s="577"/>
      <c r="F809" s="577"/>
      <c r="G809" s="577"/>
      <c r="H809" s="577"/>
      <c r="I809" s="577"/>
      <c r="J809" s="577"/>
      <c r="K809" s="577"/>
      <c r="L809" s="577"/>
      <c r="M809" s="577"/>
      <c r="R809" s="157"/>
      <c r="S809" s="157"/>
    </row>
    <row r="810" spans="1:19">
      <c r="A810" s="577"/>
      <c r="B810" s="577"/>
      <c r="C810" s="577"/>
      <c r="D810" s="577"/>
      <c r="E810" s="577"/>
      <c r="F810" s="577"/>
      <c r="G810" s="577"/>
      <c r="H810" s="577"/>
      <c r="I810" s="577"/>
      <c r="J810" s="577"/>
      <c r="K810" s="577"/>
      <c r="L810" s="577"/>
      <c r="M810" s="577"/>
      <c r="R810" s="157"/>
      <c r="S810" s="157"/>
    </row>
    <row r="811" spans="1:19">
      <c r="A811" s="577"/>
      <c r="B811" s="577"/>
      <c r="C811" s="577"/>
      <c r="D811" s="577"/>
      <c r="E811" s="577"/>
      <c r="F811" s="577"/>
      <c r="G811" s="577"/>
      <c r="H811" s="577"/>
      <c r="I811" s="577"/>
      <c r="J811" s="577"/>
      <c r="K811" s="577"/>
      <c r="L811" s="577"/>
      <c r="M811" s="577"/>
      <c r="R811" s="157"/>
      <c r="S811" s="157"/>
    </row>
    <row r="812" spans="1:19">
      <c r="A812" s="577"/>
      <c r="B812" s="577"/>
      <c r="C812" s="577"/>
      <c r="D812" s="577"/>
      <c r="E812" s="577"/>
      <c r="F812" s="577"/>
      <c r="G812" s="577"/>
      <c r="H812" s="577"/>
      <c r="I812" s="577"/>
      <c r="J812" s="577"/>
      <c r="K812" s="577"/>
      <c r="L812" s="577"/>
      <c r="M812" s="577"/>
      <c r="R812" s="157"/>
      <c r="S812" s="157"/>
    </row>
    <row r="813" spans="1:19">
      <c r="A813" s="137"/>
      <c r="B813" s="137"/>
      <c r="C813" s="137"/>
      <c r="D813" s="137"/>
      <c r="E813" s="137"/>
      <c r="F813" s="137"/>
      <c r="G813" s="137"/>
      <c r="H813" s="137"/>
      <c r="I813" s="137"/>
      <c r="J813" s="137"/>
      <c r="R813" s="157"/>
      <c r="S813" s="157"/>
    </row>
    <row r="814" spans="1:19" ht="13.15" customHeight="1">
      <c r="A814" s="588" t="s">
        <v>905</v>
      </c>
      <c r="B814" s="588"/>
      <c r="C814" s="588"/>
      <c r="D814" s="588"/>
      <c r="E814" s="588"/>
      <c r="F814" s="588"/>
      <c r="G814" s="588"/>
      <c r="H814" s="588"/>
      <c r="I814" s="588"/>
      <c r="J814" s="588"/>
      <c r="K814" s="588"/>
      <c r="L814" s="588"/>
      <c r="M814" s="588"/>
      <c r="R814" s="157"/>
      <c r="S814" s="157"/>
    </row>
    <row r="815" spans="1:19">
      <c r="A815" s="588"/>
      <c r="B815" s="588"/>
      <c r="C815" s="588"/>
      <c r="D815" s="588"/>
      <c r="E815" s="588"/>
      <c r="F815" s="588"/>
      <c r="G815" s="588"/>
      <c r="H815" s="588"/>
      <c r="I815" s="588"/>
      <c r="J815" s="588"/>
      <c r="K815" s="588"/>
      <c r="L815" s="588"/>
      <c r="M815" s="588"/>
      <c r="R815" s="157"/>
      <c r="S815" s="157"/>
    </row>
    <row r="816" spans="1:19">
      <c r="A816" s="588"/>
      <c r="B816" s="588"/>
      <c r="C816" s="588"/>
      <c r="D816" s="588"/>
      <c r="E816" s="588"/>
      <c r="F816" s="588"/>
      <c r="G816" s="588"/>
      <c r="H816" s="588"/>
      <c r="I816" s="588"/>
      <c r="J816" s="588"/>
      <c r="K816" s="588"/>
      <c r="L816" s="588"/>
      <c r="M816" s="588"/>
      <c r="R816" s="157"/>
      <c r="S816" s="157"/>
    </row>
    <row r="817" spans="1:19">
      <c r="A817" s="588"/>
      <c r="B817" s="588"/>
      <c r="C817" s="588"/>
      <c r="D817" s="588"/>
      <c r="E817" s="588"/>
      <c r="F817" s="588"/>
      <c r="G817" s="588"/>
      <c r="H817" s="588"/>
      <c r="I817" s="588"/>
      <c r="J817" s="588"/>
      <c r="K817" s="588"/>
      <c r="L817" s="588"/>
      <c r="M817" s="588"/>
      <c r="N817" s="269"/>
      <c r="R817" s="157"/>
      <c r="S817" s="157"/>
    </row>
    <row r="818" spans="1:19">
      <c r="A818" s="588"/>
      <c r="B818" s="588"/>
      <c r="C818" s="588"/>
      <c r="D818" s="588"/>
      <c r="E818" s="588"/>
      <c r="F818" s="588"/>
      <c r="G818" s="588"/>
      <c r="H818" s="588"/>
      <c r="I818" s="588"/>
      <c r="J818" s="588"/>
      <c r="K818" s="588"/>
      <c r="L818" s="588"/>
      <c r="M818" s="588"/>
      <c r="R818" s="157"/>
      <c r="S818" s="157"/>
    </row>
    <row r="819" spans="1:19">
      <c r="A819" s="588"/>
      <c r="B819" s="588"/>
      <c r="C819" s="588"/>
      <c r="D819" s="588"/>
      <c r="E819" s="588"/>
      <c r="F819" s="588"/>
      <c r="G819" s="588"/>
      <c r="H819" s="588"/>
      <c r="I819" s="588"/>
      <c r="J819" s="588"/>
      <c r="K819" s="588"/>
      <c r="L819" s="588"/>
      <c r="M819" s="588"/>
      <c r="N819" s="269"/>
      <c r="R819" s="157"/>
      <c r="S819" s="157"/>
    </row>
    <row r="820" spans="1:19">
      <c r="A820" s="588"/>
      <c r="B820" s="588"/>
      <c r="C820" s="588"/>
      <c r="D820" s="588"/>
      <c r="E820" s="588"/>
      <c r="F820" s="588"/>
      <c r="G820" s="588"/>
      <c r="H820" s="588"/>
      <c r="I820" s="588"/>
      <c r="J820" s="588"/>
      <c r="K820" s="588"/>
      <c r="L820" s="588"/>
      <c r="M820" s="588"/>
      <c r="R820" s="157"/>
      <c r="S820" s="157"/>
    </row>
    <row r="821" spans="1:19">
      <c r="B821" s="254"/>
      <c r="C821" s="254"/>
      <c r="D821" s="254"/>
      <c r="E821" s="254"/>
      <c r="F821" s="254"/>
      <c r="G821" s="254"/>
      <c r="H821" s="254"/>
      <c r="I821" s="254"/>
      <c r="J821" s="254"/>
      <c r="K821" s="254"/>
      <c r="L821" s="254"/>
      <c r="M821" s="254"/>
      <c r="R821" s="157"/>
      <c r="S821" s="157"/>
    </row>
    <row r="822" spans="1:19">
      <c r="A822" s="125" t="s">
        <v>254</v>
      </c>
      <c r="R822" s="157"/>
      <c r="S822" s="157"/>
    </row>
    <row r="823" spans="1:19">
      <c r="C823" s="125" t="s">
        <v>334</v>
      </c>
      <c r="G823" s="610" t="str">
        <f>IF(G535="H","  "&amp;piledesig,IF(G535="P","     "&amp;G547&amp;" in diameter pipe pile",""))</f>
        <v/>
      </c>
      <c r="H823" s="610"/>
      <c r="I823" s="612"/>
      <c r="J823" s="612"/>
      <c r="K823" s="612"/>
      <c r="R823" s="157"/>
      <c r="S823" s="157"/>
    </row>
    <row r="824" spans="1:19">
      <c r="C824" s="264" t="s">
        <v>260</v>
      </c>
      <c r="G824" s="209" t="str">
        <f>IF(piletype="H",piledepth,IF(piletype="P",pilewidth,""))</f>
        <v/>
      </c>
      <c r="H824" s="125" t="s">
        <v>516</v>
      </c>
      <c r="I824" s="180"/>
      <c r="J824" s="131"/>
      <c r="K824" s="131"/>
      <c r="R824" s="157"/>
      <c r="S824" s="157"/>
    </row>
    <row r="825" spans="1:19" ht="14.25">
      <c r="C825" s="264" t="s">
        <v>261</v>
      </c>
      <c r="G825" s="217">
        <f>+pileinertia</f>
        <v>0</v>
      </c>
      <c r="H825" s="181" t="s">
        <v>512</v>
      </c>
      <c r="I825" s="178"/>
      <c r="J825" s="195"/>
      <c r="K825" s="131"/>
      <c r="R825" s="157"/>
      <c r="S825" s="157"/>
    </row>
    <row r="826" spans="1:19" ht="14.25">
      <c r="C826" s="264" t="s">
        <v>259</v>
      </c>
      <c r="G826" s="209">
        <f>+pilearea</f>
        <v>0</v>
      </c>
      <c r="H826" s="125" t="s">
        <v>510</v>
      </c>
      <c r="I826" s="180"/>
      <c r="J826" s="131"/>
      <c r="K826" s="131"/>
      <c r="R826" s="157"/>
      <c r="S826" s="157"/>
    </row>
    <row r="827" spans="1:19">
      <c r="C827" s="125" t="s">
        <v>290</v>
      </c>
      <c r="G827" s="176" t="e">
        <f>+G799</f>
        <v>#DIV/0!</v>
      </c>
      <c r="H827" s="125" t="s">
        <v>338</v>
      </c>
      <c r="I827" s="178" t="e">
        <f>G827*1000</f>
        <v>#DIV/0!</v>
      </c>
      <c r="J827" s="131" t="s">
        <v>68</v>
      </c>
      <c r="K827" s="131"/>
      <c r="R827" s="157"/>
      <c r="S827" s="157"/>
    </row>
    <row r="828" spans="1:19">
      <c r="C828" s="284" t="s">
        <v>906</v>
      </c>
      <c r="G828" s="511" t="e">
        <f>+MAX(ABS(H421),ABS(H425))</f>
        <v>#DIV/0!</v>
      </c>
      <c r="H828" s="125" t="s">
        <v>834</v>
      </c>
      <c r="I828" s="194" t="e">
        <f>+MAX(J421,ABS(J425))</f>
        <v>#DIV/0!</v>
      </c>
      <c r="J828" s="131" t="s">
        <v>833</v>
      </c>
      <c r="K828" s="131"/>
      <c r="R828" s="157"/>
      <c r="S828" s="157"/>
    </row>
    <row r="829" spans="1:19">
      <c r="C829" s="125" t="s">
        <v>292</v>
      </c>
      <c r="G829" s="167">
        <f>+J699</f>
        <v>0</v>
      </c>
      <c r="H829" s="125" t="s">
        <v>516</v>
      </c>
      <c r="I829" s="165"/>
      <c r="J829" s="131"/>
      <c r="K829" s="131"/>
      <c r="R829" s="157"/>
      <c r="S829" s="157"/>
    </row>
    <row r="830" spans="1:19">
      <c r="C830" s="170" t="s">
        <v>437</v>
      </c>
      <c r="E830" s="170"/>
      <c r="F830" s="170"/>
      <c r="G830" s="188">
        <f>-pileplastsecmod*G545/12</f>
        <v>0</v>
      </c>
      <c r="H830" s="218" t="s">
        <v>830</v>
      </c>
      <c r="I830" s="611">
        <f>-pileplastsecmod*G545*1000</f>
        <v>0</v>
      </c>
      <c r="J830" s="611"/>
      <c r="K830" s="185"/>
      <c r="R830" s="157"/>
      <c r="S830" s="157"/>
    </row>
    <row r="831" spans="1:19">
      <c r="R831" s="157"/>
      <c r="S831" s="157"/>
    </row>
    <row r="832" spans="1:19">
      <c r="A832" s="270" t="s">
        <v>652</v>
      </c>
      <c r="B832" s="169"/>
      <c r="C832" s="169"/>
      <c r="D832" s="169"/>
      <c r="E832" s="169"/>
      <c r="F832" s="169"/>
      <c r="G832" s="169"/>
      <c r="H832" s="169"/>
      <c r="I832" s="169"/>
      <c r="J832" s="169"/>
      <c r="R832" s="157"/>
      <c r="S832" s="157"/>
    </row>
    <row r="833" spans="1:19">
      <c r="A833" s="580" t="s">
        <v>680</v>
      </c>
      <c r="B833" s="580"/>
      <c r="C833" s="580"/>
      <c r="D833" s="580"/>
      <c r="E833" s="580"/>
      <c r="F833" s="580"/>
      <c r="G833" s="580"/>
      <c r="H833" s="580"/>
      <c r="I833" s="580"/>
      <c r="J833" s="580"/>
      <c r="R833" s="157"/>
      <c r="S833" s="157"/>
    </row>
    <row r="834" spans="1:19" ht="13.15" thickBot="1">
      <c r="A834" s="153"/>
      <c r="B834" s="153"/>
      <c r="C834" s="153"/>
      <c r="D834" s="153"/>
      <c r="E834" s="153"/>
      <c r="F834" s="153"/>
      <c r="G834" s="153"/>
      <c r="H834" s="153"/>
      <c r="I834" s="153"/>
      <c r="J834" s="153"/>
      <c r="R834" s="157"/>
      <c r="S834" s="157"/>
    </row>
    <row r="835" spans="1:19" ht="15.4" thickBot="1">
      <c r="C835" s="125" t="s">
        <v>681</v>
      </c>
      <c r="G835" s="40"/>
      <c r="H835" s="125" t="s">
        <v>516</v>
      </c>
      <c r="I835" s="165">
        <f>fixity/12</f>
        <v>0</v>
      </c>
      <c r="J835" s="131" t="s">
        <v>337</v>
      </c>
      <c r="R835" s="157"/>
      <c r="S835" s="157"/>
    </row>
    <row r="836" spans="1:19">
      <c r="B836" s="163" t="str">
        <f>IF(fixity/12&gt;pilelength,"Error - depth to fixity is longer than the pile length",IF(ABS(G835-G588*12)&gt;0.1*G835,"Warning - estimated depth to fixity is more than 10% different than the calculated value - press ctrl-b",""))</f>
        <v/>
      </c>
      <c r="I836" s="167"/>
      <c r="R836" s="157">
        <f>IF(LEFT(B836,5)="Error",1,0)</f>
        <v>0</v>
      </c>
      <c r="S836" s="157">
        <f>IF(LEFT(B836,5)="Warni",1,0)</f>
        <v>0</v>
      </c>
    </row>
    <row r="837" spans="1:19">
      <c r="A837" s="578" t="s">
        <v>224</v>
      </c>
      <c r="B837" s="578"/>
      <c r="C837" s="578"/>
      <c r="D837" s="578"/>
      <c r="E837" s="578"/>
      <c r="F837" s="578"/>
      <c r="G837" s="578"/>
      <c r="H837" s="578"/>
      <c r="I837" s="578"/>
      <c r="J837" s="578"/>
      <c r="K837" s="578"/>
      <c r="L837" s="578"/>
      <c r="M837" s="578"/>
      <c r="R837" s="157"/>
      <c r="S837" s="157"/>
    </row>
    <row r="838" spans="1:19">
      <c r="A838" s="578"/>
      <c r="B838" s="578"/>
      <c r="C838" s="578"/>
      <c r="D838" s="578"/>
      <c r="E838" s="578"/>
      <c r="F838" s="578"/>
      <c r="G838" s="578"/>
      <c r="H838" s="578"/>
      <c r="I838" s="578"/>
      <c r="J838" s="578"/>
      <c r="K838" s="578"/>
      <c r="L838" s="578"/>
      <c r="M838" s="578"/>
      <c r="R838" s="157"/>
      <c r="S838" s="157"/>
    </row>
    <row r="839" spans="1:19" ht="13.15" thickBot="1">
      <c r="A839" s="162"/>
      <c r="B839" s="162"/>
      <c r="C839" s="162"/>
      <c r="D839" s="162"/>
      <c r="E839" s="162"/>
      <c r="F839" s="162"/>
      <c r="G839" s="162"/>
      <c r="H839" s="162"/>
      <c r="I839" s="162"/>
      <c r="J839" s="162"/>
      <c r="K839" s="162"/>
      <c r="L839" s="162"/>
      <c r="M839" s="162"/>
      <c r="R839" s="157"/>
      <c r="S839" s="157"/>
    </row>
    <row r="840" spans="1:19" ht="15.4" thickBot="1">
      <c r="C840" s="125" t="s">
        <v>468</v>
      </c>
      <c r="G840" s="40"/>
      <c r="H840" s="125" t="s">
        <v>516</v>
      </c>
      <c r="I840" s="165">
        <f>inflection2/12</f>
        <v>0</v>
      </c>
      <c r="J840" s="131" t="s">
        <v>337</v>
      </c>
      <c r="R840" s="157"/>
      <c r="S840" s="157"/>
    </row>
    <row r="841" spans="1:19">
      <c r="G841" s="271"/>
      <c r="I841" s="165"/>
      <c r="J841" s="131"/>
      <c r="R841" s="157"/>
      <c r="S841" s="157"/>
    </row>
    <row r="842" spans="1:19">
      <c r="A842" s="577" t="s">
        <v>88</v>
      </c>
      <c r="B842" s="577"/>
      <c r="C842" s="577"/>
      <c r="D842" s="577"/>
      <c r="E842" s="577"/>
      <c r="F842" s="577"/>
      <c r="G842" s="577"/>
      <c r="H842" s="577"/>
      <c r="I842" s="577"/>
      <c r="J842" s="577"/>
      <c r="K842" s="577"/>
      <c r="L842" s="577"/>
      <c r="M842" s="577"/>
      <c r="R842" s="157"/>
      <c r="S842" s="157"/>
    </row>
    <row r="843" spans="1:19">
      <c r="A843" s="577"/>
      <c r="B843" s="577"/>
      <c r="C843" s="577"/>
      <c r="D843" s="577"/>
      <c r="E843" s="577"/>
      <c r="F843" s="577"/>
      <c r="G843" s="577"/>
      <c r="H843" s="577"/>
      <c r="I843" s="577"/>
      <c r="J843" s="577"/>
      <c r="K843" s="577"/>
      <c r="L843" s="577"/>
      <c r="M843" s="577"/>
      <c r="R843" s="157"/>
      <c r="S843" s="157"/>
    </row>
    <row r="844" spans="1:19" ht="13.15" thickBot="1">
      <c r="A844" s="254"/>
      <c r="B844" s="254"/>
      <c r="C844" s="254"/>
      <c r="D844" s="254"/>
      <c r="E844" s="254"/>
      <c r="F844" s="254"/>
      <c r="G844" s="254"/>
      <c r="H844" s="254"/>
      <c r="I844" s="254"/>
      <c r="J844" s="254"/>
      <c r="K844" s="254"/>
      <c r="L844" s="254"/>
      <c r="M844" s="254"/>
      <c r="R844" s="157"/>
      <c r="S844" s="157"/>
    </row>
    <row r="845" spans="1:19" ht="15.4" thickBot="1">
      <c r="C845" s="125" t="s">
        <v>469</v>
      </c>
      <c r="G845" s="40"/>
      <c r="H845" s="125" t="s">
        <v>516</v>
      </c>
      <c r="I845" s="165">
        <f>inflection/12</f>
        <v>0</v>
      </c>
      <c r="J845" s="131" t="s">
        <v>337</v>
      </c>
      <c r="R845" s="157"/>
      <c r="S845" s="157"/>
    </row>
    <row r="846" spans="1:19">
      <c r="B846" s="163" t="str">
        <f>IF(inflection/12&gt;pilelength,"Error - depth to second point of inflection is greater than the pile length",IF(inflection2&gt;inflection,"Error - depth to first point of inflection is greater than the depth to the second point of inflection",""))</f>
        <v/>
      </c>
      <c r="I846" s="167"/>
      <c r="R846" s="157">
        <f>IF(LEFT(B846,5)="Error",1,0)</f>
        <v>0</v>
      </c>
      <c r="S846" s="157">
        <f>IF(LEFT(B846,5)="Warni",1,0)</f>
        <v>0</v>
      </c>
    </row>
    <row r="847" spans="1:19">
      <c r="A847" s="577" t="str">
        <f>O847&amp;IF(piletype="P",FIXED(pilewidth,1,TRUE)&amp;") = "&amp;0.02*pilewidth&amp;" in"&amp;O848,FIXED(piledepth,1,TRUE)&amp;") = "&amp;0.02*piledepth&amp;" in "&amp;O848)</f>
        <v>The depth above which friction is ineffective is input here.  For a laterally deflected pile, this depth is defined per DM-4 Ap.G.1.4.2.2 as the point where the deflection is 2% of the pile diameter.  For the present pile (see section properties above), this deflection value is (0.02)(0.0) = 0 in .  The length of pile above this point is considered ineffective in the design of friction piles.  If the pile is driven through an embankment fill which is to be neglected in calculating pile friction resistance, input the depth of fill.  This value is not required for point bearing or end bearing piles.</v>
      </c>
      <c r="B847" s="577"/>
      <c r="C847" s="577"/>
      <c r="D847" s="577"/>
      <c r="E847" s="577"/>
      <c r="F847" s="577"/>
      <c r="G847" s="577"/>
      <c r="H847" s="577"/>
      <c r="I847" s="577"/>
      <c r="J847" s="577"/>
      <c r="K847" s="577"/>
      <c r="L847" s="577"/>
      <c r="M847" s="577"/>
      <c r="O847" s="157" t="s">
        <v>651</v>
      </c>
      <c r="R847" s="157"/>
      <c r="S847" s="157"/>
    </row>
    <row r="848" spans="1:19">
      <c r="A848" s="577"/>
      <c r="B848" s="577"/>
      <c r="C848" s="577"/>
      <c r="D848" s="577"/>
      <c r="E848" s="577"/>
      <c r="F848" s="577"/>
      <c r="G848" s="577"/>
      <c r="H848" s="577"/>
      <c r="I848" s="577"/>
      <c r="J848" s="577"/>
      <c r="K848" s="577"/>
      <c r="L848" s="577"/>
      <c r="M848" s="577"/>
      <c r="O848" s="157" t="s">
        <v>921</v>
      </c>
      <c r="R848" s="157"/>
      <c r="S848" s="157"/>
    </row>
    <row r="849" spans="1:19">
      <c r="A849" s="577"/>
      <c r="B849" s="577"/>
      <c r="C849" s="577"/>
      <c r="D849" s="577"/>
      <c r="E849" s="577"/>
      <c r="F849" s="577"/>
      <c r="G849" s="577"/>
      <c r="H849" s="577"/>
      <c r="I849" s="577"/>
      <c r="J849" s="577"/>
      <c r="K849" s="577"/>
      <c r="L849" s="577"/>
      <c r="M849" s="577"/>
      <c r="R849" s="157"/>
      <c r="S849" s="157"/>
    </row>
    <row r="850" spans="1:19">
      <c r="A850" s="577"/>
      <c r="B850" s="577"/>
      <c r="C850" s="577"/>
      <c r="D850" s="577"/>
      <c r="E850" s="577"/>
      <c r="F850" s="577"/>
      <c r="G850" s="577"/>
      <c r="H850" s="577"/>
      <c r="I850" s="577"/>
      <c r="J850" s="577"/>
      <c r="K850" s="577"/>
      <c r="L850" s="577"/>
      <c r="M850" s="577"/>
      <c r="R850" s="157"/>
      <c r="S850" s="157"/>
    </row>
    <row r="851" spans="1:19">
      <c r="A851" s="577"/>
      <c r="B851" s="577"/>
      <c r="C851" s="577"/>
      <c r="D851" s="577"/>
      <c r="E851" s="577"/>
      <c r="F851" s="577"/>
      <c r="G851" s="577"/>
      <c r="H851" s="577"/>
      <c r="I851" s="577"/>
      <c r="J851" s="577"/>
      <c r="K851" s="577"/>
      <c r="L851" s="577"/>
      <c r="M851" s="577"/>
      <c r="R851" s="157"/>
      <c r="S851" s="157"/>
    </row>
    <row r="852" spans="1:19" ht="13.15" thickBot="1">
      <c r="A852" s="254"/>
      <c r="B852" s="254"/>
      <c r="C852" s="254"/>
      <c r="D852" s="254"/>
      <c r="E852" s="254"/>
      <c r="F852" s="254"/>
      <c r="G852" s="254"/>
      <c r="H852" s="254"/>
      <c r="I852" s="254"/>
      <c r="J852" s="254"/>
      <c r="K852" s="254"/>
      <c r="L852" s="254"/>
      <c r="M852" s="254"/>
      <c r="R852" s="157"/>
      <c r="S852" s="157"/>
    </row>
    <row r="853" spans="1:19" ht="15.4" thickBot="1">
      <c r="C853" s="125" t="s">
        <v>687</v>
      </c>
      <c r="G853" s="40"/>
      <c r="H853" s="125" t="s">
        <v>516</v>
      </c>
      <c r="I853" s="165">
        <f>twopercent/12</f>
        <v>0</v>
      </c>
      <c r="J853" s="131" t="s">
        <v>337</v>
      </c>
      <c r="R853" s="157"/>
      <c r="S853" s="157"/>
    </row>
    <row r="854" spans="1:19">
      <c r="G854" s="271"/>
      <c r="I854" s="165"/>
      <c r="J854" s="131"/>
      <c r="R854" s="157"/>
      <c r="S854" s="157"/>
    </row>
    <row r="855" spans="1:19">
      <c r="A855" s="578" t="s">
        <v>263</v>
      </c>
      <c r="B855" s="578"/>
      <c r="C855" s="578"/>
      <c r="D855" s="578"/>
      <c r="E855" s="578"/>
      <c r="F855" s="578"/>
      <c r="G855" s="578"/>
      <c r="H855" s="578"/>
      <c r="I855" s="578"/>
      <c r="J855" s="578"/>
      <c r="K855" s="578"/>
      <c r="L855" s="578"/>
      <c r="M855" s="578"/>
      <c r="R855" s="157"/>
      <c r="S855" s="157"/>
    </row>
    <row r="856" spans="1:19">
      <c r="A856" s="578"/>
      <c r="B856" s="578"/>
      <c r="C856" s="578"/>
      <c r="D856" s="578"/>
      <c r="E856" s="578"/>
      <c r="F856" s="578"/>
      <c r="G856" s="578"/>
      <c r="H856" s="578"/>
      <c r="I856" s="578"/>
      <c r="J856" s="578"/>
      <c r="K856" s="578"/>
      <c r="L856" s="578"/>
      <c r="M856" s="578"/>
      <c r="R856" s="157"/>
      <c r="S856" s="157"/>
    </row>
    <row r="857" spans="1:19" ht="13.15" thickBot="1">
      <c r="A857" s="162"/>
      <c r="B857" s="162"/>
      <c r="C857" s="162"/>
      <c r="D857" s="162"/>
      <c r="E857" s="162"/>
      <c r="F857" s="162"/>
      <c r="G857" s="162"/>
      <c r="H857" s="162"/>
      <c r="I857" s="162"/>
      <c r="J857" s="162"/>
      <c r="K857" s="162"/>
      <c r="L857" s="162"/>
      <c r="M857" s="162"/>
      <c r="R857" s="157"/>
      <c r="S857" s="157"/>
    </row>
    <row r="858" spans="1:19" ht="15.4" thickBot="1">
      <c r="C858" s="181" t="s">
        <v>686</v>
      </c>
      <c r="G858" s="20"/>
      <c r="H858" s="125" t="s">
        <v>830</v>
      </c>
      <c r="I858" s="178">
        <f>maxmom*12000</f>
        <v>0</v>
      </c>
      <c r="J858" s="355" t="s">
        <v>840</v>
      </c>
      <c r="R858" s="157"/>
      <c r="S858" s="157"/>
    </row>
    <row r="859" spans="1:19">
      <c r="C859" s="181"/>
      <c r="H859" s="181"/>
      <c r="I859" s="167"/>
      <c r="R859" s="157"/>
      <c r="S859" s="157"/>
    </row>
    <row r="860" spans="1:19" ht="13.15">
      <c r="A860" s="253" t="str">
        <f>A802</f>
        <v>PILE DATA - Cont'd</v>
      </c>
      <c r="R860" s="157"/>
      <c r="S860" s="157"/>
    </row>
    <row r="861" spans="1:19">
      <c r="R861" s="157"/>
      <c r="S861" s="157"/>
    </row>
    <row r="862" spans="1:19">
      <c r="R862" s="157"/>
      <c r="S862" s="157"/>
    </row>
    <row r="863" spans="1:19">
      <c r="R863" s="157"/>
      <c r="S863" s="157"/>
    </row>
    <row r="864" spans="1:19">
      <c r="D864" s="125" t="s">
        <v>435</v>
      </c>
      <c r="I864" s="216" t="s">
        <v>436</v>
      </c>
      <c r="R864" s="157"/>
      <c r="S864" s="157"/>
    </row>
    <row r="865" spans="7:19">
      <c r="R865" s="157"/>
      <c r="S865" s="157"/>
    </row>
    <row r="866" spans="7:19">
      <c r="R866" s="157"/>
      <c r="S866" s="157"/>
    </row>
    <row r="867" spans="7:19">
      <c r="R867" s="157"/>
      <c r="S867" s="157"/>
    </row>
    <row r="868" spans="7:19">
      <c r="R868" s="157"/>
      <c r="S868" s="157"/>
    </row>
    <row r="869" spans="7:19">
      <c r="R869" s="157"/>
      <c r="S869" s="157"/>
    </row>
    <row r="870" spans="7:19">
      <c r="R870" s="157"/>
      <c r="S870" s="157"/>
    </row>
    <row r="871" spans="7:19">
      <c r="R871" s="157"/>
      <c r="S871" s="157"/>
    </row>
    <row r="872" spans="7:19">
      <c r="R872" s="157"/>
      <c r="S872" s="157"/>
    </row>
    <row r="873" spans="7:19">
      <c r="R873" s="157"/>
      <c r="S873" s="157"/>
    </row>
    <row r="874" spans="7:19">
      <c r="R874" s="157"/>
      <c r="S874" s="157"/>
    </row>
    <row r="875" spans="7:19">
      <c r="R875" s="157"/>
      <c r="S875" s="157"/>
    </row>
    <row r="876" spans="7:19">
      <c r="R876" s="157"/>
      <c r="S876" s="157"/>
    </row>
    <row r="877" spans="7:19">
      <c r="R877" s="157"/>
      <c r="S877" s="157"/>
    </row>
    <row r="878" spans="7:19">
      <c r="R878" s="157"/>
      <c r="S878" s="157"/>
    </row>
    <row r="879" spans="7:19">
      <c r="R879" s="157"/>
      <c r="S879" s="157"/>
    </row>
    <row r="880" spans="7:19">
      <c r="G880" s="216" t="s">
        <v>148</v>
      </c>
      <c r="R880" s="157"/>
      <c r="S880" s="157"/>
    </row>
    <row r="881" spans="1:19">
      <c r="R881" s="157"/>
      <c r="S881" s="157"/>
    </row>
    <row r="882" spans="1:19" ht="13.15">
      <c r="A882" s="253" t="s">
        <v>270</v>
      </c>
      <c r="R882" s="157"/>
      <c r="S882" s="157"/>
    </row>
    <row r="883" spans="1:19">
      <c r="R883" s="157"/>
      <c r="S883" s="157"/>
    </row>
    <row r="884" spans="1:19">
      <c r="A884" s="260" t="s">
        <v>426</v>
      </c>
      <c r="R884" s="157"/>
      <c r="S884" s="157"/>
    </row>
    <row r="885" spans="1:19">
      <c r="A885" s="577" t="s">
        <v>243</v>
      </c>
      <c r="B885" s="577"/>
      <c r="C885" s="577"/>
      <c r="D885" s="577"/>
      <c r="E885" s="577"/>
      <c r="F885" s="577"/>
      <c r="G885" s="577"/>
      <c r="H885" s="577"/>
      <c r="I885" s="577"/>
      <c r="J885" s="577"/>
      <c r="K885" s="577"/>
      <c r="L885" s="577"/>
      <c r="M885" s="577"/>
      <c r="R885" s="157"/>
      <c r="S885" s="157"/>
    </row>
    <row r="886" spans="1:19">
      <c r="A886" s="577"/>
      <c r="B886" s="577"/>
      <c r="C886" s="577"/>
      <c r="D886" s="577"/>
      <c r="E886" s="577"/>
      <c r="F886" s="577"/>
      <c r="G886" s="577"/>
      <c r="H886" s="577"/>
      <c r="I886" s="577"/>
      <c r="J886" s="577"/>
      <c r="K886" s="577"/>
      <c r="L886" s="577"/>
      <c r="M886" s="577"/>
      <c r="R886" s="157"/>
      <c r="S886" s="157"/>
    </row>
    <row r="887" spans="1:19">
      <c r="A887" s="577"/>
      <c r="B887" s="577"/>
      <c r="C887" s="577"/>
      <c r="D887" s="577"/>
      <c r="E887" s="577"/>
      <c r="F887" s="577"/>
      <c r="G887" s="577"/>
      <c r="H887" s="577"/>
      <c r="I887" s="577"/>
      <c r="J887" s="577"/>
      <c r="K887" s="577"/>
      <c r="L887" s="577"/>
      <c r="M887" s="577"/>
      <c r="R887" s="157"/>
      <c r="S887" s="157"/>
    </row>
    <row r="888" spans="1:19">
      <c r="R888" s="157"/>
      <c r="S888" s="157"/>
    </row>
    <row r="889" spans="1:19" ht="13.15" thickBot="1">
      <c r="A889" s="139"/>
      <c r="B889" s="139" t="s">
        <v>551</v>
      </c>
      <c r="C889" s="139"/>
      <c r="D889" s="139"/>
      <c r="E889" s="139"/>
      <c r="F889" s="139"/>
      <c r="G889" s="139"/>
      <c r="H889" s="196"/>
      <c r="I889" s="139"/>
      <c r="J889" s="139"/>
      <c r="K889" s="139"/>
      <c r="L889" s="139"/>
      <c r="M889" s="139"/>
      <c r="R889" s="157"/>
      <c r="S889" s="157"/>
    </row>
    <row r="890" spans="1:19" ht="15.4" thickBot="1">
      <c r="A890" s="139"/>
      <c r="B890" s="139"/>
      <c r="C890" s="139" t="s">
        <v>552</v>
      </c>
      <c r="D890" s="139"/>
      <c r="E890" s="139"/>
      <c r="F890" s="139"/>
      <c r="G890" s="41"/>
      <c r="H890" s="196" t="s">
        <v>218</v>
      </c>
      <c r="I890" s="139"/>
      <c r="J890" s="139"/>
      <c r="K890" s="139"/>
      <c r="L890" s="139"/>
      <c r="M890" s="139"/>
      <c r="R890" s="157"/>
      <c r="S890" s="157"/>
    </row>
    <row r="891" spans="1:19" ht="15.4" thickBot="1">
      <c r="A891" s="139"/>
      <c r="B891" s="139"/>
      <c r="C891" s="139" t="s">
        <v>554</v>
      </c>
      <c r="D891" s="139"/>
      <c r="E891" s="139"/>
      <c r="F891" s="139"/>
      <c r="G891" s="41"/>
      <c r="H891" s="196" t="s">
        <v>218</v>
      </c>
      <c r="I891" s="139"/>
      <c r="J891" s="139"/>
      <c r="K891" s="139"/>
      <c r="L891" s="139"/>
      <c r="M891" s="139"/>
      <c r="R891" s="157"/>
      <c r="S891" s="157"/>
    </row>
    <row r="892" spans="1:19">
      <c r="A892" s="139"/>
      <c r="B892" s="139"/>
      <c r="C892" s="139"/>
      <c r="D892" s="139"/>
      <c r="E892" s="139"/>
      <c r="F892" s="139"/>
      <c r="G892" s="139"/>
      <c r="H892" s="196"/>
      <c r="I892" s="139"/>
      <c r="J892" s="139"/>
      <c r="K892" s="139"/>
      <c r="L892" s="139"/>
      <c r="M892" s="139"/>
      <c r="R892" s="157"/>
      <c r="S892" s="157"/>
    </row>
    <row r="893" spans="1:19" ht="13.15" thickBot="1">
      <c r="A893" s="139"/>
      <c r="B893" s="139" t="s">
        <v>553</v>
      </c>
      <c r="C893" s="139"/>
      <c r="D893" s="139"/>
      <c r="E893" s="139"/>
      <c r="F893" s="139"/>
      <c r="G893" s="139"/>
      <c r="H893" s="196"/>
      <c r="I893" s="139"/>
      <c r="J893" s="139"/>
      <c r="K893" s="139"/>
      <c r="L893" s="139"/>
      <c r="M893" s="139"/>
      <c r="R893" s="157"/>
      <c r="S893" s="157"/>
    </row>
    <row r="894" spans="1:19" ht="15.4" thickBot="1">
      <c r="A894" s="139"/>
      <c r="B894" s="139"/>
      <c r="C894" s="139" t="s">
        <v>368</v>
      </c>
      <c r="D894" s="139"/>
      <c r="E894" s="139"/>
      <c r="F894" s="139"/>
      <c r="G894" s="46"/>
      <c r="H894" s="196" t="s">
        <v>4</v>
      </c>
      <c r="I894" s="197">
        <f>+G894*2/144</f>
        <v>0</v>
      </c>
      <c r="J894" s="219" t="s">
        <v>829</v>
      </c>
      <c r="K894" s="139"/>
      <c r="L894" s="139"/>
      <c r="M894" s="139"/>
      <c r="R894" s="157"/>
      <c r="S894" s="157"/>
    </row>
    <row r="895" spans="1:19" ht="15">
      <c r="A895" s="139"/>
      <c r="B895" s="139"/>
      <c r="C895" s="139" t="s">
        <v>206</v>
      </c>
      <c r="D895" s="139"/>
      <c r="E895" s="139"/>
      <c r="F895" s="139"/>
      <c r="G895" s="221"/>
      <c r="H895" s="557"/>
      <c r="I895" s="197">
        <f>IF(piletype="H",pilewidth*piledepth,IF(piletype="P",PI()*pilewidth^2/4,0))</f>
        <v>0</v>
      </c>
      <c r="J895" s="219" t="s">
        <v>510</v>
      </c>
      <c r="K895" s="139"/>
      <c r="L895" s="139"/>
      <c r="M895" s="139"/>
      <c r="R895" s="157"/>
      <c r="S895" s="157"/>
    </row>
    <row r="896" spans="1:19" ht="15">
      <c r="A896" s="139"/>
      <c r="B896" s="139"/>
      <c r="C896" s="139" t="s">
        <v>697</v>
      </c>
      <c r="D896" s="139"/>
      <c r="E896" s="139"/>
      <c r="F896" s="139"/>
      <c r="G896" s="139" t="str">
        <f>"("&amp;FIXED(I894,2,TRUE)&amp;" ksi)("&amp;FIXED(I895,2,TRUE)&amp;") ="</f>
        <v>(0.00 ksi)(0.00) =</v>
      </c>
      <c r="H896" s="139"/>
      <c r="I896" s="204">
        <f>I894*I895</f>
        <v>0</v>
      </c>
      <c r="J896" s="196" t="s">
        <v>338</v>
      </c>
      <c r="K896" s="139"/>
      <c r="L896" s="139"/>
      <c r="M896" s="139"/>
      <c r="R896" s="157"/>
      <c r="S896" s="157"/>
    </row>
    <row r="897" spans="1:19">
      <c r="A897" s="139"/>
      <c r="B897" s="139"/>
      <c r="C897" s="139"/>
      <c r="D897" s="139"/>
      <c r="E897" s="139"/>
      <c r="F897" s="139"/>
      <c r="I897" s="220"/>
      <c r="J897" s="198"/>
      <c r="K897" s="139"/>
      <c r="L897" s="139"/>
      <c r="M897" s="139"/>
      <c r="R897" s="157"/>
      <c r="S897" s="157"/>
    </row>
    <row r="898" spans="1:19">
      <c r="A898" s="146"/>
      <c r="B898" s="139" t="s">
        <v>143</v>
      </c>
      <c r="C898" s="146"/>
      <c r="D898" s="146"/>
      <c r="E898" s="146"/>
      <c r="F898" s="146"/>
      <c r="G898" s="146"/>
      <c r="H898" s="146"/>
      <c r="I898" s="146"/>
      <c r="J898" s="146"/>
      <c r="K898" s="146"/>
      <c r="L898" s="139"/>
      <c r="M898" s="139"/>
      <c r="R898" s="157"/>
      <c r="S898" s="157"/>
    </row>
    <row r="899" spans="1:19">
      <c r="B899" s="577" t="s">
        <v>3</v>
      </c>
      <c r="C899" s="577"/>
      <c r="D899" s="577"/>
      <c r="E899" s="577"/>
      <c r="F899" s="577"/>
      <c r="G899" s="577"/>
      <c r="H899" s="577"/>
      <c r="I899" s="577"/>
      <c r="J899" s="577"/>
      <c r="K899" s="577"/>
      <c r="L899" s="577"/>
      <c r="M899" s="577"/>
      <c r="R899" s="157"/>
      <c r="S899" s="157"/>
    </row>
    <row r="900" spans="1:19">
      <c r="A900" s="158"/>
      <c r="B900" s="577"/>
      <c r="C900" s="577"/>
      <c r="D900" s="577"/>
      <c r="E900" s="577"/>
      <c r="F900" s="577"/>
      <c r="G900" s="577"/>
      <c r="H900" s="577"/>
      <c r="I900" s="577"/>
      <c r="J900" s="577"/>
      <c r="K900" s="577"/>
      <c r="L900" s="577"/>
      <c r="M900" s="577"/>
      <c r="R900" s="157"/>
      <c r="S900" s="157"/>
    </row>
    <row r="901" spans="1:19">
      <c r="A901" s="158"/>
      <c r="B901" s="577"/>
      <c r="C901" s="577"/>
      <c r="D901" s="577"/>
      <c r="E901" s="577"/>
      <c r="F901" s="577"/>
      <c r="G901" s="577"/>
      <c r="H901" s="577"/>
      <c r="I901" s="577"/>
      <c r="J901" s="577"/>
      <c r="K901" s="577"/>
      <c r="L901" s="577"/>
      <c r="M901" s="577"/>
      <c r="R901" s="157"/>
      <c r="S901" s="157"/>
    </row>
    <row r="902" spans="1:19" s="286" customFormat="1" ht="20.25" customHeight="1">
      <c r="A902" s="370"/>
      <c r="B902" s="577"/>
      <c r="C902" s="577"/>
      <c r="D902" s="577"/>
      <c r="E902" s="577"/>
      <c r="F902" s="577"/>
      <c r="G902" s="577"/>
      <c r="H902" s="577"/>
      <c r="I902" s="577"/>
      <c r="J902" s="577"/>
      <c r="K902" s="577"/>
      <c r="L902" s="577"/>
      <c r="M902" s="577"/>
      <c r="N902" s="284"/>
      <c r="O902" s="284"/>
      <c r="P902" s="284"/>
      <c r="Q902" s="284"/>
      <c r="R902" s="287"/>
      <c r="S902" s="287"/>
    </row>
    <row r="903" spans="1:19" s="371" customFormat="1" ht="7.5" customHeight="1">
      <c r="R903" s="372"/>
      <c r="S903" s="372"/>
    </row>
    <row r="904" spans="1:19" ht="15">
      <c r="A904" s="139"/>
      <c r="B904" s="139"/>
      <c r="C904" s="139" t="s">
        <v>687</v>
      </c>
      <c r="D904" s="139"/>
      <c r="E904" s="139"/>
      <c r="G904" s="196"/>
      <c r="H904" s="272">
        <f>+G853</f>
        <v>0</v>
      </c>
      <c r="I904" s="204" t="str">
        <f>"in = "&amp;TEXT(H904/12,"0.00")</f>
        <v>in = 0.00</v>
      </c>
      <c r="J904" s="139" t="s">
        <v>337</v>
      </c>
      <c r="K904" s="139"/>
      <c r="L904" s="139"/>
      <c r="M904" s="139"/>
      <c r="R904" s="157"/>
      <c r="S904" s="157"/>
    </row>
    <row r="905" spans="1:19" ht="15">
      <c r="A905" s="139"/>
      <c r="B905" s="139"/>
      <c r="C905" s="139" t="s">
        <v>472</v>
      </c>
      <c r="D905" s="139"/>
      <c r="E905" s="139"/>
      <c r="F905" s="139"/>
      <c r="G905" s="139" t="str">
        <f>+G569*12&amp;" - "&amp;H904&amp;" ="</f>
        <v>0 - 0 =</v>
      </c>
      <c r="H905" s="221">
        <f>+G569*12-H904</f>
        <v>0</v>
      </c>
      <c r="I905" s="204" t="str">
        <f>"in = "&amp;TEXT(H905/12,"0.00")</f>
        <v>in = 0.00</v>
      </c>
      <c r="J905" s="139" t="s">
        <v>337</v>
      </c>
      <c r="K905" s="139"/>
      <c r="L905" s="139"/>
      <c r="M905" s="139"/>
      <c r="R905" s="157"/>
      <c r="S905" s="157"/>
    </row>
    <row r="906" spans="1:19">
      <c r="A906" s="139"/>
      <c r="B906" s="139"/>
      <c r="C906" s="139"/>
      <c r="D906" s="139"/>
      <c r="E906" s="139"/>
      <c r="F906" s="139"/>
      <c r="K906" s="139"/>
      <c r="L906" s="139"/>
      <c r="M906" s="139"/>
      <c r="R906" s="157"/>
      <c r="S906" s="157"/>
    </row>
    <row r="907" spans="1:19">
      <c r="B907" s="578" t="s">
        <v>89</v>
      </c>
      <c r="C907" s="578"/>
      <c r="D907" s="578"/>
      <c r="E907" s="578"/>
      <c r="F907" s="578"/>
      <c r="G907" s="578"/>
      <c r="H907" s="578"/>
      <c r="I907" s="578"/>
      <c r="J907" s="578"/>
      <c r="K907" s="578"/>
      <c r="L907" s="578"/>
      <c r="M907" s="578"/>
      <c r="R907" s="157"/>
      <c r="S907" s="157"/>
    </row>
    <row r="908" spans="1:19">
      <c r="A908" s="153"/>
      <c r="B908" s="578"/>
      <c r="C908" s="578"/>
      <c r="D908" s="578"/>
      <c r="E908" s="578"/>
      <c r="F908" s="578"/>
      <c r="G908" s="578"/>
      <c r="H908" s="578"/>
      <c r="I908" s="578"/>
      <c r="J908" s="578"/>
      <c r="K908" s="578"/>
      <c r="L908" s="578"/>
      <c r="M908" s="578"/>
      <c r="R908" s="157"/>
      <c r="S908" s="157"/>
    </row>
    <row r="909" spans="1:19" ht="13.15" thickBot="1">
      <c r="A909" s="153"/>
      <c r="B909" s="162"/>
      <c r="C909" s="162"/>
      <c r="D909" s="162"/>
      <c r="E909" s="162"/>
      <c r="F909" s="162"/>
      <c r="G909" s="162"/>
      <c r="H909" s="162"/>
      <c r="I909" s="162"/>
      <c r="J909" s="162"/>
      <c r="K909" s="162"/>
      <c r="L909" s="162"/>
      <c r="M909" s="162"/>
      <c r="R909" s="157"/>
      <c r="S909" s="157"/>
    </row>
    <row r="910" spans="1:19" ht="15.4" thickBot="1">
      <c r="A910" s="139"/>
      <c r="B910" s="139"/>
      <c r="C910" s="139" t="s">
        <v>369</v>
      </c>
      <c r="D910" s="139"/>
      <c r="E910" s="139"/>
      <c r="F910" s="139"/>
      <c r="G910" s="102"/>
      <c r="H910" s="196" t="s">
        <v>4</v>
      </c>
      <c r="I910" s="357">
        <f>+G910*2/144</f>
        <v>0</v>
      </c>
      <c r="J910" s="210" t="s">
        <v>829</v>
      </c>
      <c r="K910" s="139"/>
      <c r="L910" s="139"/>
      <c r="M910" s="139"/>
      <c r="R910" s="157"/>
      <c r="S910" s="157"/>
    </row>
    <row r="911" spans="1:19" ht="15">
      <c r="A911" s="139"/>
      <c r="B911" s="139"/>
      <c r="C911" s="139" t="s">
        <v>370</v>
      </c>
      <c r="D911" s="139"/>
      <c r="E911" s="139"/>
      <c r="F911" s="139"/>
      <c r="G911" s="222" t="e">
        <f>"= ("&amp;FIXED(I910,3)&amp;" ksi)("&amp;FIXED(IF(piletype="P",PI()*pilewidth,4*pilewidth+2*(piledepth-'Pile Data'!E28)),2,TRUE)&amp;")("&amp;H905&amp;") ="</f>
        <v>#N/A</v>
      </c>
      <c r="H911" s="196"/>
      <c r="I911" s="204" t="e">
        <f>I910*IF(piletype="P",PI()*pilewidth,4*pilewidth+2*(piledepth-'Pile Data'!E28))*H905</f>
        <v>#N/A</v>
      </c>
      <c r="J911" s="196" t="s">
        <v>338</v>
      </c>
      <c r="K911" s="139"/>
      <c r="L911" s="139"/>
      <c r="M911" s="139"/>
      <c r="R911" s="157"/>
      <c r="S911" s="157"/>
    </row>
    <row r="912" spans="1:19">
      <c r="A912" s="139"/>
      <c r="B912" s="139"/>
      <c r="C912" s="139"/>
      <c r="D912" s="139"/>
      <c r="E912" s="139"/>
      <c r="F912" s="139"/>
      <c r="I912" s="220"/>
      <c r="J912" s="198"/>
      <c r="K912" s="139"/>
      <c r="L912" s="139"/>
      <c r="M912" s="139"/>
      <c r="R912" s="157"/>
      <c r="S912" s="157"/>
    </row>
    <row r="913" spans="1:19" ht="15">
      <c r="A913" s="139"/>
      <c r="B913" s="139" t="s">
        <v>63</v>
      </c>
      <c r="C913" s="139"/>
      <c r="D913" s="139"/>
      <c r="E913" s="139"/>
      <c r="F913" s="139"/>
      <c r="G913" s="139"/>
      <c r="H913" s="196"/>
      <c r="I913" s="213"/>
      <c r="J913" s="139"/>
      <c r="K913" s="139"/>
      <c r="L913" s="139"/>
      <c r="M913" s="139"/>
      <c r="R913" s="157"/>
      <c r="S913" s="157"/>
    </row>
    <row r="914" spans="1:19" ht="15">
      <c r="A914" s="139"/>
      <c r="C914" s="147" t="s">
        <v>217</v>
      </c>
      <c r="D914" s="222" t="e">
        <f>"("&amp;FIXED(G890,2,TRUE)&amp;")("&amp;FIXED(I896,2,TRUE)&amp;") + ("&amp;FIXED(G891,2,TRUE)&amp;")("&amp;FIXED(I911,2,TRUE)&amp;") = "</f>
        <v>#N/A</v>
      </c>
      <c r="G914" s="273" t="e">
        <f>(+G890*I896+G891*I911)</f>
        <v>#N/A</v>
      </c>
      <c r="H914" s="196" t="s">
        <v>338</v>
      </c>
      <c r="I914" s="220"/>
      <c r="J914" s="198"/>
      <c r="K914" s="139"/>
      <c r="L914" s="139"/>
      <c r="M914" s="139"/>
      <c r="R914" s="157"/>
      <c r="S914" s="157"/>
    </row>
    <row r="915" spans="1:19">
      <c r="A915" s="139"/>
      <c r="C915" s="147"/>
      <c r="D915" s="222"/>
      <c r="G915" s="273"/>
      <c r="H915" s="196"/>
      <c r="I915" s="220"/>
      <c r="J915" s="198"/>
      <c r="K915" s="139"/>
      <c r="L915" s="139"/>
      <c r="M915" s="139"/>
      <c r="R915" s="157"/>
      <c r="S915" s="157"/>
    </row>
    <row r="916" spans="1:19">
      <c r="A916" s="139"/>
      <c r="B916" s="223" t="e">
        <f>IF(G914&lt;G827,"Error - "&amp;FIXED(G914,1,TRUE)&amp;" k &lt; "&amp;FIXED(G827,1,TRUE)&amp;" k - Inadequate geotechnical resistance",FIXED(G914,1,TRUE)&amp;" k &gt; "&amp;FIXED(G827,1,TRUE)&amp;" k - OK")</f>
        <v>#N/A</v>
      </c>
      <c r="C916" s="139"/>
      <c r="D916" s="139"/>
      <c r="E916" s="139"/>
      <c r="F916" s="139"/>
      <c r="G916" s="139"/>
      <c r="H916" s="196"/>
      <c r="I916" s="213"/>
      <c r="J916" s="139"/>
      <c r="K916" s="151"/>
      <c r="L916" s="139"/>
      <c r="M916" s="139"/>
      <c r="R916" s="157" t="e">
        <f>IF(LEFT(B916,5)="Error",1,0)</f>
        <v>#N/A</v>
      </c>
      <c r="S916" s="157" t="e">
        <f>IF(LEFT(B916,5)="Warni",1,0)</f>
        <v>#N/A</v>
      </c>
    </row>
    <row r="917" spans="1:19" ht="13.15">
      <c r="A917" s="253" t="str">
        <f>A860</f>
        <v>PILE DATA - Cont'd</v>
      </c>
      <c r="B917" s="223"/>
      <c r="C917" s="139"/>
      <c r="D917" s="139"/>
      <c r="E917" s="139"/>
      <c r="F917" s="139"/>
      <c r="G917" s="139"/>
      <c r="H917" s="196"/>
      <c r="I917" s="213"/>
      <c r="J917" s="139"/>
      <c r="K917" s="151"/>
      <c r="L917" s="139"/>
      <c r="M917" s="139"/>
      <c r="R917" s="157"/>
      <c r="S917" s="157"/>
    </row>
    <row r="918" spans="1:19">
      <c r="A918" s="139"/>
      <c r="B918" s="223"/>
      <c r="C918" s="139"/>
      <c r="D918" s="139"/>
      <c r="E918" s="139"/>
      <c r="F918" s="139"/>
      <c r="G918" s="139"/>
      <c r="H918" s="196"/>
      <c r="I918" s="213"/>
      <c r="J918" s="139"/>
      <c r="K918" s="151"/>
      <c r="L918" s="139"/>
      <c r="M918" s="139"/>
      <c r="R918" s="157"/>
      <c r="S918" s="157"/>
    </row>
    <row r="919" spans="1:19">
      <c r="A919" s="260" t="s">
        <v>360</v>
      </c>
      <c r="R919" s="157"/>
      <c r="S919" s="157"/>
    </row>
    <row r="920" spans="1:19">
      <c r="A920" s="577" t="s">
        <v>462</v>
      </c>
      <c r="B920" s="577"/>
      <c r="C920" s="577"/>
      <c r="D920" s="577"/>
      <c r="E920" s="577"/>
      <c r="F920" s="577"/>
      <c r="G920" s="577"/>
      <c r="H920" s="577"/>
      <c r="I920" s="577"/>
      <c r="J920" s="577"/>
      <c r="K920" s="577"/>
      <c r="L920" s="577"/>
      <c r="M920" s="577"/>
      <c r="R920" s="157"/>
      <c r="S920" s="157"/>
    </row>
    <row r="921" spans="1:19">
      <c r="A921" s="577"/>
      <c r="B921" s="577"/>
      <c r="C921" s="577"/>
      <c r="D921" s="577"/>
      <c r="E921" s="577"/>
      <c r="F921" s="577"/>
      <c r="G921" s="577"/>
      <c r="H921" s="577"/>
      <c r="I921" s="577"/>
      <c r="J921" s="577"/>
      <c r="K921" s="577"/>
      <c r="L921" s="577"/>
      <c r="M921" s="577"/>
      <c r="R921" s="157"/>
      <c r="S921" s="157"/>
    </row>
    <row r="922" spans="1:19">
      <c r="A922" s="577"/>
      <c r="B922" s="577"/>
      <c r="C922" s="577"/>
      <c r="D922" s="577"/>
      <c r="E922" s="577"/>
      <c r="F922" s="577"/>
      <c r="G922" s="577"/>
      <c r="H922" s="577"/>
      <c r="I922" s="577"/>
      <c r="J922" s="577"/>
      <c r="K922" s="577"/>
      <c r="L922" s="577"/>
      <c r="M922" s="577"/>
      <c r="R922" s="157"/>
      <c r="S922" s="157"/>
    </row>
    <row r="923" spans="1:19">
      <c r="A923" s="577"/>
      <c r="B923" s="577"/>
      <c r="C923" s="577"/>
      <c r="D923" s="577"/>
      <c r="E923" s="577"/>
      <c r="F923" s="577"/>
      <c r="G923" s="577"/>
      <c r="H923" s="577"/>
      <c r="I923" s="577"/>
      <c r="J923" s="577"/>
      <c r="K923" s="577"/>
      <c r="L923" s="577"/>
      <c r="M923" s="577"/>
      <c r="R923" s="157"/>
      <c r="S923" s="157"/>
    </row>
    <row r="924" spans="1:19">
      <c r="A924" s="577"/>
      <c r="B924" s="577"/>
      <c r="C924" s="577"/>
      <c r="D924" s="577"/>
      <c r="E924" s="577"/>
      <c r="F924" s="577"/>
      <c r="G924" s="577"/>
      <c r="H924" s="577"/>
      <c r="I924" s="577"/>
      <c r="J924" s="577"/>
      <c r="K924" s="577"/>
      <c r="L924" s="577"/>
      <c r="M924" s="577"/>
      <c r="R924" s="157"/>
      <c r="S924" s="157"/>
    </row>
    <row r="925" spans="1:19" s="377" customFormat="1" ht="10.15">
      <c r="R925" s="372"/>
      <c r="S925" s="372"/>
    </row>
    <row r="926" spans="1:19" ht="13.15" thickBot="1">
      <c r="B926" s="260" t="s">
        <v>490</v>
      </c>
      <c r="R926" s="157"/>
      <c r="S926" s="157"/>
    </row>
    <row r="927" spans="1:19" ht="15.4" thickBot="1">
      <c r="C927" s="284" t="s">
        <v>795</v>
      </c>
      <c r="G927" s="22"/>
      <c r="H927" s="125" t="str">
        <f>"per "&amp;IF(G535="H","AASHTO &amp; DM-4 6.5.4.2",IF(G535="P","DM-4 5.5.4.2.1",""))</f>
        <v xml:space="preserve">per </v>
      </c>
      <c r="R927" s="157"/>
      <c r="S927" s="157"/>
    </row>
    <row r="928" spans="1:19" s="377" customFormat="1" ht="15.4" thickBot="1">
      <c r="C928" s="284" t="s">
        <v>908</v>
      </c>
      <c r="G928" s="22"/>
      <c r="H928" s="284" t="str">
        <f>IF(G535="P",H927&amp;" and DM-4 5.13.4.7.1P","Leave Blank for H-piles")</f>
        <v>Leave Blank for H-piles</v>
      </c>
      <c r="R928" s="372"/>
      <c r="S928" s="372"/>
    </row>
    <row r="929" spans="2:19" ht="15.4" thickBot="1">
      <c r="C929" s="139" t="s">
        <v>543</v>
      </c>
      <c r="D929" s="139"/>
      <c r="E929" s="139"/>
      <c r="F929" s="592" t="s">
        <v>94</v>
      </c>
      <c r="G929" s="41"/>
      <c r="H929" s="284" t="s">
        <v>909</v>
      </c>
      <c r="I929" s="139"/>
      <c r="R929" s="157"/>
      <c r="S929" s="157"/>
    </row>
    <row r="930" spans="2:19" ht="15.4" thickBot="1">
      <c r="C930" s="139" t="s">
        <v>794</v>
      </c>
      <c r="D930" s="139"/>
      <c r="E930" s="139"/>
      <c r="F930" s="592"/>
      <c r="G930" s="41"/>
      <c r="H930" s="284" t="s">
        <v>909</v>
      </c>
      <c r="I930" s="139"/>
      <c r="R930" s="157"/>
      <c r="S930" s="157"/>
    </row>
    <row r="931" spans="2:19" s="377" customFormat="1" ht="10.15">
      <c r="R931" s="372"/>
      <c r="S931" s="372"/>
    </row>
    <row r="932" spans="2:19">
      <c r="B932" s="260" t="s">
        <v>504</v>
      </c>
      <c r="R932" s="157"/>
      <c r="S932" s="157"/>
    </row>
    <row r="933" spans="2:19">
      <c r="B933" s="608" t="s">
        <v>923</v>
      </c>
      <c r="C933" s="609"/>
      <c r="D933" s="609"/>
      <c r="E933" s="609"/>
      <c r="F933" s="609"/>
      <c r="G933" s="609"/>
      <c r="H933" s="609"/>
      <c r="I933" s="609"/>
      <c r="J933" s="609"/>
      <c r="K933" s="609"/>
      <c r="L933" s="609"/>
      <c r="M933" s="609"/>
      <c r="R933" s="157"/>
      <c r="S933" s="157"/>
    </row>
    <row r="934" spans="2:19">
      <c r="B934" s="609"/>
      <c r="C934" s="609"/>
      <c r="D934" s="609"/>
      <c r="E934" s="609"/>
      <c r="F934" s="609"/>
      <c r="G934" s="609"/>
      <c r="H934" s="609"/>
      <c r="I934" s="609"/>
      <c r="J934" s="609"/>
      <c r="K934" s="609"/>
      <c r="L934" s="609"/>
      <c r="M934" s="609"/>
      <c r="R934" s="157"/>
      <c r="S934" s="157"/>
    </row>
    <row r="935" spans="2:19">
      <c r="C935" s="274"/>
      <c r="D935" s="274"/>
      <c r="E935" s="274"/>
      <c r="F935" s="274"/>
      <c r="G935" s="274"/>
      <c r="H935" s="274"/>
      <c r="I935" s="274"/>
      <c r="J935" s="274"/>
      <c r="K935" s="274"/>
      <c r="L935" s="274"/>
      <c r="M935" s="274"/>
      <c r="R935" s="157"/>
      <c r="S935" s="157"/>
    </row>
    <row r="936" spans="2:19">
      <c r="C936" s="260" t="s">
        <v>497</v>
      </c>
      <c r="O936" s="287"/>
      <c r="R936" s="157"/>
      <c r="S936" s="157"/>
    </row>
    <row r="937" spans="2:19" ht="15">
      <c r="C937" s="284" t="s">
        <v>924</v>
      </c>
      <c r="R937" s="157"/>
      <c r="S937" s="157"/>
    </row>
    <row r="938" spans="2:19" ht="15">
      <c r="C938" s="133" t="s">
        <v>496</v>
      </c>
      <c r="D938" s="228">
        <f>0.66*pileyield*pilearea</f>
        <v>0</v>
      </c>
      <c r="E938" s="131" t="s">
        <v>495</v>
      </c>
      <c r="R938" s="157"/>
      <c r="S938" s="157"/>
    </row>
    <row r="939" spans="2:19">
      <c r="R939" s="157"/>
      <c r="S939" s="157"/>
    </row>
    <row r="940" spans="2:19">
      <c r="C940" s="260" t="s">
        <v>499</v>
      </c>
      <c r="R940" s="157"/>
      <c r="S940" s="157"/>
    </row>
    <row r="941" spans="2:19">
      <c r="C941" s="607" t="s">
        <v>925</v>
      </c>
      <c r="D941" s="578"/>
      <c r="E941" s="578"/>
      <c r="F941" s="578"/>
      <c r="G941" s="578"/>
      <c r="H941" s="578"/>
      <c r="I941" s="578"/>
      <c r="J941" s="578"/>
      <c r="K941" s="578"/>
      <c r="L941" s="578"/>
      <c r="M941" s="578"/>
      <c r="N941" s="153"/>
      <c r="R941" s="157"/>
      <c r="S941" s="157"/>
    </row>
    <row r="942" spans="2:19">
      <c r="B942" s="153"/>
      <c r="C942" s="578"/>
      <c r="D942" s="578"/>
      <c r="E942" s="578"/>
      <c r="F942" s="578"/>
      <c r="G942" s="578"/>
      <c r="H942" s="578"/>
      <c r="I942" s="578"/>
      <c r="J942" s="578"/>
      <c r="K942" s="578"/>
      <c r="L942" s="578"/>
      <c r="M942" s="578"/>
      <c r="N942" s="153"/>
      <c r="R942" s="157"/>
      <c r="S942" s="157"/>
    </row>
    <row r="943" spans="2:19">
      <c r="R943" s="157"/>
      <c r="S943" s="157"/>
    </row>
    <row r="944" spans="2:19" ht="15">
      <c r="C944" s="125" t="s">
        <v>500</v>
      </c>
      <c r="G944" s="317" t="str">
        <f>IF(piletype="H",FIXED(G799,2,TRUE)&amp;" - (0.5)("&amp;frictresfact&amp;")("&amp;FIXED(I911,1,TRUE)&amp;")","")</f>
        <v/>
      </c>
      <c r="J944" s="224" t="s">
        <v>244</v>
      </c>
      <c r="R944" s="157"/>
      <c r="S944" s="157"/>
    </row>
    <row r="945" spans="2:19" ht="15">
      <c r="C945" s="133" t="s">
        <v>498</v>
      </c>
      <c r="D945" s="228" t="e">
        <f>IF(piletype="H",MAX(0,G799-0.5*frictresfact*I911),G799)</f>
        <v>#DIV/0!</v>
      </c>
      <c r="E945" s="125" t="s">
        <v>338</v>
      </c>
      <c r="I945" s="180"/>
      <c r="R945" s="157"/>
      <c r="S945" s="157"/>
    </row>
    <row r="946" spans="2:19">
      <c r="R946" s="157"/>
      <c r="S946" s="157"/>
    </row>
    <row r="947" spans="2:19" ht="15">
      <c r="C947" s="125" t="s">
        <v>667</v>
      </c>
      <c r="I947" s="174" t="str">
        <f>"("&amp;G927&amp;")("&amp;FIXED(D938,2,TRUE)&amp;") "</f>
        <v xml:space="preserve">()(0.00) </v>
      </c>
      <c r="R947" s="157"/>
      <c r="S947" s="157"/>
    </row>
    <row r="948" spans="2:19" ht="15">
      <c r="C948" s="133" t="s">
        <v>501</v>
      </c>
      <c r="D948" s="228">
        <f>G927*D938</f>
        <v>0</v>
      </c>
      <c r="E948" s="125" t="s">
        <v>338</v>
      </c>
      <c r="R948" s="157"/>
      <c r="S948" s="157"/>
    </row>
    <row r="949" spans="2:19">
      <c r="C949" s="330"/>
      <c r="R949" s="157"/>
      <c r="S949" s="157"/>
    </row>
    <row r="950" spans="2:19">
      <c r="C950" s="363" t="e">
        <f>IF(piletype="P","",IF(D948&lt;D945,"Error - "&amp;FIXED(D948,2,TRUE)&amp;" k &lt; "&amp;FIXED(D945,2,TRUE)&amp;" k - Insufficient axial capacity",FIXED(D948,2,TRUE)&amp;" k &gt; "&amp;FIXED(D945,2,TRUE)&amp;" k - OK"))</f>
        <v>#DIV/0!</v>
      </c>
      <c r="G950" s="167"/>
      <c r="I950" s="176"/>
      <c r="K950" s="168"/>
      <c r="R950" s="514" t="e">
        <f>IF(piletype="P",0,IF(LEFT(C950,5)="Error",1,0))</f>
        <v>#DIV/0!</v>
      </c>
      <c r="S950" s="514" t="e">
        <f>IF(piletype="P",0,IF(LEFT(C950,5)="Warni",1,0))</f>
        <v>#DIV/0!</v>
      </c>
    </row>
    <row r="951" spans="2:19">
      <c r="C951" s="225"/>
      <c r="G951" s="167"/>
      <c r="I951" s="176"/>
      <c r="K951" s="168"/>
      <c r="R951" s="157"/>
      <c r="S951" s="157"/>
    </row>
    <row r="952" spans="2:19">
      <c r="B952" s="260" t="s">
        <v>587</v>
      </c>
      <c r="C952" s="521"/>
      <c r="D952" s="521"/>
      <c r="E952" s="521"/>
      <c r="F952" s="521"/>
      <c r="G952" s="521"/>
      <c r="H952" s="521"/>
      <c r="I952" s="521"/>
      <c r="J952" s="521"/>
      <c r="K952" s="521"/>
      <c r="L952" s="521"/>
      <c r="M952" s="521"/>
      <c r="R952" s="157"/>
      <c r="S952" s="157"/>
    </row>
    <row r="953" spans="2:19">
      <c r="B953" s="607" t="s">
        <v>922</v>
      </c>
      <c r="C953" s="607"/>
      <c r="D953" s="607"/>
      <c r="E953" s="607"/>
      <c r="F953" s="607"/>
      <c r="G953" s="607"/>
      <c r="H953" s="607"/>
      <c r="I953" s="607"/>
      <c r="J953" s="607"/>
      <c r="K953" s="607"/>
      <c r="L953" s="607"/>
      <c r="M953" s="607"/>
      <c r="R953" s="157"/>
      <c r="S953" s="157"/>
    </row>
    <row r="954" spans="2:19">
      <c r="B954" s="607"/>
      <c r="C954" s="607"/>
      <c r="D954" s="607"/>
      <c r="E954" s="607"/>
      <c r="F954" s="607"/>
      <c r="G954" s="607"/>
      <c r="H954" s="607"/>
      <c r="I954" s="607"/>
      <c r="J954" s="607"/>
      <c r="K954" s="607"/>
      <c r="L954" s="607"/>
      <c r="M954" s="607"/>
      <c r="R954" s="157"/>
      <c r="S954" s="157"/>
    </row>
    <row r="955" spans="2:19">
      <c r="B955" s="607"/>
      <c r="C955" s="607"/>
      <c r="D955" s="607"/>
      <c r="E955" s="607"/>
      <c r="F955" s="607"/>
      <c r="G955" s="607"/>
      <c r="H955" s="607"/>
      <c r="I955" s="607"/>
      <c r="J955" s="607"/>
      <c r="K955" s="607"/>
      <c r="L955" s="607"/>
      <c r="M955" s="607"/>
      <c r="R955" s="157"/>
      <c r="S955" s="157"/>
    </row>
    <row r="956" spans="2:19">
      <c r="C956" s="521"/>
      <c r="D956" s="521"/>
      <c r="E956" s="521"/>
      <c r="F956" s="521"/>
      <c r="G956" s="521"/>
      <c r="H956" s="521"/>
      <c r="I956" s="521"/>
      <c r="J956" s="521"/>
      <c r="K956" s="521"/>
      <c r="L956" s="521"/>
      <c r="M956" s="521"/>
      <c r="R956" s="157"/>
      <c r="S956" s="157"/>
    </row>
    <row r="957" spans="2:19">
      <c r="C957" s="281" t="s">
        <v>608</v>
      </c>
      <c r="D957" s="274"/>
      <c r="E957" s="274"/>
      <c r="F957" s="274"/>
      <c r="G957" s="274"/>
      <c r="H957" s="274"/>
      <c r="I957" s="274"/>
      <c r="J957" s="274"/>
      <c r="K957" s="274"/>
      <c r="L957" s="274"/>
      <c r="M957" s="274"/>
      <c r="R957" s="157"/>
      <c r="S957" s="157"/>
    </row>
    <row r="958" spans="2:19">
      <c r="C958" s="283" t="s">
        <v>248</v>
      </c>
      <c r="D958" s="274"/>
      <c r="E958" s="274"/>
      <c r="F958" s="274"/>
      <c r="G958" s="274"/>
      <c r="H958" s="274"/>
      <c r="I958" s="274"/>
      <c r="J958" s="274"/>
      <c r="K958" s="274"/>
      <c r="L958" s="274"/>
      <c r="M958" s="274"/>
      <c r="R958" s="157"/>
      <c r="S958" s="157"/>
    </row>
    <row r="959" spans="2:19" ht="14.25">
      <c r="C959" s="174" t="s">
        <v>250</v>
      </c>
      <c r="R959" s="157"/>
      <c r="S959" s="157"/>
    </row>
    <row r="960" spans="2:19">
      <c r="C960" s="275" t="s">
        <v>602</v>
      </c>
      <c r="R960" s="157"/>
      <c r="S960" s="157"/>
    </row>
    <row r="961" spans="1:19">
      <c r="C961" s="364" t="s">
        <v>450</v>
      </c>
      <c r="R961" s="157"/>
      <c r="S961" s="157"/>
    </row>
    <row r="962" spans="1:19">
      <c r="C962" s="276" t="s">
        <v>603</v>
      </c>
      <c r="R962" s="157"/>
      <c r="S962" s="157"/>
    </row>
    <row r="963" spans="1:19">
      <c r="C963" s="364" t="s">
        <v>451</v>
      </c>
      <c r="R963" s="157"/>
      <c r="S963" s="157"/>
    </row>
    <row r="964" spans="1:19">
      <c r="R964" s="157"/>
      <c r="S964" s="157"/>
    </row>
    <row r="965" spans="1:19">
      <c r="D965" s="277" t="s">
        <v>601</v>
      </c>
      <c r="E965" s="278"/>
      <c r="R965" s="157"/>
      <c r="S965" s="157"/>
    </row>
    <row r="966" spans="1:19" ht="15">
      <c r="D966" s="292" t="s">
        <v>452</v>
      </c>
      <c r="E966" s="278"/>
      <c r="F966" s="278"/>
      <c r="R966" s="157"/>
      <c r="S966" s="157"/>
    </row>
    <row r="967" spans="1:19">
      <c r="D967" s="280" t="s">
        <v>604</v>
      </c>
      <c r="E967" s="278">
        <f>pilewidth/2</f>
        <v>0</v>
      </c>
      <c r="F967" s="279" t="s">
        <v>516</v>
      </c>
      <c r="R967" s="157"/>
      <c r="S967" s="157"/>
    </row>
    <row r="968" spans="1:19" s="286" customFormat="1" ht="13.15">
      <c r="C968" s="285"/>
      <c r="D968" s="285"/>
      <c r="E968" s="285"/>
      <c r="R968" s="287"/>
      <c r="S968" s="287"/>
    </row>
    <row r="969" spans="1:19" ht="15">
      <c r="D969" s="279" t="s">
        <v>607</v>
      </c>
      <c r="E969" s="278"/>
      <c r="F969" s="278"/>
      <c r="R969" s="157"/>
      <c r="S969" s="157"/>
    </row>
    <row r="970" spans="1:19" s="286" customFormat="1">
      <c r="A970" s="284"/>
      <c r="B970" s="284"/>
      <c r="C970" s="284"/>
      <c r="D970" s="290" t="s">
        <v>605</v>
      </c>
      <c r="E970" s="291">
        <f>pilethickness</f>
        <v>0</v>
      </c>
      <c r="F970" s="292" t="s">
        <v>516</v>
      </c>
      <c r="G970" s="284"/>
      <c r="H970" s="284"/>
      <c r="I970" s="284"/>
      <c r="J970" s="284"/>
      <c r="K970" s="284"/>
      <c r="L970" s="284"/>
      <c r="M970" s="284"/>
      <c r="N970" s="284"/>
      <c r="O970" s="284"/>
      <c r="P970" s="284"/>
      <c r="Q970" s="284"/>
      <c r="R970" s="287"/>
      <c r="S970" s="287"/>
    </row>
    <row r="971" spans="1:19" s="286" customFormat="1">
      <c r="D971" s="293"/>
      <c r="E971" s="293"/>
      <c r="F971" s="293"/>
      <c r="R971" s="287"/>
      <c r="S971" s="287"/>
    </row>
    <row r="972" spans="1:19" s="286" customFormat="1">
      <c r="D972" s="294" t="s">
        <v>453</v>
      </c>
      <c r="E972" s="295"/>
      <c r="F972" s="295"/>
      <c r="R972" s="287"/>
      <c r="S972" s="287"/>
    </row>
    <row r="973" spans="1:19" s="286" customFormat="1">
      <c r="D973" s="296" t="s">
        <v>194</v>
      </c>
      <c r="E973" s="295">
        <v>0.56000000000000005</v>
      </c>
      <c r="F973" s="294"/>
      <c r="R973" s="287"/>
      <c r="S973" s="287"/>
    </row>
    <row r="974" spans="1:19" s="286" customFormat="1">
      <c r="R974" s="287"/>
      <c r="S974" s="287"/>
    </row>
    <row r="975" spans="1:19" s="286" customFormat="1" ht="14.25">
      <c r="D975" s="297" t="s">
        <v>249</v>
      </c>
      <c r="E975" s="314" t="e">
        <f>E967/E970</f>
        <v>#DIV/0!</v>
      </c>
      <c r="F975" s="298" t="e">
        <f>IF(E975&lt;H975,"&lt;",IF(E975=H975,"=","&gt;"))</f>
        <v>#DIV/0!</v>
      </c>
      <c r="G975" s="298" t="s">
        <v>402</v>
      </c>
      <c r="H975" s="299" t="e">
        <f>E973*(29000/pileyield)^0.5</f>
        <v>#DIV/0!</v>
      </c>
      <c r="I975" s="286" t="e">
        <f>IF(H975&gt;E975,"Therefore, Flanges are Nonslender.","Therefore, Flanges are Slender.")</f>
        <v>#DIV/0!</v>
      </c>
      <c r="R975" s="287"/>
      <c r="S975" s="287"/>
    </row>
    <row r="976" spans="1:19" s="286" customFormat="1" ht="13.15">
      <c r="A976" s="253" t="str">
        <f>A917</f>
        <v>PILE DATA - Cont'd</v>
      </c>
      <c r="R976" s="287"/>
      <c r="S976" s="287"/>
    </row>
    <row r="977" spans="2:19" s="286" customFormat="1">
      <c r="R977" s="287"/>
      <c r="S977" s="287"/>
    </row>
    <row r="978" spans="2:19" s="286" customFormat="1">
      <c r="B978" s="260" t="s">
        <v>587</v>
      </c>
      <c r="R978" s="287"/>
      <c r="S978" s="287"/>
    </row>
    <row r="979" spans="2:19" s="286" customFormat="1">
      <c r="R979" s="287"/>
      <c r="S979" s="287"/>
    </row>
    <row r="980" spans="2:19" s="286" customFormat="1">
      <c r="C980" s="281" t="s">
        <v>608</v>
      </c>
      <c r="R980" s="287"/>
      <c r="S980" s="287"/>
    </row>
    <row r="981" spans="2:19" s="286" customFormat="1">
      <c r="R981" s="287"/>
      <c r="S981" s="287"/>
    </row>
    <row r="982" spans="2:19" s="286" customFormat="1">
      <c r="D982" s="289" t="s">
        <v>606</v>
      </c>
      <c r="E982" s="300"/>
      <c r="F982" s="300"/>
      <c r="G982" s="300"/>
      <c r="H982" s="301"/>
      <c r="I982" s="301"/>
      <c r="J982" s="301"/>
      <c r="K982" s="301"/>
      <c r="L982" s="301"/>
      <c r="M982" s="301"/>
      <c r="N982" s="301"/>
      <c r="O982" s="301"/>
      <c r="P982" s="301"/>
      <c r="Q982" s="301"/>
      <c r="R982" s="287"/>
      <c r="S982" s="287"/>
    </row>
    <row r="983" spans="2:19" s="286" customFormat="1">
      <c r="D983" s="302" t="s">
        <v>454</v>
      </c>
      <c r="E983" s="303"/>
      <c r="F983" s="303"/>
      <c r="G983" s="303"/>
      <c r="R983" s="287"/>
      <c r="S983" s="287"/>
    </row>
    <row r="984" spans="2:19" s="286" customFormat="1">
      <c r="D984" s="304" t="s">
        <v>604</v>
      </c>
      <c r="E984" s="303">
        <f>IF(LEFT(piledesig,4)="HP14",11.25,IF(LEFT(piledesig,4)="HP12",9.5,IF(LEFT(piledesig,4)="HP10",7.5,IF(LEFT(piledesig,3)="HP8",5.75,0))))</f>
        <v>0</v>
      </c>
      <c r="F984" s="302" t="s">
        <v>251</v>
      </c>
      <c r="G984" s="303"/>
      <c r="R984" s="287"/>
      <c r="S984" s="287"/>
    </row>
    <row r="985" spans="2:19" s="286" customFormat="1">
      <c r="D985" s="293"/>
      <c r="E985" s="293"/>
      <c r="F985" s="293"/>
      <c r="G985" s="293"/>
      <c r="R985" s="287"/>
      <c r="S985" s="287"/>
    </row>
    <row r="986" spans="2:19" s="286" customFormat="1">
      <c r="D986" s="302" t="s">
        <v>252</v>
      </c>
      <c r="E986" s="303"/>
      <c r="F986" s="303"/>
      <c r="G986" s="303"/>
      <c r="R986" s="287"/>
      <c r="S986" s="287"/>
    </row>
    <row r="987" spans="2:19" s="286" customFormat="1">
      <c r="D987" s="304" t="s">
        <v>605</v>
      </c>
      <c r="E987" s="315">
        <f>pilethickness</f>
        <v>0</v>
      </c>
      <c r="F987" s="302" t="s">
        <v>516</v>
      </c>
      <c r="G987" s="303"/>
      <c r="R987" s="287"/>
      <c r="S987" s="287"/>
    </row>
    <row r="988" spans="2:19" s="286" customFormat="1">
      <c r="D988" s="293"/>
      <c r="E988" s="293"/>
      <c r="F988" s="293"/>
      <c r="G988" s="293"/>
      <c r="R988" s="287"/>
      <c r="S988" s="287"/>
    </row>
    <row r="989" spans="2:19" s="286" customFormat="1">
      <c r="D989" s="302" t="s">
        <v>455</v>
      </c>
      <c r="E989" s="303"/>
      <c r="F989" s="303"/>
      <c r="G989" s="303"/>
      <c r="R989" s="287"/>
      <c r="S989" s="287"/>
    </row>
    <row r="990" spans="2:19" s="286" customFormat="1">
      <c r="D990" s="304" t="s">
        <v>194</v>
      </c>
      <c r="E990" s="303">
        <v>1.49</v>
      </c>
      <c r="F990" s="303"/>
      <c r="G990" s="303"/>
      <c r="R990" s="287"/>
      <c r="S990" s="287"/>
    </row>
    <row r="991" spans="2:19" s="286" customFormat="1">
      <c r="R991" s="287"/>
      <c r="S991" s="287"/>
    </row>
    <row r="992" spans="2:19" s="286" customFormat="1" ht="14.25">
      <c r="D992" s="297" t="s">
        <v>249</v>
      </c>
      <c r="E992" s="299" t="e">
        <f>E984/E987</f>
        <v>#DIV/0!</v>
      </c>
      <c r="F992" s="298" t="e">
        <f>IF(E992&lt;H992,"&lt;",IF(E992=H992,"=","&gt;"))</f>
        <v>#DIV/0!</v>
      </c>
      <c r="G992" s="298" t="s">
        <v>402</v>
      </c>
      <c r="H992" s="299" t="e">
        <f>E990*(29000/pileyield)^0.5</f>
        <v>#DIV/0!</v>
      </c>
      <c r="I992" s="286" t="e">
        <f>IF(H992&gt;E992,"Therefore, Web is Nonslender.","Therefore, Web is Slender.")</f>
        <v>#DIV/0!</v>
      </c>
      <c r="R992" s="287"/>
      <c r="S992" s="287"/>
    </row>
    <row r="993" spans="3:19" s="286" customFormat="1">
      <c r="D993" s="297"/>
      <c r="E993" s="299"/>
      <c r="F993" s="298"/>
      <c r="G993" s="298"/>
      <c r="H993" s="299"/>
      <c r="R993" s="287"/>
      <c r="S993" s="287"/>
    </row>
    <row r="994" spans="3:19" s="286" customFormat="1">
      <c r="D994" s="361" t="e">
        <f>IF(AND(H975&lt;E975,H992&lt;E992),"Warning - Pile web and flanges are Slender.",IF(E975&gt;H975,"Warning - Pile flanges are Slender.",IF(E992&gt;H992,"Warning - Pile web is Slender.","")))</f>
        <v>#DIV/0!</v>
      </c>
      <c r="R994" s="287"/>
      <c r="S994" s="287" t="e">
        <f>IF(piletype="P",0,IF(LEFT(D994,5)="Warni",1,0))</f>
        <v>#DIV/0!</v>
      </c>
    </row>
    <row r="995" spans="3:19" s="286" customFormat="1">
      <c r="D995" s="361"/>
      <c r="R995" s="287"/>
      <c r="S995" s="287"/>
    </row>
    <row r="996" spans="3:19" s="286" customFormat="1">
      <c r="C996" s="281" t="s">
        <v>253</v>
      </c>
      <c r="D996" s="301"/>
      <c r="E996" s="301"/>
      <c r="F996" s="301"/>
      <c r="G996" s="301"/>
      <c r="H996" s="301"/>
      <c r="I996" s="301"/>
      <c r="J996" s="301"/>
      <c r="K996" s="301"/>
      <c r="L996" s="301"/>
      <c r="M996" s="301"/>
      <c r="N996" s="301"/>
      <c r="O996" s="301"/>
      <c r="P996" s="301"/>
      <c r="Q996" s="301"/>
      <c r="R996" s="287"/>
      <c r="S996" s="287"/>
    </row>
    <row r="997" spans="3:19" s="286" customFormat="1">
      <c r="C997" s="305" t="s">
        <v>487</v>
      </c>
      <c r="R997" s="287"/>
      <c r="S997" s="287"/>
    </row>
    <row r="998" spans="3:19" s="286" customFormat="1">
      <c r="C998" s="361" t="e">
        <f>IF(AND(H975&gt;=E975,H992&gt;=E992),O998,IF(AND(E975&gt;H975,E992&gt;H992),O999,IF(E975&gt;H975,O1000,IF(E992&gt;H992,O1001,"Error"))))</f>
        <v>#DIV/0!</v>
      </c>
      <c r="O998" s="287" t="s">
        <v>427</v>
      </c>
      <c r="R998" s="287"/>
      <c r="S998" s="287"/>
    </row>
    <row r="999" spans="3:19" s="286" customFormat="1">
      <c r="O999" s="287" t="s">
        <v>428</v>
      </c>
      <c r="R999" s="287"/>
      <c r="S999" s="287"/>
    </row>
    <row r="1000" spans="3:19" s="286" customFormat="1">
      <c r="D1000" s="277" t="s">
        <v>431</v>
      </c>
      <c r="E1000" s="301"/>
      <c r="F1000" s="301"/>
      <c r="G1000" s="301"/>
      <c r="H1000" s="301"/>
      <c r="I1000" s="301"/>
      <c r="J1000" s="301"/>
      <c r="K1000" s="301"/>
      <c r="L1000" s="301"/>
      <c r="M1000" s="301"/>
      <c r="N1000" s="301"/>
      <c r="O1000" s="287" t="s">
        <v>429</v>
      </c>
      <c r="R1000" s="287"/>
      <c r="S1000" s="287"/>
    </row>
    <row r="1001" spans="3:19" s="286" customFormat="1" ht="15">
      <c r="D1001" s="286" t="s">
        <v>41</v>
      </c>
      <c r="O1001" s="287" t="s">
        <v>430</v>
      </c>
      <c r="R1001" s="287"/>
      <c r="S1001" s="287"/>
    </row>
    <row r="1002" spans="3:19" s="286" customFormat="1" ht="14.25">
      <c r="D1002" s="297" t="s">
        <v>249</v>
      </c>
      <c r="E1002" s="299" t="e">
        <f>E975</f>
        <v>#DIV/0!</v>
      </c>
      <c r="F1002" s="298" t="e">
        <f>IF(E1002&lt;H1002,"&lt;",IF(E1002=H1002,"=","&gt;"))</f>
        <v>#DIV/0!</v>
      </c>
      <c r="G1002" s="298" t="s">
        <v>42</v>
      </c>
      <c r="H1002" s="299" t="e">
        <f>1.03*(29000/pileyield)^0.5</f>
        <v>#DIV/0!</v>
      </c>
      <c r="I1002" s="286" t="e">
        <f>IF(E1002&gt;H1002,"Therefore, use AASHTO Eq. 6.9.4.2.2-2.","Therefore, use AASHTO Eq. 6.9.4.2.2-1.")</f>
        <v>#DIV/0!</v>
      </c>
      <c r="R1002" s="287"/>
      <c r="S1002" s="287"/>
    </row>
    <row r="1003" spans="3:19" s="286" customFormat="1">
      <c r="R1003" s="287"/>
      <c r="S1003" s="287"/>
    </row>
    <row r="1004" spans="3:19" s="286" customFormat="1" ht="15.4">
      <c r="D1004" s="286" t="s">
        <v>43</v>
      </c>
      <c r="R1004" s="287"/>
      <c r="S1004" s="287"/>
    </row>
    <row r="1005" spans="3:19" s="286" customFormat="1" ht="15.4">
      <c r="D1005" s="286" t="s">
        <v>44</v>
      </c>
      <c r="R1005" s="287"/>
      <c r="S1005" s="287"/>
    </row>
    <row r="1006" spans="3:19" s="286" customFormat="1" ht="15">
      <c r="D1006" s="297" t="s">
        <v>45</v>
      </c>
      <c r="E1006" s="306" t="e">
        <f>IF(E1002&gt;H1002,0.69*29000/(pileyield*(E1002^2)),1.415-0.74*E1002*(pileyield/29000)^0.5)</f>
        <v>#DIV/0!</v>
      </c>
      <c r="R1006" s="287"/>
      <c r="S1006" s="287"/>
    </row>
    <row r="1007" spans="3:19" s="286" customFormat="1">
      <c r="R1007" s="287"/>
      <c r="S1007" s="287"/>
    </row>
    <row r="1008" spans="3:19" s="286" customFormat="1">
      <c r="D1008" s="277" t="s">
        <v>432</v>
      </c>
      <c r="E1008" s="301"/>
      <c r="F1008" s="301"/>
      <c r="G1008" s="301"/>
      <c r="H1008" s="301"/>
      <c r="I1008" s="301"/>
      <c r="J1008" s="301"/>
      <c r="K1008" s="301"/>
      <c r="L1008" s="301"/>
      <c r="M1008" s="301"/>
      <c r="N1008" s="301"/>
      <c r="O1008" s="301"/>
      <c r="P1008" s="301"/>
      <c r="Q1008" s="301"/>
      <c r="R1008" s="287"/>
      <c r="S1008" s="287"/>
    </row>
    <row r="1009" spans="4:19" s="286" customFormat="1" ht="15">
      <c r="D1009" s="286" t="s">
        <v>713</v>
      </c>
      <c r="R1009" s="287"/>
      <c r="S1009" s="287"/>
    </row>
    <row r="1010" spans="4:19" s="286" customFormat="1">
      <c r="D1010" s="297"/>
      <c r="R1010" s="287"/>
      <c r="S1010" s="287"/>
    </row>
    <row r="1011" spans="4:19" s="286" customFormat="1">
      <c r="D1011" s="307" t="s">
        <v>39</v>
      </c>
      <c r="R1011" s="287"/>
      <c r="S1011" s="287"/>
    </row>
    <row r="1012" spans="4:19" s="286" customFormat="1" ht="14.25">
      <c r="D1012" s="308" t="s">
        <v>714</v>
      </c>
      <c r="E1012" s="298">
        <f>pilearea</f>
        <v>0</v>
      </c>
      <c r="F1012" s="286" t="s">
        <v>715</v>
      </c>
      <c r="R1012" s="287"/>
      <c r="S1012" s="287"/>
    </row>
    <row r="1013" spans="4:19" s="286" customFormat="1">
      <c r="D1013" s="308"/>
      <c r="E1013" s="298"/>
      <c r="R1013" s="287"/>
      <c r="S1013" s="287"/>
    </row>
    <row r="1014" spans="4:19" s="286" customFormat="1" ht="15">
      <c r="D1014" s="307" t="s">
        <v>716</v>
      </c>
      <c r="R1014" s="287"/>
      <c r="S1014" s="287"/>
    </row>
    <row r="1015" spans="4:19" s="286" customFormat="1" ht="15">
      <c r="D1015" s="297" t="s">
        <v>717</v>
      </c>
      <c r="E1015" s="299" t="e">
        <f>(F1021-F1020)*F1022</f>
        <v>#DIV/0!</v>
      </c>
      <c r="F1015" s="309" t="s">
        <v>718</v>
      </c>
      <c r="R1015" s="287"/>
      <c r="S1015" s="287"/>
    </row>
    <row r="1016" spans="4:19" s="286" customFormat="1">
      <c r="D1016" s="297"/>
      <c r="E1016" s="298"/>
      <c r="F1016" s="309"/>
      <c r="R1016" s="287"/>
      <c r="S1016" s="287"/>
    </row>
    <row r="1017" spans="4:19" s="286" customFormat="1">
      <c r="D1017" s="297" t="s">
        <v>40</v>
      </c>
      <c r="E1017" s="298"/>
      <c r="R1017" s="287"/>
      <c r="S1017" s="287"/>
    </row>
    <row r="1018" spans="4:19" s="286" customFormat="1" ht="15">
      <c r="D1018" s="310" t="s">
        <v>719</v>
      </c>
      <c r="R1018" s="287"/>
      <c r="S1018" s="287"/>
    </row>
    <row r="1019" spans="4:19" s="286" customFormat="1" ht="14.25">
      <c r="F1019" s="309"/>
      <c r="G1019" s="311" t="s">
        <v>46</v>
      </c>
      <c r="H1019" s="312" t="e">
        <f>1.92*F1022*((29000/F1023)^0.5)*(1-0.34*((29000/F1023)^0.5)/E992)</f>
        <v>#DIV/0!</v>
      </c>
      <c r="I1019" s="286" t="s">
        <v>516</v>
      </c>
      <c r="J1019" s="309"/>
      <c r="R1019" s="287"/>
      <c r="S1019" s="287"/>
    </row>
    <row r="1020" spans="4:19" s="286" customFormat="1" ht="15">
      <c r="E1020" s="308" t="s">
        <v>47</v>
      </c>
      <c r="F1020" s="299" t="e">
        <f>MIN(F1021,H1019)</f>
        <v>#DIV/0!</v>
      </c>
      <c r="G1020" s="286" t="s">
        <v>516</v>
      </c>
      <c r="R1020" s="287"/>
      <c r="S1020" s="287"/>
    </row>
    <row r="1021" spans="4:19" s="286" customFormat="1">
      <c r="E1021" s="297" t="s">
        <v>604</v>
      </c>
      <c r="F1021" s="298">
        <f>E984</f>
        <v>0</v>
      </c>
      <c r="G1021" s="286" t="s">
        <v>516</v>
      </c>
      <c r="R1021" s="287"/>
      <c r="S1021" s="287"/>
    </row>
    <row r="1022" spans="4:19" s="286" customFormat="1">
      <c r="E1022" s="297" t="s">
        <v>605</v>
      </c>
      <c r="F1022" s="298">
        <f>E987</f>
        <v>0</v>
      </c>
      <c r="G1022" s="286" t="s">
        <v>516</v>
      </c>
      <c r="R1022" s="287"/>
      <c r="S1022" s="287"/>
    </row>
    <row r="1023" spans="4:19" s="286" customFormat="1" ht="15">
      <c r="E1023" s="297" t="s">
        <v>48</v>
      </c>
      <c r="F1023" s="306" t="e">
        <f>IF(E975&gt;H975,E1006,1)*pileyield</f>
        <v>#DIV/0!</v>
      </c>
      <c r="G1023" s="307" t="s">
        <v>49</v>
      </c>
      <c r="R1023" s="287"/>
      <c r="S1023" s="287"/>
    </row>
    <row r="1024" spans="4:19" s="286" customFormat="1">
      <c r="R1024" s="287"/>
      <c r="S1024" s="287"/>
    </row>
    <row r="1025" spans="2:19" s="286" customFormat="1" ht="15">
      <c r="D1025" s="286" t="s">
        <v>50</v>
      </c>
      <c r="R1025" s="287"/>
      <c r="S1025" s="287"/>
    </row>
    <row r="1026" spans="2:19" s="286" customFormat="1" ht="15">
      <c r="D1026" s="297" t="s">
        <v>51</v>
      </c>
      <c r="E1026" s="306" t="e">
        <f>E1015/E1012</f>
        <v>#DIV/0!</v>
      </c>
      <c r="R1026" s="287"/>
      <c r="S1026" s="287"/>
    </row>
    <row r="1027" spans="2:19" s="286" customFormat="1">
      <c r="R1027" s="287"/>
      <c r="S1027" s="287"/>
    </row>
    <row r="1028" spans="2:19">
      <c r="C1028" s="355" t="e">
        <f>IF(AND(H975&gt;=E975,H992&gt;=E992),"",IF(AND(E975&gt;H975,E992&gt;H992),O1028,IF(E975&gt;H975,O1029,IF(E992&gt;H992,O1030,""))))</f>
        <v>#DIV/0!</v>
      </c>
      <c r="O1028" s="558" t="s">
        <v>488</v>
      </c>
      <c r="R1028" s="157"/>
      <c r="S1028" s="157"/>
    </row>
    <row r="1029" spans="2:19">
      <c r="C1029" s="133" t="s">
        <v>489</v>
      </c>
      <c r="D1029" s="288" t="e">
        <f>IF(AND(E975&gt;H975,E992&gt;H992),E1006*E1026,IF(E975&gt;H975,E1006,IF(E992&gt;H992,E1026,1)))</f>
        <v>#DIV/0!</v>
      </c>
      <c r="O1029" s="558" t="s">
        <v>491</v>
      </c>
      <c r="R1029" s="157"/>
      <c r="S1029" s="157"/>
    </row>
    <row r="1030" spans="2:19">
      <c r="O1030" s="558" t="s">
        <v>492</v>
      </c>
      <c r="R1030" s="157"/>
      <c r="S1030" s="157"/>
    </row>
    <row r="1031" spans="2:19">
      <c r="B1031" s="153"/>
      <c r="C1031" s="281" t="s">
        <v>588</v>
      </c>
      <c r="D1031" s="153"/>
      <c r="E1031" s="153"/>
      <c r="F1031" s="153"/>
      <c r="G1031" s="153"/>
      <c r="H1031" s="153"/>
      <c r="I1031" s="153"/>
      <c r="J1031" s="153"/>
      <c r="K1031" s="153"/>
      <c r="L1031" s="153"/>
      <c r="M1031" s="153"/>
      <c r="R1031" s="157"/>
      <c r="S1031" s="157"/>
    </row>
    <row r="1032" spans="2:19">
      <c r="B1032" s="153"/>
      <c r="C1032" s="608" t="s">
        <v>411</v>
      </c>
      <c r="D1032" s="608"/>
      <c r="E1032" s="608"/>
      <c r="F1032" s="608"/>
      <c r="G1032" s="608"/>
      <c r="H1032" s="608"/>
      <c r="I1032" s="608"/>
      <c r="J1032" s="608"/>
      <c r="K1032" s="608"/>
      <c r="L1032" s="608"/>
      <c r="M1032" s="608"/>
      <c r="R1032" s="157"/>
      <c r="S1032" s="157"/>
    </row>
    <row r="1033" spans="2:19">
      <c r="B1033" s="153"/>
      <c r="C1033" s="608"/>
      <c r="D1033" s="608"/>
      <c r="E1033" s="608"/>
      <c r="F1033" s="608"/>
      <c r="G1033" s="608"/>
      <c r="H1033" s="608"/>
      <c r="I1033" s="608"/>
      <c r="J1033" s="608"/>
      <c r="K1033" s="608"/>
      <c r="L1033" s="608"/>
      <c r="M1033" s="608"/>
      <c r="R1033" s="157"/>
      <c r="S1033" s="157"/>
    </row>
    <row r="1034" spans="2:19">
      <c r="B1034" s="153"/>
      <c r="C1034" s="608"/>
      <c r="D1034" s="608"/>
      <c r="E1034" s="608"/>
      <c r="F1034" s="608"/>
      <c r="G1034" s="608"/>
      <c r="H1034" s="608"/>
      <c r="I1034" s="608"/>
      <c r="J1034" s="608"/>
      <c r="K1034" s="608"/>
      <c r="L1034" s="608"/>
      <c r="M1034" s="608"/>
      <c r="R1034" s="157"/>
      <c r="S1034" s="157"/>
    </row>
    <row r="1035" spans="2:19">
      <c r="B1035" s="153"/>
      <c r="C1035" s="153"/>
      <c r="D1035" s="153"/>
      <c r="E1035" s="153"/>
      <c r="F1035" s="153"/>
      <c r="G1035" s="153"/>
      <c r="H1035" s="153"/>
      <c r="I1035" s="153"/>
      <c r="J1035" s="153"/>
      <c r="K1035" s="153"/>
      <c r="L1035" s="153"/>
      <c r="M1035" s="153"/>
      <c r="R1035" s="157"/>
      <c r="S1035" s="157"/>
    </row>
    <row r="1036" spans="2:19">
      <c r="B1036" s="153"/>
      <c r="C1036" s="578" t="s">
        <v>505</v>
      </c>
      <c r="D1036" s="578"/>
      <c r="E1036" s="578"/>
      <c r="F1036" s="578"/>
      <c r="G1036" s="578"/>
      <c r="H1036" s="578"/>
      <c r="I1036" s="578"/>
      <c r="J1036" s="578"/>
      <c r="K1036" s="578"/>
      <c r="L1036" s="578"/>
      <c r="M1036" s="578"/>
      <c r="N1036" s="153"/>
      <c r="R1036" s="157"/>
      <c r="S1036" s="157"/>
    </row>
    <row r="1037" spans="2:19">
      <c r="B1037" s="153"/>
      <c r="C1037" s="578"/>
      <c r="D1037" s="578"/>
      <c r="E1037" s="578"/>
      <c r="F1037" s="578"/>
      <c r="G1037" s="578"/>
      <c r="H1037" s="578"/>
      <c r="I1037" s="578"/>
      <c r="J1037" s="578"/>
      <c r="K1037" s="578"/>
      <c r="L1037" s="578"/>
      <c r="M1037" s="578"/>
      <c r="N1037" s="153"/>
      <c r="R1037" s="157"/>
      <c r="S1037" s="157"/>
    </row>
    <row r="1038" spans="2:19">
      <c r="B1038" s="153"/>
      <c r="C1038" s="578"/>
      <c r="D1038" s="578"/>
      <c r="E1038" s="578"/>
      <c r="F1038" s="578"/>
      <c r="G1038" s="578"/>
      <c r="H1038" s="578"/>
      <c r="I1038" s="578"/>
      <c r="J1038" s="578"/>
      <c r="K1038" s="578"/>
      <c r="L1038" s="578"/>
      <c r="M1038" s="578"/>
      <c r="N1038" s="153"/>
      <c r="R1038" s="157"/>
      <c r="S1038" s="157"/>
    </row>
    <row r="1039" spans="2:19">
      <c r="B1039" s="153"/>
      <c r="C1039" s="153"/>
      <c r="D1039" s="153"/>
      <c r="E1039" s="153"/>
      <c r="F1039" s="153"/>
      <c r="G1039" s="153"/>
      <c r="H1039" s="153"/>
      <c r="I1039" s="153"/>
      <c r="J1039" s="153"/>
      <c r="K1039" s="153"/>
      <c r="L1039" s="153"/>
      <c r="M1039" s="153"/>
      <c r="R1039" s="157"/>
      <c r="S1039" s="157"/>
    </row>
    <row r="1040" spans="2:19">
      <c r="B1040" s="153"/>
      <c r="C1040" s="174" t="str">
        <f>"Unbraced length, l = "&amp;FIXED(inflection,0,TRUE)&amp;" - "&amp;FIXED(inflection2,0,TRUE)&amp;" ="</f>
        <v>Unbraced length, l = 0 - 0 =</v>
      </c>
      <c r="D1040" s="153"/>
      <c r="F1040" s="177">
        <f>inflection-inflection2</f>
        <v>0</v>
      </c>
      <c r="G1040" s="125" t="s">
        <v>585</v>
      </c>
      <c r="H1040" s="165">
        <f>unbraced/12</f>
        <v>0</v>
      </c>
      <c r="I1040" s="131" t="s">
        <v>337</v>
      </c>
      <c r="J1040" s="153"/>
      <c r="K1040" s="153"/>
      <c r="L1040" s="153"/>
      <c r="M1040" s="153"/>
      <c r="R1040" s="157"/>
      <c r="S1040" s="157"/>
    </row>
    <row r="1041" spans="1:19">
      <c r="B1041" s="153"/>
      <c r="C1041" s="153"/>
      <c r="D1041" s="153"/>
      <c r="E1041" s="153"/>
      <c r="F1041" s="153"/>
      <c r="G1041" s="153"/>
      <c r="H1041" s="153"/>
      <c r="I1041" s="153"/>
      <c r="J1041" s="153"/>
      <c r="K1041" s="153"/>
      <c r="L1041" s="153"/>
      <c r="M1041" s="153"/>
      <c r="R1041" s="157"/>
      <c r="S1041" s="157"/>
    </row>
    <row r="1042" spans="1:19" ht="15.4">
      <c r="B1042" s="153"/>
      <c r="C1042" s="284" t="s">
        <v>926</v>
      </c>
      <c r="G1042" s="153"/>
      <c r="H1042" s="153"/>
      <c r="I1042" s="153"/>
      <c r="J1042" s="153"/>
      <c r="K1042" s="153"/>
      <c r="L1042" s="153"/>
      <c r="M1042" s="153"/>
      <c r="R1042" s="157"/>
      <c r="S1042" s="157"/>
    </row>
    <row r="1043" spans="1:19" ht="15">
      <c r="B1043" s="153"/>
      <c r="C1043" s="133" t="s">
        <v>412</v>
      </c>
      <c r="D1043" s="228" t="e">
        <f>(PI())^2*29000*pilearea/(1*unbraced/pilegyration)^2</f>
        <v>#DIV/0!</v>
      </c>
      <c r="E1043" s="125" t="s">
        <v>495</v>
      </c>
      <c r="G1043" s="153"/>
      <c r="H1043" s="153"/>
      <c r="I1043" s="153"/>
      <c r="J1043" s="153"/>
      <c r="K1043" s="153"/>
      <c r="L1043" s="153"/>
      <c r="M1043" s="153"/>
      <c r="R1043" s="157"/>
      <c r="S1043" s="157"/>
    </row>
    <row r="1044" spans="1:19" ht="13.15">
      <c r="A1044" s="253" t="str">
        <f>A976</f>
        <v>PILE DATA - Cont'd</v>
      </c>
      <c r="C1044" s="153"/>
      <c r="D1044" s="153"/>
      <c r="E1044" s="153"/>
      <c r="F1044" s="153"/>
      <c r="G1044" s="153"/>
      <c r="H1044" s="153"/>
      <c r="I1044" s="153"/>
      <c r="J1044" s="153"/>
      <c r="K1044" s="153"/>
      <c r="L1044" s="153"/>
      <c r="M1044" s="153"/>
      <c r="R1044" s="157"/>
      <c r="S1044" s="157"/>
    </row>
    <row r="1045" spans="1:19">
      <c r="A1045" s="284"/>
      <c r="B1045" s="284"/>
      <c r="C1045" s="556"/>
      <c r="D1045" s="556"/>
      <c r="E1045" s="556"/>
      <c r="F1045" s="556"/>
      <c r="G1045" s="556"/>
      <c r="H1045" s="556"/>
      <c r="I1045" s="556"/>
      <c r="J1045" s="556"/>
      <c r="K1045" s="556"/>
      <c r="L1045" s="556"/>
      <c r="M1045" s="556"/>
      <c r="R1045" s="157"/>
      <c r="S1045" s="157"/>
    </row>
    <row r="1046" spans="1:19">
      <c r="B1046" s="260" t="s">
        <v>587</v>
      </c>
      <c r="C1046" s="556"/>
      <c r="D1046" s="556"/>
      <c r="E1046" s="556"/>
      <c r="F1046" s="556"/>
      <c r="G1046" s="556"/>
      <c r="H1046" s="556"/>
      <c r="I1046" s="556"/>
      <c r="J1046" s="556"/>
      <c r="K1046" s="556"/>
      <c r="L1046" s="556"/>
      <c r="M1046" s="556"/>
      <c r="R1046" s="157"/>
      <c r="S1046" s="157"/>
    </row>
    <row r="1047" spans="1:19">
      <c r="A1047" s="284"/>
      <c r="B1047" s="139" t="s">
        <v>586</v>
      </c>
      <c r="C1047" s="556"/>
      <c r="D1047" s="556"/>
      <c r="E1047" s="556"/>
      <c r="F1047" s="556"/>
      <c r="G1047" s="556"/>
      <c r="H1047" s="556"/>
      <c r="I1047" s="556"/>
      <c r="J1047" s="556"/>
      <c r="K1047" s="556"/>
      <c r="L1047" s="556"/>
      <c r="M1047" s="556"/>
      <c r="R1047" s="157"/>
      <c r="S1047" s="157"/>
    </row>
    <row r="1048" spans="1:19">
      <c r="B1048" s="556"/>
      <c r="C1048" s="556"/>
      <c r="D1048" s="556"/>
      <c r="E1048" s="556"/>
      <c r="F1048" s="556"/>
      <c r="G1048" s="556"/>
      <c r="H1048" s="556"/>
      <c r="I1048" s="556"/>
      <c r="J1048" s="556"/>
      <c r="K1048" s="556"/>
      <c r="L1048" s="556"/>
      <c r="M1048" s="556"/>
      <c r="R1048" s="157"/>
      <c r="S1048" s="157"/>
    </row>
    <row r="1049" spans="1:19">
      <c r="B1049" s="153"/>
      <c r="C1049" s="260" t="s">
        <v>497</v>
      </c>
      <c r="D1049" s="153"/>
      <c r="E1049" s="153"/>
      <c r="F1049" s="153"/>
      <c r="G1049" s="153"/>
      <c r="H1049" s="153"/>
      <c r="I1049" s="153"/>
      <c r="J1049" s="153"/>
      <c r="K1049" s="153"/>
      <c r="L1049" s="153"/>
      <c r="M1049" s="153"/>
      <c r="R1049" s="157"/>
      <c r="S1049" s="157"/>
    </row>
    <row r="1050" spans="1:19" ht="15">
      <c r="B1050" s="153"/>
      <c r="C1050" s="284" t="s">
        <v>927</v>
      </c>
      <c r="F1050" s="153"/>
      <c r="G1050" s="153"/>
      <c r="H1050" s="153"/>
      <c r="I1050" s="153"/>
      <c r="J1050" s="153"/>
      <c r="K1050" s="153"/>
      <c r="L1050" s="153"/>
      <c r="M1050" s="153"/>
      <c r="R1050" s="157"/>
      <c r="S1050" s="157"/>
    </row>
    <row r="1051" spans="1:19" ht="15">
      <c r="B1051" s="153"/>
      <c r="C1051" s="133" t="s">
        <v>494</v>
      </c>
      <c r="D1051" s="228" t="e">
        <f>D1029*pileyield*pilearea</f>
        <v>#DIV/0!</v>
      </c>
      <c r="E1051" s="125" t="s">
        <v>495</v>
      </c>
      <c r="F1051" s="153"/>
      <c r="G1051" s="153"/>
      <c r="H1051" s="153"/>
      <c r="I1051" s="153"/>
      <c r="J1051" s="153"/>
      <c r="K1051" s="153"/>
      <c r="L1051" s="153"/>
      <c r="M1051" s="153"/>
      <c r="R1051" s="157"/>
      <c r="S1051" s="157"/>
    </row>
    <row r="1052" spans="1:19">
      <c r="B1052" s="153"/>
      <c r="G1052" s="153"/>
      <c r="H1052" s="153"/>
      <c r="I1052" s="153"/>
      <c r="J1052" s="153"/>
      <c r="K1052" s="153"/>
      <c r="L1052" s="153"/>
      <c r="M1052" s="153"/>
      <c r="R1052" s="157"/>
      <c r="S1052" s="157"/>
    </row>
    <row r="1053" spans="1:19" ht="15.4">
      <c r="B1053" s="153"/>
      <c r="C1053" s="125" t="s">
        <v>413</v>
      </c>
      <c r="G1053" s="153"/>
      <c r="H1053" s="153"/>
      <c r="I1053" s="153"/>
      <c r="J1053" s="153"/>
      <c r="K1053" s="153"/>
      <c r="L1053" s="153"/>
      <c r="M1053" s="153"/>
      <c r="R1053" s="157"/>
      <c r="S1053" s="157"/>
    </row>
    <row r="1054" spans="1:19" ht="15">
      <c r="B1054" s="153"/>
      <c r="C1054" s="125" t="s">
        <v>414</v>
      </c>
      <c r="D1054" s="153"/>
      <c r="E1054" s="153"/>
      <c r="F1054" s="153"/>
      <c r="G1054" s="153"/>
      <c r="H1054" s="153"/>
      <c r="I1054" s="153"/>
      <c r="J1054" s="153"/>
      <c r="K1054" s="153"/>
      <c r="L1054" s="153"/>
      <c r="M1054" s="153"/>
      <c r="R1054" s="157"/>
      <c r="S1054" s="157"/>
    </row>
    <row r="1055" spans="1:19">
      <c r="B1055" s="153"/>
      <c r="E1055" s="153"/>
      <c r="F1055" s="153"/>
      <c r="G1055" s="153"/>
      <c r="H1055" s="153"/>
      <c r="I1055" s="153"/>
      <c r="J1055" s="153"/>
      <c r="K1055" s="153"/>
      <c r="L1055" s="153"/>
      <c r="M1055" s="153"/>
      <c r="R1055" s="157"/>
      <c r="S1055" s="157"/>
    </row>
    <row r="1056" spans="1:19" ht="15">
      <c r="B1056" s="153"/>
      <c r="D1056" s="133" t="s">
        <v>415</v>
      </c>
      <c r="E1056" s="323" t="str">
        <f>IF(pilearea="","",D1043/D1051)</f>
        <v/>
      </c>
      <c r="F1056" s="139" t="str">
        <f>IF(E1056&lt;0.44, "Use AASHTO Equation 6.9.4.1.1-2.","Use AASHTO Equation 6.9.4.1.1-1.")</f>
        <v>Use AASHTO Equation 6.9.4.1.1-1.</v>
      </c>
      <c r="G1056" s="153"/>
      <c r="H1056" s="153"/>
      <c r="I1056" s="153"/>
      <c r="J1056" s="153"/>
      <c r="K1056" s="153"/>
      <c r="L1056" s="153"/>
      <c r="M1056" s="153"/>
      <c r="R1056" s="157"/>
      <c r="S1056" s="157"/>
    </row>
    <row r="1057" spans="2:19">
      <c r="B1057" s="153"/>
      <c r="C1057" s="139"/>
      <c r="D1057" s="153"/>
      <c r="E1057" s="153"/>
      <c r="F1057" s="153"/>
      <c r="G1057" s="153"/>
      <c r="H1057" s="153"/>
      <c r="I1057" s="153"/>
      <c r="J1057" s="153"/>
      <c r="K1057" s="153"/>
      <c r="L1057" s="153"/>
      <c r="M1057" s="153"/>
      <c r="R1057" s="157"/>
      <c r="S1057" s="157"/>
    </row>
    <row r="1058" spans="2:19" ht="15.4">
      <c r="B1058" s="153"/>
      <c r="C1058" s="284" t="s">
        <v>929</v>
      </c>
      <c r="F1058" s="153"/>
      <c r="G1058" s="153"/>
      <c r="H1058" s="153"/>
      <c r="I1058" s="153"/>
      <c r="J1058" s="153"/>
      <c r="K1058" s="153"/>
      <c r="L1058" s="153"/>
      <c r="M1058" s="153"/>
      <c r="R1058" s="157"/>
      <c r="S1058" s="157"/>
    </row>
    <row r="1059" spans="2:19" ht="15">
      <c r="B1059" s="153"/>
      <c r="C1059" s="284" t="s">
        <v>930</v>
      </c>
      <c r="D1059" s="153"/>
      <c r="E1059" s="153"/>
      <c r="F1059" s="153"/>
      <c r="G1059" s="153"/>
      <c r="H1059" s="153"/>
      <c r="I1059" s="153"/>
      <c r="J1059" s="153"/>
      <c r="K1059" s="153"/>
      <c r="L1059" s="153"/>
      <c r="M1059" s="153"/>
      <c r="R1059" s="157"/>
      <c r="S1059" s="157"/>
    </row>
    <row r="1060" spans="2:19" ht="15">
      <c r="B1060" s="153"/>
      <c r="C1060" s="133" t="s">
        <v>496</v>
      </c>
      <c r="D1060" s="228" t="e">
        <f>IF(D1043/D1051&lt;0.44,MIN(0.877*D1043,0.66*pileyield*pilearea),MIN((0.658^(D1051/D1043))*D1051,0.66*pileyield*pilearea))</f>
        <v>#DIV/0!</v>
      </c>
      <c r="E1060" s="125" t="e">
        <f>"kips"&amp;IF(D1060=0.66*pileyield*pilearea,", Limited by DM-4 6.15.3","")</f>
        <v>#DIV/0!</v>
      </c>
      <c r="F1060" s="153"/>
      <c r="G1060" s="153"/>
      <c r="H1060" s="153"/>
      <c r="I1060" s="153"/>
      <c r="J1060" s="153"/>
      <c r="K1060" s="153"/>
      <c r="L1060" s="153"/>
      <c r="M1060" s="153"/>
      <c r="R1060" s="157"/>
      <c r="S1060" s="157"/>
    </row>
    <row r="1061" spans="2:19">
      <c r="B1061" s="153"/>
      <c r="C1061" s="153"/>
      <c r="D1061" s="153"/>
      <c r="E1061" s="153"/>
      <c r="F1061" s="153"/>
      <c r="G1061" s="153"/>
      <c r="H1061" s="153"/>
      <c r="I1061" s="153"/>
      <c r="J1061" s="153"/>
      <c r="K1061" s="153"/>
      <c r="L1061" s="153"/>
      <c r="M1061" s="153"/>
      <c r="R1061" s="157"/>
      <c r="S1061" s="157"/>
    </row>
    <row r="1062" spans="2:19">
      <c r="B1062" s="153"/>
      <c r="C1062" s="260" t="s">
        <v>499</v>
      </c>
      <c r="D1062" s="153"/>
      <c r="E1062" s="153"/>
      <c r="F1062" s="153"/>
      <c r="G1062" s="153"/>
      <c r="H1062" s="153"/>
      <c r="I1062" s="153"/>
      <c r="J1062" s="153"/>
      <c r="K1062" s="153"/>
      <c r="L1062" s="153"/>
      <c r="M1062" s="153"/>
      <c r="R1062" s="157"/>
      <c r="S1062" s="157"/>
    </row>
    <row r="1063" spans="2:19" ht="15">
      <c r="B1063" s="153"/>
      <c r="C1063" s="125" t="s">
        <v>667</v>
      </c>
      <c r="F1063" s="153"/>
      <c r="G1063" s="153"/>
      <c r="I1063" s="139" t="e">
        <f>"("&amp;G929&amp;")("&amp;FIXED(D1060,2,TRUE)&amp;") "</f>
        <v>#DIV/0!</v>
      </c>
      <c r="J1063" s="153"/>
      <c r="K1063" s="153"/>
      <c r="L1063" s="153"/>
      <c r="M1063" s="153"/>
      <c r="R1063" s="157"/>
      <c r="S1063" s="157"/>
    </row>
    <row r="1064" spans="2:19" ht="15">
      <c r="B1064" s="153"/>
      <c r="C1064" s="133" t="s">
        <v>501</v>
      </c>
      <c r="D1064" s="228" t="e">
        <f>comp2resfact*D1060</f>
        <v>#DIV/0!</v>
      </c>
      <c r="E1064" s="125" t="s">
        <v>338</v>
      </c>
      <c r="F1064" s="153"/>
      <c r="G1064" s="153"/>
      <c r="H1064" s="153"/>
      <c r="I1064" s="153"/>
      <c r="J1064" s="153"/>
      <c r="K1064" s="153"/>
      <c r="L1064" s="153"/>
      <c r="M1064" s="153"/>
      <c r="R1064" s="157"/>
      <c r="S1064" s="157"/>
    </row>
    <row r="1065" spans="2:19">
      <c r="B1065" s="153"/>
      <c r="C1065" s="153"/>
      <c r="D1065" s="153"/>
      <c r="E1065" s="153"/>
      <c r="F1065" s="153"/>
      <c r="G1065" s="153"/>
      <c r="H1065" s="153"/>
      <c r="I1065" s="153"/>
      <c r="J1065" s="153"/>
      <c r="K1065" s="153"/>
      <c r="L1065" s="153"/>
      <c r="M1065" s="153"/>
      <c r="R1065" s="157"/>
      <c r="S1065" s="157"/>
    </row>
    <row r="1066" spans="2:19">
      <c r="B1066" s="260" t="s">
        <v>416</v>
      </c>
      <c r="C1066" s="153"/>
      <c r="D1066" s="153"/>
      <c r="E1066" s="153"/>
      <c r="F1066" s="153"/>
      <c r="G1066" s="153"/>
      <c r="H1066" s="153"/>
      <c r="I1066" s="153"/>
      <c r="J1066" s="153"/>
      <c r="K1066" s="153"/>
      <c r="L1066" s="153"/>
      <c r="M1066" s="153"/>
      <c r="R1066" s="157"/>
      <c r="S1066" s="157"/>
    </row>
    <row r="1067" spans="2:19">
      <c r="B1067" s="607" t="s">
        <v>956</v>
      </c>
      <c r="C1067" s="578"/>
      <c r="D1067" s="578"/>
      <c r="E1067" s="578"/>
      <c r="F1067" s="578"/>
      <c r="G1067" s="578"/>
      <c r="H1067" s="578"/>
      <c r="I1067" s="578"/>
      <c r="J1067" s="578"/>
      <c r="K1067" s="578"/>
      <c r="L1067" s="578"/>
      <c r="M1067" s="578"/>
      <c r="R1067" s="157"/>
      <c r="S1067" s="157"/>
    </row>
    <row r="1068" spans="2:19">
      <c r="B1068" s="578"/>
      <c r="C1068" s="578"/>
      <c r="D1068" s="578"/>
      <c r="E1068" s="578"/>
      <c r="F1068" s="578"/>
      <c r="G1068" s="578"/>
      <c r="H1068" s="578"/>
      <c r="I1068" s="578"/>
      <c r="J1068" s="578"/>
      <c r="K1068" s="578"/>
      <c r="L1068" s="578"/>
      <c r="M1068" s="578"/>
      <c r="R1068" s="157"/>
      <c r="S1068" s="157"/>
    </row>
    <row r="1069" spans="2:19">
      <c r="B1069" s="153"/>
      <c r="C1069" s="153"/>
      <c r="D1069" s="153"/>
      <c r="E1069" s="153"/>
      <c r="F1069" s="153"/>
      <c r="G1069" s="153"/>
      <c r="H1069" s="153"/>
      <c r="I1069" s="153"/>
      <c r="J1069" s="153"/>
      <c r="K1069" s="153"/>
      <c r="L1069" s="153"/>
      <c r="M1069" s="153"/>
      <c r="R1069" s="157"/>
      <c r="S1069" s="157"/>
    </row>
    <row r="1070" spans="2:19">
      <c r="B1070" s="153"/>
      <c r="C1070" s="260" t="s">
        <v>399</v>
      </c>
      <c r="D1070" s="153"/>
      <c r="E1070" s="153"/>
      <c r="F1070" s="153"/>
      <c r="G1070" s="153"/>
      <c r="H1070" s="153"/>
      <c r="I1070" s="153"/>
      <c r="J1070" s="153"/>
      <c r="K1070" s="153"/>
      <c r="L1070" s="153"/>
      <c r="M1070" s="153"/>
      <c r="R1070" s="157"/>
      <c r="S1070" s="157"/>
    </row>
    <row r="1071" spans="2:19" ht="15">
      <c r="B1071" s="153"/>
      <c r="C1071" s="125" t="s">
        <v>401</v>
      </c>
      <c r="I1071" s="181"/>
      <c r="J1071" s="153"/>
      <c r="K1071" s="153"/>
      <c r="L1071" s="153"/>
      <c r="M1071" s="153"/>
      <c r="R1071" s="157"/>
      <c r="S1071" s="157"/>
    </row>
    <row r="1072" spans="2:19" ht="15">
      <c r="B1072" s="153"/>
      <c r="C1072" s="229" t="s">
        <v>400</v>
      </c>
      <c r="D1072" s="325" t="e">
        <f>G547/(2*G548)</f>
        <v>#DIV/0!</v>
      </c>
      <c r="H1072" s="179" t="str">
        <f>IF(H486="H",+H497&amp;"/(2*"&amp;+H498&amp;") = ",IF(H486="P",+H497&amp;"/"&amp;+H498&amp;" = ",""))</f>
        <v/>
      </c>
      <c r="I1072" s="186" t="str">
        <f>IF(H486="H",H497/2/H498,IF(H486="P",+H497/H498,""))</f>
        <v/>
      </c>
      <c r="J1072" s="153"/>
      <c r="K1072" s="153"/>
      <c r="L1072" s="153"/>
      <c r="M1072" s="153"/>
      <c r="R1072" s="157"/>
      <c r="S1072" s="157"/>
    </row>
    <row r="1073" spans="2:19" ht="15.4">
      <c r="B1073" s="153"/>
      <c r="C1073" s="284" t="s">
        <v>841</v>
      </c>
      <c r="H1073" s="228"/>
      <c r="I1073" s="174"/>
      <c r="J1073" s="153"/>
      <c r="K1073" s="153"/>
      <c r="L1073" s="153"/>
      <c r="M1073" s="153"/>
      <c r="R1073" s="157"/>
      <c r="S1073" s="157"/>
    </row>
    <row r="1074" spans="2:19" ht="15">
      <c r="B1074" s="153"/>
      <c r="C1074" s="229" t="s">
        <v>403</v>
      </c>
      <c r="D1074" s="326" t="e">
        <f>0.38*(29000/pileyield)^0.5</f>
        <v>#DIV/0!</v>
      </c>
      <c r="E1074" s="161"/>
      <c r="H1074" s="217" t="str">
        <f>IF(H486="H","0.382*(29000/"&amp;+H495&amp;")^0.5 = ",IF(H486="P","2.00*(29000/"&amp;+H495&amp;")^0.5 = ",""))</f>
        <v/>
      </c>
      <c r="I1074" s="186" t="str">
        <f>IF(H486="H",0.382*(29000/H495)^0.5,IF(H486="P",2*(29000/H495)^0.5,""))</f>
        <v/>
      </c>
      <c r="J1074" s="153"/>
      <c r="K1074" s="153"/>
      <c r="L1074" s="153"/>
      <c r="M1074" s="153"/>
      <c r="R1074" s="157"/>
      <c r="S1074" s="157"/>
    </row>
    <row r="1075" spans="2:19" ht="15.4">
      <c r="B1075" s="153"/>
      <c r="C1075" s="125" t="s">
        <v>404</v>
      </c>
      <c r="H1075" s="231"/>
      <c r="I1075" s="174"/>
      <c r="J1075" s="153"/>
      <c r="K1075" s="153"/>
      <c r="L1075" s="153"/>
      <c r="M1075" s="153"/>
      <c r="R1075" s="157"/>
      <c r="S1075" s="157"/>
    </row>
    <row r="1076" spans="2:19" ht="15">
      <c r="B1076" s="153"/>
      <c r="C1076" s="229" t="s">
        <v>620</v>
      </c>
      <c r="D1076" s="282" t="e">
        <f>0.83*(29000/pileyield)^0.5</f>
        <v>#DIV/0!</v>
      </c>
      <c r="E1076" s="161"/>
      <c r="H1076" s="179" t="str">
        <f>IF(H486="H","0.56*(29000/"&amp;+H495&amp;")^0.5 = ",IF(H486="P","8.80*(29000/"&amp;+H495&amp;")^0.5 = ",""))</f>
        <v/>
      </c>
      <c r="I1076" s="186" t="str">
        <f>IF(H486="H",0.56*(29000/H495)^0.5,IF(H486="P",8.8*(29000/H495)^0.5,""))</f>
        <v/>
      </c>
      <c r="J1076" s="153"/>
      <c r="K1076" s="153"/>
      <c r="L1076" s="153"/>
      <c r="M1076" s="153"/>
      <c r="R1076" s="157"/>
      <c r="S1076" s="157"/>
    </row>
    <row r="1077" spans="2:19">
      <c r="B1077" s="153"/>
      <c r="C1077" s="153"/>
      <c r="D1077" s="153"/>
      <c r="E1077" s="153"/>
      <c r="F1077" s="153"/>
      <c r="G1077" s="153"/>
      <c r="H1077" s="153"/>
      <c r="I1077" s="153"/>
      <c r="J1077" s="153"/>
      <c r="K1077" s="153"/>
      <c r="L1077" s="153"/>
      <c r="M1077" s="153"/>
      <c r="R1077" s="157"/>
      <c r="S1077" s="157"/>
    </row>
    <row r="1078" spans="2:19">
      <c r="B1078" s="153"/>
      <c r="C1078" s="139" t="e">
        <f>IF(D1074&gt;=D1072,"Flange is compact.",IF(D1076&gt;=D1072,"Flange is noncompact.","Error - Slenderness ratio is above the noncompact limit."))</f>
        <v>#DIV/0!</v>
      </c>
      <c r="D1078" s="153"/>
      <c r="E1078" s="153"/>
      <c r="F1078" s="153"/>
      <c r="G1078" s="153"/>
      <c r="H1078" s="153"/>
      <c r="I1078" s="153"/>
      <c r="J1078" s="153"/>
      <c r="K1078" s="153"/>
      <c r="L1078" s="153"/>
      <c r="M1078" s="153"/>
      <c r="R1078" s="157" t="e">
        <f>IF(piletype="P",0,IF(LEFT(C1078,5)="Error",1,0))</f>
        <v>#DIV/0!</v>
      </c>
      <c r="S1078" s="157" t="e">
        <f>IF(piletype="P",0,IF(LEFT(C1078,5)="Warni",1,0))</f>
        <v>#DIV/0!</v>
      </c>
    </row>
    <row r="1079" spans="2:19">
      <c r="B1079" s="153"/>
      <c r="C1079" s="153"/>
      <c r="D1079" s="153"/>
      <c r="E1079" s="153"/>
      <c r="F1079" s="153"/>
      <c r="G1079" s="153"/>
      <c r="H1079" s="153"/>
      <c r="I1079" s="153"/>
      <c r="J1079" s="153"/>
      <c r="K1079" s="153"/>
      <c r="L1079" s="153"/>
      <c r="M1079" s="153"/>
      <c r="R1079" s="157"/>
      <c r="S1079" s="157"/>
    </row>
    <row r="1080" spans="2:19">
      <c r="B1080" s="153"/>
      <c r="C1080" s="260" t="s">
        <v>209</v>
      </c>
      <c r="D1080" s="153"/>
      <c r="E1080" s="153"/>
      <c r="F1080" s="153"/>
      <c r="G1080" s="153"/>
      <c r="H1080" s="153"/>
      <c r="I1080" s="153"/>
      <c r="J1080" s="153"/>
      <c r="K1080" s="153"/>
      <c r="L1080" s="153"/>
      <c r="M1080" s="153"/>
      <c r="R1080" s="157"/>
      <c r="S1080" s="157"/>
    </row>
    <row r="1081" spans="2:19" ht="15">
      <c r="B1081" s="153"/>
      <c r="C1081" s="125" t="s">
        <v>406</v>
      </c>
      <c r="D1081" s="153"/>
      <c r="E1081" s="153"/>
      <c r="F1081" s="153"/>
      <c r="G1081" s="153"/>
      <c r="H1081" s="153"/>
      <c r="I1081" s="153"/>
      <c r="J1081" s="153"/>
      <c r="K1081" s="153"/>
      <c r="L1081" s="153"/>
      <c r="M1081" s="153"/>
      <c r="R1081" s="157"/>
      <c r="S1081" s="157"/>
    </row>
    <row r="1082" spans="2:19" ht="15">
      <c r="B1082" s="153"/>
      <c r="C1082" s="264" t="s">
        <v>408</v>
      </c>
      <c r="E1082" s="153"/>
      <c r="F1082" s="153"/>
      <c r="H1082" s="147" t="str">
        <f>"(1.5)("&amp;pileyield&amp;")("&amp;FIXED(pilesecmod,2)&amp;")"</f>
        <v>(1.5)()(0.00)</v>
      </c>
      <c r="I1082" s="153"/>
      <c r="J1082" s="153"/>
      <c r="K1082" s="153"/>
      <c r="L1082" s="153"/>
      <c r="M1082" s="153"/>
      <c r="R1082" s="157"/>
      <c r="S1082" s="157"/>
    </row>
    <row r="1083" spans="2:19" ht="15.4">
      <c r="B1083" s="153"/>
      <c r="C1083" s="125" t="s">
        <v>456</v>
      </c>
      <c r="D1083" s="153"/>
      <c r="E1083" s="153"/>
      <c r="F1083" s="153"/>
      <c r="G1083" s="153"/>
      <c r="H1083" s="153"/>
      <c r="I1083" s="153"/>
      <c r="J1083" s="153"/>
      <c r="K1083" s="153"/>
      <c r="L1083" s="153"/>
      <c r="M1083" s="153"/>
      <c r="R1083" s="157"/>
      <c r="S1083" s="157"/>
    </row>
    <row r="1084" spans="2:19" ht="15">
      <c r="B1084" s="153"/>
      <c r="C1084" s="264" t="s">
        <v>407</v>
      </c>
      <c r="D1084" s="328" t="e">
        <f>IF(D1072&lt;D1074,1.5*pileyield*pilesecmod,IF(D1072&lt;D1076,(1-(1-pilesecmod/pileplastsecmod)*(D1072-D1074)/(0.45*(29000/pileyield)^0.5))*pileyield*pileplastsecmod,0))</f>
        <v>#DIV/0!</v>
      </c>
      <c r="E1084" s="153" t="s">
        <v>405</v>
      </c>
      <c r="F1084" s="327" t="e">
        <f>D1084/12</f>
        <v>#DIV/0!</v>
      </c>
      <c r="G1084" s="153" t="s">
        <v>830</v>
      </c>
      <c r="H1084" s="153"/>
      <c r="I1084" s="153"/>
      <c r="J1084" s="153"/>
      <c r="K1084" s="153"/>
      <c r="L1084" s="153"/>
      <c r="M1084" s="153"/>
      <c r="R1084" s="157"/>
      <c r="S1084" s="157"/>
    </row>
    <row r="1085" spans="2:19">
      <c r="B1085" s="153"/>
      <c r="C1085" s="153"/>
      <c r="D1085" s="329"/>
      <c r="E1085" s="153"/>
      <c r="F1085" s="153"/>
      <c r="G1085" s="153"/>
      <c r="H1085" s="153"/>
      <c r="I1085" s="153"/>
      <c r="J1085" s="153"/>
      <c r="K1085" s="153"/>
      <c r="L1085" s="153"/>
      <c r="M1085" s="153"/>
      <c r="R1085" s="157"/>
      <c r="S1085" s="157"/>
    </row>
    <row r="1086" spans="2:19">
      <c r="B1086" s="153"/>
      <c r="C1086" s="260" t="s">
        <v>210</v>
      </c>
      <c r="D1086" s="153"/>
      <c r="E1086" s="153"/>
      <c r="F1086" s="153"/>
      <c r="G1086" s="153"/>
      <c r="H1086" s="153"/>
      <c r="I1086" s="153"/>
      <c r="J1086" s="153"/>
      <c r="K1086" s="153"/>
      <c r="L1086" s="153"/>
      <c r="M1086" s="153"/>
      <c r="R1086" s="157"/>
      <c r="S1086" s="157"/>
    </row>
    <row r="1087" spans="2:19" ht="15">
      <c r="B1087" s="153"/>
      <c r="C1087" s="125" t="s">
        <v>668</v>
      </c>
      <c r="F1087" s="153"/>
      <c r="I1087" s="139" t="e">
        <f>"("&amp;flexresfact&amp;")("&amp;FIXED(D1084,1,TRUE)&amp;") "</f>
        <v>#DIV/0!</v>
      </c>
      <c r="J1087" s="153"/>
      <c r="K1087" s="153"/>
      <c r="L1087" s="153"/>
      <c r="M1087" s="153"/>
      <c r="R1087" s="157"/>
      <c r="S1087" s="157"/>
    </row>
    <row r="1088" spans="2:19" ht="15">
      <c r="B1088" s="153"/>
      <c r="C1088" s="133" t="s">
        <v>211</v>
      </c>
      <c r="D1088" s="336" t="e">
        <f>flexresfact*D1084</f>
        <v>#DIV/0!</v>
      </c>
      <c r="E1088" s="125" t="s">
        <v>255</v>
      </c>
      <c r="F1088" s="327" t="e">
        <f>D1088/12</f>
        <v>#DIV/0!</v>
      </c>
      <c r="G1088" s="384" t="s">
        <v>830</v>
      </c>
      <c r="H1088" s="153"/>
      <c r="I1088" s="153"/>
      <c r="J1088" s="153"/>
      <c r="K1088" s="153"/>
      <c r="L1088" s="153"/>
      <c r="M1088" s="153"/>
      <c r="R1088" s="157"/>
      <c r="S1088" s="157"/>
    </row>
    <row r="1089" spans="2:24">
      <c r="B1089" s="153"/>
      <c r="C1089" s="153"/>
      <c r="D1089" s="153"/>
      <c r="E1089" s="153"/>
      <c r="F1089" s="153"/>
      <c r="G1089" s="153"/>
      <c r="H1089" s="153"/>
      <c r="I1089" s="153"/>
      <c r="J1089" s="153"/>
      <c r="K1089" s="153"/>
      <c r="L1089" s="153"/>
      <c r="M1089" s="153"/>
      <c r="R1089" s="157"/>
      <c r="S1089" s="157"/>
    </row>
    <row r="1090" spans="2:24">
      <c r="B1090" s="260" t="s">
        <v>410</v>
      </c>
      <c r="C1090" s="153"/>
      <c r="D1090" s="153"/>
      <c r="E1090" s="153"/>
      <c r="F1090" s="153"/>
      <c r="G1090" s="153"/>
      <c r="H1090" s="153"/>
      <c r="I1090" s="153"/>
      <c r="J1090" s="153"/>
      <c r="K1090" s="153"/>
      <c r="L1090" s="153"/>
      <c r="M1090" s="153"/>
      <c r="R1090" s="157"/>
      <c r="S1090" s="157"/>
    </row>
    <row r="1091" spans="2:24">
      <c r="B1091" s="578" t="s">
        <v>409</v>
      </c>
      <c r="C1091" s="578"/>
      <c r="D1091" s="578"/>
      <c r="E1091" s="578"/>
      <c r="F1091" s="578"/>
      <c r="G1091" s="578"/>
      <c r="H1091" s="578"/>
      <c r="I1091" s="578"/>
      <c r="J1091" s="578"/>
      <c r="K1091" s="578"/>
      <c r="L1091" s="578"/>
      <c r="M1091" s="578"/>
      <c r="R1091" s="157"/>
      <c r="S1091" s="157"/>
    </row>
    <row r="1092" spans="2:24">
      <c r="B1092" s="153"/>
      <c r="C1092" s="153"/>
      <c r="D1092" s="153"/>
      <c r="E1092" s="153"/>
      <c r="F1092" s="153"/>
      <c r="G1092" s="153"/>
      <c r="H1092" s="153"/>
      <c r="I1092" s="153"/>
      <c r="J1092" s="153"/>
      <c r="K1092" s="153"/>
      <c r="L1092" s="153"/>
      <c r="M1092" s="153"/>
      <c r="R1092" s="157"/>
      <c r="S1092" s="157"/>
    </row>
    <row r="1093" spans="2:24" ht="15">
      <c r="B1093" s="125" t="s">
        <v>207</v>
      </c>
      <c r="C1093" s="153"/>
      <c r="D1093" s="153"/>
      <c r="E1093" s="153"/>
      <c r="F1093" s="153"/>
      <c r="G1093" s="153"/>
      <c r="H1093" s="153"/>
      <c r="I1093" s="153"/>
      <c r="J1093" s="153"/>
      <c r="K1093" s="153"/>
      <c r="L1093" s="153"/>
      <c r="M1093" s="153"/>
      <c r="R1093" s="157"/>
      <c r="S1093" s="157"/>
    </row>
    <row r="1094" spans="2:24" ht="15">
      <c r="B1094" s="125" t="s">
        <v>208</v>
      </c>
      <c r="C1094" s="153"/>
      <c r="D1094" s="153"/>
      <c r="E1094" s="153"/>
      <c r="F1094" s="153"/>
      <c r="G1094" s="153"/>
      <c r="H1094" s="153"/>
      <c r="I1094" s="153"/>
      <c r="J1094" s="153"/>
      <c r="K1094" s="153"/>
      <c r="L1094" s="153"/>
      <c r="M1094" s="153"/>
      <c r="R1094" s="157"/>
      <c r="S1094" s="157"/>
    </row>
    <row r="1095" spans="2:24">
      <c r="C1095" s="153"/>
      <c r="D1095" s="153"/>
      <c r="E1095" s="153"/>
      <c r="F1095" s="153"/>
      <c r="G1095" s="153"/>
      <c r="H1095" s="153"/>
      <c r="I1095" s="153"/>
      <c r="J1095" s="153"/>
      <c r="K1095" s="153"/>
      <c r="L1095" s="153"/>
      <c r="M1095" s="153"/>
      <c r="R1095" s="157"/>
      <c r="S1095" s="157"/>
    </row>
    <row r="1096" spans="2:24" ht="15">
      <c r="B1096" s="174" t="s">
        <v>90</v>
      </c>
      <c r="D1096" s="179" t="e">
        <f>FIXED(+G827,1,TRUE)&amp;"/"&amp;FIXED(D1064,1,TRUE)&amp;" ="</f>
        <v>#DIV/0!</v>
      </c>
      <c r="E1096" s="186" t="e">
        <f>G827/D1064</f>
        <v>#DIV/0!</v>
      </c>
      <c r="F1096" s="153"/>
      <c r="G1096" s="153"/>
      <c r="H1096" s="153"/>
      <c r="I1096" s="153"/>
      <c r="J1096" s="153"/>
      <c r="K1096" s="153"/>
      <c r="L1096" s="153"/>
      <c r="M1096" s="153"/>
      <c r="R1096" s="157"/>
      <c r="S1096" s="157"/>
    </row>
    <row r="1097" spans="2:24">
      <c r="B1097" s="125" t="s">
        <v>91</v>
      </c>
      <c r="C1097" s="153"/>
      <c r="D1097" s="153"/>
      <c r="F1097" s="222" t="e">
        <f>IF(E1096&lt;0.2,FIXED(G827,1,TRUE)&amp;"/(2*"&amp;FIXED(D1064,1,TRUE)&amp;") + "&amp;G858&amp;"/"&amp;FIXED(F1088,1,TRUE)&amp;" =",FIXED(G827,1,TRUE)&amp;"/"&amp;FIXED(D1064,1,TRUE)&amp;" + (8.0/9.0)("&amp;G858&amp;"/"&amp;FIXED(F1088,1,TRUE)&amp;") =")</f>
        <v>#DIV/0!</v>
      </c>
      <c r="G1097" s="162"/>
      <c r="H1097" s="153"/>
      <c r="I1097" s="167" t="e">
        <f>IF(E1096&lt;0.2,G827/(2*D1064)+G858/F1088,G827/D1064+(8/9)*(G858/F1088))</f>
        <v>#DIV/0!</v>
      </c>
      <c r="J1097" s="187" t="e">
        <f>IF(I1097&gt;1.0049,"&gt; 1.0 NG","&lt; 1.00 OK")</f>
        <v>#DIV/0!</v>
      </c>
      <c r="K1097" s="153"/>
      <c r="L1097" s="153"/>
      <c r="M1097" s="153"/>
      <c r="R1097" s="157"/>
      <c r="S1097" s="157"/>
    </row>
    <row r="1098" spans="2:24">
      <c r="B1098" s="153"/>
      <c r="C1098" s="330" t="e">
        <f>IF(I1097&gt;1.0049,"Error - "&amp;FIXED(I1097,2,TRUE)&amp;" &gt; 1.00  - Increase the number of piles or change the pile section - push ctrl-a","")</f>
        <v>#DIV/0!</v>
      </c>
      <c r="D1098" s="163"/>
      <c r="E1098" s="153"/>
      <c r="F1098" s="153"/>
      <c r="G1098" s="153"/>
      <c r="H1098" s="153"/>
      <c r="I1098" s="153"/>
      <c r="J1098" s="153"/>
      <c r="K1098" s="153"/>
      <c r="L1098" s="153"/>
      <c r="M1098" s="153"/>
      <c r="R1098" s="157" t="e">
        <f>IF(piletype="P",0,IF(LEFT(C1098,5)="Error",1,0))</f>
        <v>#DIV/0!</v>
      </c>
      <c r="S1098" s="157" t="e">
        <f>IF(piletype="P",0,IF(LEFT(C1098,5)="Warni",1,0))</f>
        <v>#DIV/0!</v>
      </c>
    </row>
    <row r="1099" spans="2:24">
      <c r="B1099" s="260" t="s">
        <v>654</v>
      </c>
      <c r="R1099" s="157"/>
      <c r="S1099" s="157"/>
    </row>
    <row r="1100" spans="2:24">
      <c r="B1100" s="512" t="s">
        <v>910</v>
      </c>
      <c r="C1100" s="313"/>
      <c r="D1100" s="313"/>
      <c r="E1100" s="313"/>
      <c r="F1100" s="313"/>
      <c r="G1100" s="313"/>
      <c r="H1100" s="313"/>
      <c r="I1100" s="313"/>
      <c r="J1100" s="313"/>
      <c r="K1100" s="313"/>
      <c r="L1100" s="313"/>
      <c r="M1100" s="313"/>
      <c r="R1100" s="157"/>
      <c r="S1100" s="157"/>
    </row>
    <row r="1101" spans="2:24">
      <c r="B1101" s="313"/>
      <c r="C1101" s="313"/>
      <c r="D1101" s="313"/>
      <c r="E1101" s="313"/>
      <c r="F1101" s="313"/>
      <c r="G1101" s="313"/>
      <c r="H1101" s="313"/>
      <c r="I1101" s="313"/>
      <c r="J1101" s="313"/>
      <c r="K1101" s="313"/>
      <c r="L1101" s="313"/>
      <c r="M1101" s="313"/>
      <c r="R1101" s="157"/>
      <c r="S1101" s="157"/>
    </row>
    <row r="1102" spans="2:24">
      <c r="C1102" s="260" t="s">
        <v>499</v>
      </c>
      <c r="R1102" s="157"/>
      <c r="S1102" s="157"/>
    </row>
    <row r="1103" spans="2:24">
      <c r="C1103" s="588" t="s">
        <v>928</v>
      </c>
      <c r="D1103" s="588"/>
      <c r="E1103" s="588"/>
      <c r="F1103" s="588"/>
      <c r="G1103" s="588"/>
      <c r="H1103" s="588"/>
      <c r="I1103" s="588"/>
      <c r="J1103" s="588"/>
      <c r="K1103" s="588"/>
      <c r="L1103" s="588"/>
      <c r="M1103" s="588"/>
      <c r="N1103" s="583"/>
      <c r="O1103" s="583"/>
      <c r="P1103" s="583"/>
      <c r="Q1103" s="583"/>
      <c r="R1103" s="583"/>
      <c r="S1103" s="583"/>
      <c r="T1103" s="583"/>
      <c r="U1103" s="583"/>
      <c r="V1103" s="583"/>
      <c r="W1103" s="583"/>
      <c r="X1103" s="583"/>
    </row>
    <row r="1104" spans="2:24">
      <c r="B1104" s="137"/>
      <c r="C1104" s="588"/>
      <c r="D1104" s="588"/>
      <c r="E1104" s="588"/>
      <c r="F1104" s="588"/>
      <c r="G1104" s="588"/>
      <c r="H1104" s="588"/>
      <c r="I1104" s="588"/>
      <c r="J1104" s="588"/>
      <c r="K1104" s="588"/>
      <c r="L1104" s="588"/>
      <c r="M1104" s="588"/>
      <c r="N1104" s="583"/>
      <c r="O1104" s="583"/>
      <c r="P1104" s="583"/>
      <c r="Q1104" s="583"/>
      <c r="R1104" s="583"/>
      <c r="S1104" s="583"/>
      <c r="T1104" s="583"/>
      <c r="U1104" s="583"/>
      <c r="V1104" s="583"/>
      <c r="W1104" s="583"/>
      <c r="X1104" s="583"/>
    </row>
    <row r="1105" spans="2:24">
      <c r="B1105" s="137"/>
      <c r="N1105" s="583"/>
      <c r="O1105" s="583"/>
      <c r="P1105" s="583"/>
      <c r="Q1105" s="583"/>
      <c r="R1105" s="583"/>
      <c r="S1105" s="583"/>
      <c r="T1105" s="583"/>
      <c r="U1105" s="583"/>
      <c r="V1105" s="583"/>
      <c r="W1105" s="583"/>
      <c r="X1105" s="583"/>
    </row>
    <row r="1106" spans="2:24">
      <c r="B1106" s="137"/>
      <c r="C1106" s="607" t="s">
        <v>925</v>
      </c>
      <c r="D1106" s="578"/>
      <c r="E1106" s="578"/>
      <c r="F1106" s="578"/>
      <c r="G1106" s="578"/>
      <c r="H1106" s="578"/>
      <c r="I1106" s="578"/>
      <c r="J1106" s="578"/>
      <c r="K1106" s="578"/>
      <c r="L1106" s="578"/>
      <c r="M1106" s="578"/>
      <c r="N1106" s="583"/>
      <c r="O1106" s="583"/>
      <c r="P1106" s="583"/>
      <c r="Q1106" s="583"/>
      <c r="R1106" s="583"/>
      <c r="S1106" s="583"/>
      <c r="T1106" s="583"/>
      <c r="U1106" s="583"/>
      <c r="V1106" s="583"/>
      <c r="W1106" s="583"/>
      <c r="X1106" s="583"/>
    </row>
    <row r="1107" spans="2:24">
      <c r="C1107" s="578"/>
      <c r="D1107" s="578"/>
      <c r="E1107" s="578"/>
      <c r="F1107" s="578"/>
      <c r="G1107" s="578"/>
      <c r="H1107" s="578"/>
      <c r="I1107" s="578"/>
      <c r="J1107" s="578"/>
      <c r="K1107" s="578"/>
      <c r="L1107" s="578"/>
      <c r="M1107" s="578"/>
      <c r="R1107" s="157"/>
      <c r="S1107" s="157"/>
    </row>
    <row r="1108" spans="2:24">
      <c r="R1108" s="157"/>
      <c r="S1108" s="157"/>
    </row>
    <row r="1109" spans="2:24" ht="15">
      <c r="C1109" s="125" t="s">
        <v>500</v>
      </c>
      <c r="H1109" s="334" t="str">
        <f>IF(piletype="P",FIXED(G799,2,TRUE)&amp;" - (0.5)("&amp;frictresfact&amp;")("&amp;FIXED(I911,1,TRUE)&amp;") =","")</f>
        <v/>
      </c>
      <c r="I1109" s="228" t="e">
        <f>IF(piletype="P",MAX(0,G799-0.5*frictresfact*I911),G799)</f>
        <v>#DIV/0!</v>
      </c>
      <c r="J1109" s="125" t="s">
        <v>338</v>
      </c>
      <c r="L1109" s="224" t="s">
        <v>244</v>
      </c>
      <c r="R1109" s="157"/>
      <c r="S1109" s="157"/>
    </row>
    <row r="1110" spans="2:24">
      <c r="B1110" s="153"/>
      <c r="C1110" s="153"/>
      <c r="D1110" s="153"/>
      <c r="E1110" s="153"/>
      <c r="F1110" s="153"/>
      <c r="G1110" s="153"/>
      <c r="H1110" s="153"/>
      <c r="I1110" s="153"/>
      <c r="J1110" s="153"/>
      <c r="K1110" s="153"/>
      <c r="L1110" s="153"/>
      <c r="M1110" s="153"/>
      <c r="R1110" s="157"/>
      <c r="S1110" s="157"/>
    </row>
    <row r="1111" spans="2:24" ht="15.4">
      <c r="B1111" s="153"/>
      <c r="C1111" s="516" t="s">
        <v>916</v>
      </c>
      <c r="D1111" s="507"/>
      <c r="E1111" s="507"/>
      <c r="F1111" s="507"/>
      <c r="G1111" s="125" t="str">
        <f>"= "&amp;FIXED(PI(),2,TRUE)&amp;"["&amp;FIXED(pilewidth,2,TRUE)&amp;"^2 - ("&amp;FIXED(pilewidth,2,TRUE)&amp;" - 2*"&amp;FIXED(pilethickness,3,TRUE)&amp;")^2]/4"</f>
        <v>= 3.14[0.00^2 - (0.00 - 2*0.000)^2]/4</v>
      </c>
      <c r="H1111" s="332"/>
      <c r="R1111" s="157"/>
      <c r="S1111" s="157"/>
    </row>
    <row r="1112" spans="2:24" ht="15">
      <c r="B1112" s="153"/>
      <c r="C1112" s="390" t="s">
        <v>913</v>
      </c>
      <c r="D1112" s="228">
        <f>PI()*(pilewidth^2-(pilewidth-2*pilethickness)^2)/4</f>
        <v>0</v>
      </c>
      <c r="E1112" s="139" t="s">
        <v>510</v>
      </c>
      <c r="R1112" s="157"/>
      <c r="S1112" s="157"/>
    </row>
    <row r="1113" spans="2:24">
      <c r="B1113" s="153"/>
      <c r="R1113" s="157"/>
      <c r="S1113" s="157"/>
    </row>
    <row r="1114" spans="2:24" ht="15.4">
      <c r="B1114" s="153"/>
      <c r="C1114" s="516" t="s">
        <v>915</v>
      </c>
      <c r="H1114" s="125" t="str">
        <f>"= "&amp;FIXED(PI(),2,TRUE)&amp;"[("&amp;FIXED(pilewidth,2,TRUE)&amp;" - 2*"&amp;FIXED(pilethickness,3,TRUE)&amp;")^2]/4"</f>
        <v>= 3.14[(0.00 - 2*0.000)^2]/4</v>
      </c>
      <c r="R1114" s="157"/>
      <c r="S1114" s="157"/>
    </row>
    <row r="1115" spans="2:24" ht="15">
      <c r="B1115" s="153"/>
      <c r="C1115" s="390" t="s">
        <v>914</v>
      </c>
      <c r="D1115" s="228">
        <f>PI()*(pilewidth-2*pilethickness)^2/4</f>
        <v>0</v>
      </c>
      <c r="E1115" s="139" t="s">
        <v>510</v>
      </c>
      <c r="R1115" s="157"/>
      <c r="S1115" s="157"/>
    </row>
    <row r="1116" spans="2:24">
      <c r="B1116" s="153"/>
      <c r="R1116" s="157"/>
      <c r="S1116" s="157"/>
    </row>
    <row r="1117" spans="2:24" ht="15">
      <c r="B1117" s="153"/>
      <c r="C1117" s="284" t="s">
        <v>911</v>
      </c>
      <c r="I1117" s="180" t="str">
        <f>"= ("&amp;compresfactsteelpipe&amp;")("&amp;FIXED(D1112,2,TRUE)&amp;")("&amp;G545&amp;") + ("&amp;compresfact&amp;")(0.85)("&amp;FIXED(G546,1,TRUE)&amp;")("&amp;FIXED(D1115,2,TRUE)&amp;") "</f>
        <v xml:space="preserve">= ()(0.00)() + ()(0.85)(0.0)(0.00) </v>
      </c>
      <c r="R1117" s="157"/>
      <c r="S1117" s="157"/>
    </row>
    <row r="1118" spans="2:24" ht="15">
      <c r="B1118" s="153"/>
      <c r="C1118" s="133" t="s">
        <v>501</v>
      </c>
      <c r="D1118" s="228">
        <f>compresfactsteelpipe*D1112*G545+compresfact*0.85*G546*D1115</f>
        <v>0</v>
      </c>
      <c r="E1118" s="125" t="s">
        <v>338</v>
      </c>
      <c r="R1118" s="157"/>
      <c r="S1118" s="157"/>
    </row>
    <row r="1119" spans="2:24">
      <c r="B1119" s="153"/>
      <c r="C1119" s="330" t="e">
        <f>IF(AND(piletype="P",PI()/4*(pilewidth^2-(pilewidth-2*pilethickness)^2)/(PI()/4*(pilewidth)^2)&lt;0.04),"Error - Steel pipe area &lt; 4% of the total area. Check as reinforced concrete column per AASHTO 6.9.5.2.1.","")</f>
        <v>#DIV/0!</v>
      </c>
      <c r="R1119" s="514" t="e">
        <f>IF(piletype="H",0,IF(LEFT(C1119,5)="Error",1,0))</f>
        <v>#DIV/0!</v>
      </c>
      <c r="S1119" s="514" t="e">
        <f>IF(piletype="H",0,IF(LEFT(C1119,5)="Warni",1,0))</f>
        <v>#DIV/0!</v>
      </c>
    </row>
    <row r="1120" spans="2:24">
      <c r="B1120" s="153"/>
      <c r="C1120" s="363" t="e">
        <f>IF(piletype="H","",IF(D1118&lt;I1109,"Error - "&amp;FIXED(D1118,2,TRUE)&amp;" k &lt; "&amp;FIXED(I1109,2,TRUE)&amp;" k - Insufficient axial capacity",FIXED(D1118,2,TRUE)&amp;" k &gt; "&amp;FIXED(I1109,2,TRUE)&amp;" k - OK"))</f>
        <v>#DIV/0!</v>
      </c>
      <c r="G1120" s="167"/>
      <c r="I1120" s="176"/>
      <c r="K1120" s="168"/>
      <c r="R1120" s="514" t="e">
        <f>IF(piletype="H",0,IF(LEFT(C1120,5)="Error",1,0))</f>
        <v>#DIV/0!</v>
      </c>
      <c r="S1120" s="514" t="e">
        <f>IF(piletype="H",0,IF(LEFT(C1120,5)="Warni",1,0))</f>
        <v>#DIV/0!</v>
      </c>
    </row>
    <row r="1121" spans="2:19">
      <c r="B1121" s="153"/>
      <c r="C1121" s="153"/>
      <c r="D1121" s="153"/>
      <c r="E1121" s="153"/>
      <c r="F1121" s="153"/>
      <c r="G1121" s="153"/>
      <c r="H1121" s="153"/>
      <c r="I1121" s="153"/>
      <c r="J1121" s="153"/>
      <c r="K1121" s="153"/>
      <c r="L1121" s="153"/>
      <c r="M1121" s="153"/>
      <c r="R1121" s="157"/>
      <c r="S1121" s="157"/>
    </row>
    <row r="1122" spans="2:19">
      <c r="B1122" s="260" t="s">
        <v>653</v>
      </c>
      <c r="C1122" s="153"/>
      <c r="D1122" s="153"/>
      <c r="E1122" s="153"/>
      <c r="F1122" s="153"/>
      <c r="G1122" s="153"/>
      <c r="H1122" s="153"/>
      <c r="I1122" s="153"/>
      <c r="J1122" s="153"/>
      <c r="K1122" s="153"/>
      <c r="L1122" s="153"/>
      <c r="M1122" s="153"/>
      <c r="R1122" s="157"/>
      <c r="S1122" s="157"/>
    </row>
    <row r="1123" spans="2:19">
      <c r="B1123" s="512" t="s">
        <v>917</v>
      </c>
      <c r="C1123" s="153"/>
      <c r="D1123" s="153"/>
      <c r="E1123" s="153"/>
      <c r="F1123" s="153"/>
      <c r="G1123" s="153"/>
      <c r="H1123" s="153"/>
      <c r="I1123" s="153"/>
      <c r="J1123" s="153"/>
      <c r="K1123" s="153"/>
      <c r="L1123" s="153"/>
      <c r="M1123" s="153"/>
      <c r="R1123" s="157"/>
      <c r="S1123" s="157"/>
    </row>
    <row r="1124" spans="2:19">
      <c r="B1124" s="153"/>
      <c r="C1124" s="260"/>
      <c r="D1124" s="153"/>
      <c r="E1124" s="153"/>
      <c r="F1124" s="153"/>
      <c r="G1124" s="153"/>
      <c r="H1124" s="153"/>
      <c r="I1124" s="153"/>
      <c r="J1124" s="153"/>
      <c r="K1124" s="153"/>
      <c r="L1124" s="153"/>
      <c r="M1124" s="153"/>
      <c r="R1124" s="157"/>
      <c r="S1124" s="157"/>
    </row>
    <row r="1125" spans="2:19">
      <c r="B1125" s="153"/>
      <c r="C1125" s="260" t="s">
        <v>497</v>
      </c>
      <c r="D1125" s="153"/>
      <c r="E1125" s="153"/>
      <c r="F1125" s="153"/>
      <c r="G1125" s="153"/>
      <c r="H1125" s="153"/>
      <c r="I1125" s="153"/>
      <c r="J1125" s="153"/>
      <c r="K1125" s="153"/>
      <c r="L1125" s="153"/>
      <c r="M1125" s="153"/>
      <c r="R1125" s="157"/>
      <c r="S1125" s="157"/>
    </row>
    <row r="1126" spans="2:19">
      <c r="B1126" s="153"/>
      <c r="C1126" s="316" t="s">
        <v>656</v>
      </c>
      <c r="D1126" s="153"/>
      <c r="E1126" s="153"/>
      <c r="F1126" s="153"/>
      <c r="G1126" s="153"/>
      <c r="H1126" s="153"/>
      <c r="I1126" s="153"/>
      <c r="J1126" s="153"/>
      <c r="K1126" s="153"/>
      <c r="L1126" s="153"/>
      <c r="M1126" s="153"/>
      <c r="R1126" s="157"/>
      <c r="S1126" s="157"/>
    </row>
    <row r="1127" spans="2:19" ht="15.4">
      <c r="B1127" s="153"/>
      <c r="C1127" s="13" t="s">
        <v>664</v>
      </c>
      <c r="D1127" s="153"/>
      <c r="E1127" s="153"/>
      <c r="F1127" s="153"/>
      <c r="G1127" s="153"/>
      <c r="H1127" s="153"/>
      <c r="I1127" s="153"/>
      <c r="J1127" s="153"/>
      <c r="K1127" s="153"/>
      <c r="L1127" s="153"/>
      <c r="M1127" s="153"/>
      <c r="R1127" s="157"/>
      <c r="S1127" s="157"/>
    </row>
    <row r="1128" spans="2:19" ht="15">
      <c r="B1128" s="153"/>
      <c r="C1128" s="13" t="s">
        <v>665</v>
      </c>
      <c r="D1128" s="153"/>
      <c r="E1128" s="153"/>
      <c r="F1128" s="153"/>
      <c r="G1128" s="153"/>
      <c r="H1128" s="153"/>
      <c r="I1128" s="153"/>
      <c r="J1128" s="153"/>
      <c r="K1128" s="153"/>
      <c r="L1128" s="153"/>
      <c r="M1128" s="153"/>
      <c r="R1128" s="157"/>
      <c r="S1128" s="157"/>
    </row>
    <row r="1129" spans="2:19">
      <c r="B1129" s="153"/>
      <c r="C1129" s="153"/>
      <c r="D1129" s="153"/>
      <c r="E1129" s="153"/>
      <c r="F1129" s="153"/>
      <c r="G1129" s="153"/>
      <c r="H1129" s="153"/>
      <c r="I1129" s="153"/>
      <c r="J1129" s="153"/>
      <c r="K1129" s="153"/>
      <c r="L1129" s="153"/>
      <c r="M1129" s="153"/>
      <c r="R1129" s="157"/>
      <c r="S1129" s="157"/>
    </row>
    <row r="1130" spans="2:19">
      <c r="B1130" s="153"/>
      <c r="C1130" s="578" t="s">
        <v>505</v>
      </c>
      <c r="D1130" s="578"/>
      <c r="E1130" s="578"/>
      <c r="F1130" s="578"/>
      <c r="G1130" s="578"/>
      <c r="H1130" s="578"/>
      <c r="I1130" s="578"/>
      <c r="J1130" s="578"/>
      <c r="K1130" s="578"/>
      <c r="L1130" s="578"/>
      <c r="M1130" s="578"/>
      <c r="R1130" s="157"/>
      <c r="S1130" s="157"/>
    </row>
    <row r="1131" spans="2:19">
      <c r="B1131" s="153"/>
      <c r="C1131" s="578"/>
      <c r="D1131" s="578"/>
      <c r="E1131" s="578"/>
      <c r="F1131" s="578"/>
      <c r="G1131" s="578"/>
      <c r="H1131" s="578"/>
      <c r="I1131" s="578"/>
      <c r="J1131" s="578"/>
      <c r="K1131" s="578"/>
      <c r="L1131" s="578"/>
      <c r="M1131" s="578"/>
      <c r="R1131" s="157"/>
      <c r="S1131" s="157"/>
    </row>
    <row r="1132" spans="2:19">
      <c r="B1132" s="153"/>
      <c r="C1132" s="578"/>
      <c r="D1132" s="578"/>
      <c r="E1132" s="578"/>
      <c r="F1132" s="578"/>
      <c r="G1132" s="578"/>
      <c r="H1132" s="578"/>
      <c r="I1132" s="578"/>
      <c r="J1132" s="578"/>
      <c r="K1132" s="578"/>
      <c r="L1132" s="578"/>
      <c r="M1132" s="578"/>
      <c r="R1132" s="157"/>
      <c r="S1132" s="157"/>
    </row>
    <row r="1133" spans="2:19">
      <c r="B1133" s="153"/>
      <c r="C1133" s="153"/>
      <c r="D1133" s="174" t="str">
        <f>"Unbraced length, l = "&amp;FIXED(inflection,0,TRUE)&amp;" - "&amp;FIXED(inflection2,0,TRUE)&amp;" ="</f>
        <v>Unbraced length, l = 0 - 0 =</v>
      </c>
      <c r="E1133" s="153"/>
      <c r="F1133" s="153"/>
      <c r="G1133" s="177">
        <f>inflection-inflection2</f>
        <v>0</v>
      </c>
      <c r="H1133" s="125" t="str">
        <f>"in = "&amp;FIXED(G1133/12,2)&amp;" ft"</f>
        <v>in = 0.00 ft</v>
      </c>
      <c r="I1133" s="153"/>
      <c r="J1133" s="153"/>
      <c r="K1133" s="153"/>
      <c r="L1133" s="153"/>
      <c r="M1133" s="153"/>
      <c r="R1133" s="157"/>
      <c r="S1133" s="157"/>
    </row>
    <row r="1134" spans="2:19">
      <c r="B1134" s="153"/>
      <c r="D1134" s="153"/>
      <c r="E1134" s="153"/>
      <c r="F1134" s="153"/>
      <c r="G1134" s="153"/>
      <c r="I1134" s="153"/>
      <c r="J1134" s="153"/>
      <c r="K1134" s="153"/>
      <c r="L1134" s="153"/>
      <c r="M1134" s="153"/>
      <c r="R1134" s="157"/>
      <c r="S1134" s="157"/>
    </row>
    <row r="1135" spans="2:19" ht="15">
      <c r="B1135" s="153"/>
      <c r="C1135" s="187" t="s">
        <v>661</v>
      </c>
      <c r="J1135" s="153"/>
      <c r="K1135" s="153"/>
      <c r="L1135" s="153"/>
      <c r="M1135" s="153"/>
      <c r="R1135" s="157"/>
      <c r="S1135" s="157"/>
    </row>
    <row r="1136" spans="2:19" ht="15">
      <c r="B1136" s="153"/>
      <c r="C1136" s="183" t="s">
        <v>659</v>
      </c>
      <c r="D1136" s="228" t="e">
        <f>G545+0.85*G546*(Ac/As)</f>
        <v>#DIV/0!</v>
      </c>
      <c r="E1136" s="317" t="str">
        <f>"ksi = "&amp;G545&amp;" + 0.85*"&amp;G546&amp;"("&amp;FIXED(Ac,2,TRUE)&amp;"/"&amp;FIXED(As,2,TRUE)&amp;") "</f>
        <v xml:space="preserve">ksi =  + 0.85*(0.00/0.00) </v>
      </c>
      <c r="G1136" s="131"/>
      <c r="I1136" s="153"/>
      <c r="J1136" s="153"/>
      <c r="K1136" s="153"/>
      <c r="L1136" s="153"/>
      <c r="M1136" s="153"/>
      <c r="R1136" s="157"/>
      <c r="S1136" s="157"/>
    </row>
    <row r="1137" spans="1:19">
      <c r="B1137" s="153"/>
      <c r="C1137" s="228"/>
      <c r="D1137" s="317"/>
      <c r="G1137" s="131"/>
      <c r="I1137" s="153"/>
      <c r="J1137" s="153"/>
      <c r="K1137" s="153"/>
      <c r="L1137" s="153"/>
      <c r="M1137" s="153"/>
      <c r="R1137" s="157"/>
      <c r="S1137" s="157"/>
    </row>
    <row r="1138" spans="1:19">
      <c r="B1138" s="153"/>
      <c r="C1138" s="333" t="s">
        <v>602</v>
      </c>
      <c r="F1138" s="131"/>
      <c r="G1138" s="153"/>
      <c r="I1138" s="153"/>
      <c r="J1138" s="153"/>
      <c r="K1138" s="153"/>
      <c r="L1138" s="153"/>
      <c r="M1138" s="153"/>
      <c r="R1138" s="157"/>
      <c r="S1138" s="157"/>
    </row>
    <row r="1139" spans="1:19" ht="15.4">
      <c r="B1139" s="153"/>
      <c r="C1139" s="187"/>
      <c r="D1139" s="516" t="s">
        <v>657</v>
      </c>
      <c r="F1139" s="131"/>
      <c r="G1139" s="153"/>
      <c r="I1139" s="228">
        <f>PI()*(pilewidth-2*pilethickness)^2/4</f>
        <v>0</v>
      </c>
      <c r="J1139" s="139" t="s">
        <v>510</v>
      </c>
      <c r="K1139" s="153"/>
      <c r="L1139" s="153"/>
      <c r="M1139" s="153"/>
      <c r="R1139" s="157"/>
      <c r="S1139" s="157"/>
    </row>
    <row r="1140" spans="1:19" ht="15.4">
      <c r="B1140" s="153"/>
      <c r="C1140" s="183"/>
      <c r="D1140" s="187" t="s">
        <v>658</v>
      </c>
      <c r="E1140" s="153"/>
      <c r="F1140" s="153"/>
      <c r="G1140" s="153"/>
      <c r="I1140" s="332">
        <f>PI()*(pilewidth)^2/4-I1139</f>
        <v>0</v>
      </c>
      <c r="J1140" s="139" t="s">
        <v>510</v>
      </c>
      <c r="K1140" s="153"/>
      <c r="L1140" s="153"/>
      <c r="M1140" s="153"/>
      <c r="R1140" s="157"/>
      <c r="S1140" s="157"/>
    </row>
    <row r="1141" spans="1:19" ht="13.15">
      <c r="A1141" s="253" t="str">
        <f>A917</f>
        <v>PILE DATA - Cont'd</v>
      </c>
      <c r="B1141" s="153"/>
      <c r="C1141" s="131"/>
      <c r="D1141" s="153"/>
      <c r="E1141" s="153"/>
      <c r="F1141" s="153"/>
      <c r="G1141" s="153"/>
      <c r="I1141" s="153"/>
      <c r="J1141" s="153"/>
      <c r="K1141" s="153"/>
      <c r="L1141" s="153"/>
      <c r="M1141" s="153"/>
      <c r="R1141" s="157"/>
      <c r="S1141" s="157"/>
    </row>
    <row r="1142" spans="1:19" ht="13.15">
      <c r="A1142" s="253"/>
      <c r="B1142" s="153"/>
      <c r="C1142" s="131"/>
      <c r="D1142" s="153"/>
      <c r="E1142" s="153"/>
      <c r="F1142" s="153"/>
      <c r="G1142" s="153"/>
      <c r="I1142" s="153"/>
      <c r="J1142" s="153"/>
      <c r="K1142" s="153"/>
      <c r="L1142" s="153"/>
      <c r="M1142" s="153"/>
      <c r="R1142" s="157"/>
      <c r="S1142" s="157"/>
    </row>
    <row r="1143" spans="1:19" ht="13.15">
      <c r="A1143" s="253"/>
      <c r="B1143" s="260" t="s">
        <v>653</v>
      </c>
      <c r="C1143" s="131"/>
      <c r="D1143" s="153"/>
      <c r="E1143" s="153"/>
      <c r="F1143" s="153"/>
      <c r="G1143" s="153"/>
      <c r="I1143" s="153"/>
      <c r="J1143" s="153"/>
      <c r="K1143" s="153"/>
      <c r="L1143" s="153"/>
      <c r="M1143" s="153"/>
      <c r="R1143" s="157"/>
      <c r="S1143" s="157"/>
    </row>
    <row r="1144" spans="1:19" ht="15">
      <c r="B1144" s="153"/>
      <c r="C1144" s="187" t="s">
        <v>662</v>
      </c>
      <c r="D1144" s="131"/>
      <c r="E1144" s="153"/>
      <c r="F1144" s="153"/>
      <c r="I1144" s="153"/>
      <c r="K1144" s="153"/>
      <c r="L1144" s="153"/>
      <c r="M1144" s="153"/>
      <c r="R1144" s="157"/>
      <c r="S1144" s="157"/>
    </row>
    <row r="1145" spans="1:19" ht="15">
      <c r="B1145" s="153"/>
      <c r="C1145" s="183" t="s">
        <v>660</v>
      </c>
      <c r="D1145" s="228" t="e">
        <f>29000*(1+(0.4/n)*(Ac/As))</f>
        <v>#DIV/0!</v>
      </c>
      <c r="E1145" s="317" t="e">
        <f>"ksi = 29000[1+(0.4/"&amp;n&amp;")("&amp;FIXED(Ac,2,TRUE)&amp;"/"&amp;FIXED(As,2,TRUE)&amp;")]"</f>
        <v>#DIV/0!</v>
      </c>
      <c r="I1145" s="153"/>
      <c r="J1145" s="334"/>
      <c r="K1145" s="153"/>
      <c r="L1145" s="153"/>
      <c r="M1145" s="153"/>
      <c r="R1145" s="157"/>
      <c r="S1145" s="157"/>
    </row>
    <row r="1146" spans="1:19">
      <c r="J1146" s="189"/>
      <c r="R1146" s="157"/>
      <c r="S1146" s="157"/>
    </row>
    <row r="1147" spans="1:19" ht="15.4">
      <c r="C1147" s="335" t="s">
        <v>663</v>
      </c>
      <c r="H1147" s="334" t="e">
        <f>"[(1.0*"&amp;FIXED(G1133,0)&amp;")/("&amp;FIXED(pilegyration,2,TRUE)&amp;"*"&amp;FIXED(PI(),3,TRUE)&amp;")]^2 ("&amp;FIXED(D1136,2,TRUE)&amp;"/"&amp;FIXED(D1145,2,TRUE)&amp;") ="</f>
        <v>#DIV/0!</v>
      </c>
      <c r="I1147" s="288" t="e">
        <f>((1*G1133/(pilegyration*PI()))^2)*(D1136/D1145)</f>
        <v>#DIV/0!</v>
      </c>
      <c r="J1147" s="189"/>
      <c r="R1147" s="157"/>
      <c r="S1147" s="157"/>
    </row>
    <row r="1148" spans="1:19">
      <c r="J1148" s="189"/>
      <c r="R1148" s="157"/>
      <c r="S1148" s="157"/>
    </row>
    <row r="1149" spans="1:19" ht="15">
      <c r="C1149" s="125" t="s">
        <v>666</v>
      </c>
      <c r="G1149" s="125" t="e">
        <f>IF(I1147&gt;2.25,"(0.88)("&amp;FIXED(D1136,2,TRUE)&amp;")("&amp;FIXED(As,2,TRUE)&amp;")/("&amp;FIXED(I1147,3,TRUE)&amp;")","(0.66^"&amp;FIXED(I1147,3,TRUE)&amp;")("&amp;FIXED(D1136,2,TRUE)&amp;")("&amp;FIXED(As,2,TRUE)&amp;")")&amp;IF(I1147&gt;2.25," per AASHTO Equation 6.9.5.1-2"," per AASHTO Equation 6.9.5.1-1")</f>
        <v>#DIV/0!</v>
      </c>
      <c r="R1149" s="157"/>
      <c r="S1149" s="157"/>
    </row>
    <row r="1150" spans="1:19" ht="15">
      <c r="C1150" s="133" t="s">
        <v>496</v>
      </c>
      <c r="D1150" s="336" t="e">
        <f>IF(I1147&gt;2.25,0.88*D1136*I1140/I1147,(0.66^I1147)*D1136*I1140)</f>
        <v>#DIV/0!</v>
      </c>
      <c r="E1150" s="125" t="s">
        <v>338</v>
      </c>
      <c r="R1150" s="157"/>
      <c r="S1150" s="157"/>
    </row>
    <row r="1151" spans="1:19">
      <c r="C1151" s="133"/>
      <c r="D1151" s="336"/>
      <c r="R1151" s="157"/>
      <c r="S1151" s="157"/>
    </row>
    <row r="1152" spans="1:19">
      <c r="C1152" s="260" t="s">
        <v>499</v>
      </c>
      <c r="D1152" s="153"/>
      <c r="E1152" s="153"/>
      <c r="F1152" s="153"/>
      <c r="G1152" s="153"/>
      <c r="H1152" s="153"/>
      <c r="I1152" s="153"/>
      <c r="R1152" s="157"/>
      <c r="S1152" s="157"/>
    </row>
    <row r="1153" spans="2:19" ht="15">
      <c r="C1153" s="284" t="s">
        <v>918</v>
      </c>
      <c r="F1153" s="153"/>
      <c r="G1153" s="222" t="e">
        <f>"per AASHTO 6.9.2.1 = ("&amp;comp2resfact&amp;")("&amp;FIXED(D1150,2,TRUE)&amp;") = "&amp;FIXED(comp2resfact*D1150,2,TRUE)&amp;" k"</f>
        <v>#DIV/0!</v>
      </c>
      <c r="R1153" s="157"/>
      <c r="S1153" s="157"/>
    </row>
    <row r="1154" spans="2:19" ht="15">
      <c r="C1154" s="516" t="s">
        <v>932</v>
      </c>
      <c r="F1154" s="519"/>
      <c r="G1154" s="520"/>
      <c r="R1154" s="157"/>
      <c r="S1154" s="157"/>
    </row>
    <row r="1155" spans="2:19" ht="15">
      <c r="C1155" s="133" t="s">
        <v>501</v>
      </c>
      <c r="D1155" s="228" t="e">
        <f>MIN(comp2resfact*D1150,D1118)</f>
        <v>#DIV/0!</v>
      </c>
      <c r="E1155" s="125" t="e">
        <f>"kips"&amp;IF(D1155=D1118,", Limited by DM-4 5.13.4.7.1P","")</f>
        <v>#DIV/0!</v>
      </c>
      <c r="F1155" s="153"/>
      <c r="G1155" s="153"/>
      <c r="H1155" s="153"/>
      <c r="I1155" s="153"/>
      <c r="R1155" s="157"/>
      <c r="S1155" s="157"/>
    </row>
    <row r="1156" spans="2:19">
      <c r="I1156" s="180"/>
      <c r="J1156" s="131"/>
      <c r="R1156" s="157"/>
      <c r="S1156" s="157"/>
    </row>
    <row r="1157" spans="2:19">
      <c r="B1157" s="260" t="s">
        <v>669</v>
      </c>
      <c r="I1157" s="180"/>
      <c r="J1157" s="131"/>
      <c r="R1157" s="157"/>
      <c r="S1157" s="157"/>
    </row>
    <row r="1158" spans="2:19">
      <c r="B1158" s="578" t="s">
        <v>640</v>
      </c>
      <c r="C1158" s="578"/>
      <c r="D1158" s="578"/>
      <c r="E1158" s="578"/>
      <c r="F1158" s="578"/>
      <c r="G1158" s="578"/>
      <c r="H1158" s="578"/>
      <c r="I1158" s="578"/>
      <c r="J1158" s="578"/>
      <c r="K1158" s="578"/>
      <c r="L1158" s="578"/>
      <c r="M1158" s="578"/>
      <c r="R1158" s="157"/>
      <c r="S1158" s="157"/>
    </row>
    <row r="1159" spans="2:19">
      <c r="B1159" s="578"/>
      <c r="C1159" s="578"/>
      <c r="D1159" s="578"/>
      <c r="E1159" s="578"/>
      <c r="F1159" s="578"/>
      <c r="G1159" s="578"/>
      <c r="H1159" s="578"/>
      <c r="I1159" s="578"/>
      <c r="J1159" s="578"/>
      <c r="K1159" s="578"/>
      <c r="L1159" s="578"/>
      <c r="M1159" s="578"/>
      <c r="R1159" s="157"/>
      <c r="S1159" s="157"/>
    </row>
    <row r="1160" spans="2:19">
      <c r="B1160" s="578"/>
      <c r="C1160" s="578"/>
      <c r="D1160" s="578"/>
      <c r="E1160" s="578"/>
      <c r="F1160" s="578"/>
      <c r="G1160" s="578"/>
      <c r="H1160" s="578"/>
      <c r="I1160" s="578"/>
      <c r="J1160" s="578"/>
      <c r="K1160" s="578"/>
      <c r="L1160" s="578"/>
      <c r="M1160" s="578"/>
      <c r="R1160" s="157"/>
      <c r="S1160" s="157"/>
    </row>
    <row r="1161" spans="2:19">
      <c r="B1161" s="162"/>
      <c r="C1161" s="162"/>
      <c r="D1161" s="162"/>
      <c r="E1161" s="162"/>
      <c r="F1161" s="162"/>
      <c r="G1161" s="162"/>
      <c r="H1161" s="162"/>
      <c r="I1161" s="162"/>
      <c r="J1161" s="162"/>
      <c r="K1161" s="162"/>
      <c r="L1161" s="162"/>
      <c r="M1161" s="162"/>
      <c r="R1161" s="157"/>
      <c r="S1161" s="157"/>
    </row>
    <row r="1162" spans="2:19">
      <c r="B1162" s="162"/>
      <c r="C1162" s="260" t="s">
        <v>642</v>
      </c>
      <c r="D1162" s="162"/>
      <c r="E1162" s="162"/>
      <c r="F1162" s="162"/>
      <c r="G1162" s="162"/>
      <c r="H1162" s="162"/>
      <c r="I1162" s="162"/>
      <c r="J1162" s="162"/>
      <c r="K1162" s="162"/>
      <c r="L1162" s="162"/>
      <c r="M1162" s="162"/>
      <c r="R1162" s="157"/>
      <c r="S1162" s="157"/>
    </row>
    <row r="1163" spans="2:19" ht="15.4">
      <c r="C1163" s="125" t="s">
        <v>639</v>
      </c>
      <c r="G1163" s="167"/>
      <c r="I1163" s="167"/>
      <c r="R1163" s="157"/>
      <c r="S1163" s="157"/>
    </row>
    <row r="1164" spans="2:19" ht="15.4">
      <c r="C1164" s="125" t="s">
        <v>457</v>
      </c>
      <c r="G1164" s="167"/>
      <c r="I1164" s="167"/>
      <c r="R1164" s="157"/>
      <c r="S1164" s="157"/>
    </row>
    <row r="1165" spans="2:19">
      <c r="G1165" s="167"/>
      <c r="I1165" s="167"/>
      <c r="R1165" s="157"/>
      <c r="S1165" s="157"/>
    </row>
    <row r="1166" spans="2:19">
      <c r="C1166" s="186" t="s">
        <v>673</v>
      </c>
      <c r="I1166" s="167"/>
      <c r="R1166" s="157"/>
      <c r="S1166" s="157"/>
    </row>
    <row r="1167" spans="2:19">
      <c r="D1167" s="186" t="s">
        <v>670</v>
      </c>
      <c r="E1167" s="186" t="str">
        <f>IF(G535="H",G547/2/G548,IF(G535="P",+G547/G548,""))</f>
        <v/>
      </c>
      <c r="I1167" s="167"/>
      <c r="R1167" s="157"/>
      <c r="S1167" s="157"/>
    </row>
    <row r="1168" spans="2:19">
      <c r="C1168" s="125" t="s">
        <v>671</v>
      </c>
      <c r="G1168" s="228"/>
      <c r="H1168" s="174"/>
      <c r="I1168" s="167"/>
      <c r="R1168" s="157"/>
      <c r="S1168" s="157"/>
    </row>
    <row r="1169" spans="2:19" ht="15.4">
      <c r="B1169" s="229"/>
      <c r="C1169" s="230"/>
      <c r="D1169" s="284" t="s">
        <v>842</v>
      </c>
      <c r="G1169" s="217" t="str">
        <f>"2.0*(29000/"&amp;G545&amp;")^0.5 = "</f>
        <v xml:space="preserve">2.0*(29000/)^0.5 = </v>
      </c>
      <c r="H1169" s="186" t="e">
        <f>2*(29000/G545)^0.5</f>
        <v>#DIV/0!</v>
      </c>
      <c r="I1169" s="167"/>
      <c r="R1169" s="157"/>
      <c r="S1169" s="157"/>
    </row>
    <row r="1170" spans="2:19">
      <c r="C1170" s="125" t="s">
        <v>672</v>
      </c>
      <c r="G1170" s="231"/>
      <c r="H1170" s="174"/>
      <c r="I1170" s="167"/>
      <c r="R1170" s="157"/>
      <c r="S1170" s="157"/>
    </row>
    <row r="1171" spans="2:19" ht="15.4">
      <c r="B1171" s="229"/>
      <c r="C1171" s="182"/>
      <c r="D1171" s="284" t="s">
        <v>843</v>
      </c>
      <c r="G1171" s="179" t="str">
        <f>"8.8*(29000/"&amp;+G545&amp;")^0.5 = "</f>
        <v xml:space="preserve">8.8*(29000/)^0.5 = </v>
      </c>
      <c r="H1171" s="186" t="e">
        <f>8.8*(29000/G545)^0.5</f>
        <v>#DIV/0!</v>
      </c>
      <c r="I1171" s="167"/>
      <c r="R1171" s="157"/>
      <c r="S1171" s="157"/>
    </row>
    <row r="1172" spans="2:19">
      <c r="C1172" s="139" t="e">
        <f>IF(E1167&lt;H1169,"Pipe is compact.",IF(E1167&lt;=H1171,"Pipe is noncompact.","Error - Diameter-to-thickness ratio is above the noncompact limit."))</f>
        <v>#DIV/0!</v>
      </c>
      <c r="G1172" s="167"/>
      <c r="I1172" s="167"/>
      <c r="R1172" s="157" t="e">
        <f>IF(piletype="H",0,IF(LEFT(C1172,5)="Error",1,0))</f>
        <v>#DIV/0!</v>
      </c>
      <c r="S1172" s="157" t="e">
        <f>IF(piletype="H",0,IF(LEFT(C1172,5)="Warni",1,0))</f>
        <v>#DIV/0!</v>
      </c>
    </row>
    <row r="1173" spans="2:19">
      <c r="C1173" s="139"/>
      <c r="G1173" s="167"/>
      <c r="I1173" s="167"/>
      <c r="R1173" s="157"/>
      <c r="S1173" s="157"/>
    </row>
    <row r="1174" spans="2:19">
      <c r="C1174" s="260" t="s">
        <v>209</v>
      </c>
      <c r="G1174" s="167"/>
      <c r="I1174" s="167"/>
      <c r="R1174" s="157"/>
      <c r="S1174" s="157"/>
    </row>
    <row r="1175" spans="2:19">
      <c r="C1175" s="579" t="s">
        <v>69</v>
      </c>
      <c r="D1175" s="579"/>
      <c r="E1175" s="579"/>
      <c r="F1175" s="579"/>
      <c r="G1175" s="579"/>
      <c r="H1175" s="579"/>
      <c r="I1175" s="579"/>
      <c r="J1175" s="579"/>
      <c r="K1175" s="579"/>
      <c r="L1175" s="579"/>
      <c r="M1175" s="579"/>
      <c r="R1175" s="157"/>
      <c r="S1175" s="157"/>
    </row>
    <row r="1176" spans="2:19">
      <c r="C1176" s="579"/>
      <c r="D1176" s="579"/>
      <c r="E1176" s="579"/>
      <c r="F1176" s="579"/>
      <c r="G1176" s="579"/>
      <c r="H1176" s="579"/>
      <c r="I1176" s="579"/>
      <c r="J1176" s="579"/>
      <c r="K1176" s="579"/>
      <c r="L1176" s="579"/>
      <c r="M1176" s="579"/>
      <c r="R1176" s="157"/>
      <c r="S1176" s="157"/>
    </row>
    <row r="1177" spans="2:19">
      <c r="B1177" s="201"/>
      <c r="C1177" s="579"/>
      <c r="D1177" s="579"/>
      <c r="E1177" s="579"/>
      <c r="F1177" s="579"/>
      <c r="G1177" s="579"/>
      <c r="H1177" s="579"/>
      <c r="I1177" s="579"/>
      <c r="J1177" s="579"/>
      <c r="K1177" s="579"/>
      <c r="L1177" s="579"/>
      <c r="M1177" s="579"/>
      <c r="R1177" s="157"/>
      <c r="S1177" s="157"/>
    </row>
    <row r="1178" spans="2:19">
      <c r="B1178" s="201"/>
      <c r="C1178" s="324"/>
      <c r="D1178" s="324"/>
      <c r="E1178" s="324"/>
      <c r="F1178" s="324"/>
      <c r="G1178" s="324"/>
      <c r="H1178" s="324"/>
      <c r="I1178" s="324"/>
      <c r="J1178" s="324"/>
      <c r="K1178" s="324"/>
      <c r="L1178" s="324"/>
      <c r="M1178" s="324"/>
      <c r="R1178" s="157"/>
      <c r="S1178" s="157"/>
    </row>
    <row r="1179" spans="2:19" ht="15">
      <c r="C1179" s="125" t="s">
        <v>458</v>
      </c>
      <c r="F1179" s="167" t="str">
        <f>+"("&amp;G545&amp;")("&amp;FIXED(G553,1,TRUE)&amp;") "</f>
        <v xml:space="preserve">()(0.0) </v>
      </c>
      <c r="G1179" s="125" t="s">
        <v>70</v>
      </c>
      <c r="I1179" s="133"/>
      <c r="J1179" s="228"/>
      <c r="K1179" s="176"/>
      <c r="R1179" s="157"/>
      <c r="S1179" s="157"/>
    </row>
    <row r="1180" spans="2:19" ht="15">
      <c r="C1180" s="133" t="s">
        <v>641</v>
      </c>
      <c r="D1180" s="336">
        <f>G545*G553</f>
        <v>0</v>
      </c>
      <c r="E1180" s="176" t="str">
        <f>"k-in = "&amp;FIXED(D1180/12,2)&amp;" k-ft"</f>
        <v>k-in = 0.00 k-ft</v>
      </c>
      <c r="I1180" s="133"/>
      <c r="J1180" s="228"/>
      <c r="R1180" s="157"/>
      <c r="S1180" s="157"/>
    </row>
    <row r="1181" spans="2:19" ht="15">
      <c r="C1181" s="125" t="s">
        <v>676</v>
      </c>
      <c r="F1181" s="176" t="str">
        <f>"("&amp;G545&amp;")("&amp;FIXED(G551,1,TRUE)&amp;") ="</f>
        <v>()(0.0) =</v>
      </c>
      <c r="G1181" s="336">
        <f>G545*G551</f>
        <v>0</v>
      </c>
      <c r="H1181" s="176" t="str">
        <f>"k-in = "&amp;FIXED(G1181/12,2)&amp;" k-ft"</f>
        <v>k-in = 0.00 k-ft</v>
      </c>
      <c r="I1181" s="133"/>
      <c r="J1181" s="228"/>
      <c r="K1181" s="176"/>
      <c r="R1181" s="157"/>
      <c r="S1181" s="157"/>
    </row>
    <row r="1182" spans="2:19">
      <c r="G1182" s="176"/>
      <c r="H1182" s="181"/>
      <c r="I1182" s="167"/>
      <c r="R1182" s="157"/>
      <c r="S1182" s="157"/>
    </row>
    <row r="1183" spans="2:19" ht="15">
      <c r="C1183" s="125" t="s">
        <v>477</v>
      </c>
      <c r="H1183" s="338" t="e">
        <f>IF(E1167&lt;H1169,"Mp since the pipe is compact.",IF(E1167&lt;H1171,"My since the pipe is noncompact.",IF(AND(E1167&lt;H1171,G1181&gt;D1180),"Mp since the pipe is noncompact but My exceeds Mp.","")))</f>
        <v>#DIV/0!</v>
      </c>
      <c r="I1183" s="133" t="s">
        <v>71</v>
      </c>
      <c r="J1183" s="336" t="e">
        <f>IF(E1167&lt;H1169,D1180,IF(AND(E1167&lt;H1171,G1181&gt;D1180),D1180,IF(E1167&lt;H1171,G1181,"")))</f>
        <v>#DIV/0!</v>
      </c>
      <c r="K1183" s="176" t="e">
        <f>"k-in = "&amp;FIXED(J1183/12,2)&amp;" k-ft"</f>
        <v>#DIV/0!</v>
      </c>
      <c r="R1183" s="157"/>
      <c r="S1183" s="157"/>
    </row>
    <row r="1184" spans="2:19">
      <c r="H1184" s="181"/>
      <c r="I1184" s="167"/>
      <c r="L1184" s="580"/>
      <c r="M1184" s="580"/>
      <c r="R1184" s="157"/>
      <c r="S1184" s="157"/>
    </row>
    <row r="1185" spans="1:19">
      <c r="C1185" s="260" t="s">
        <v>210</v>
      </c>
      <c r="D1185" s="153"/>
      <c r="E1185" s="153"/>
      <c r="F1185" s="334"/>
      <c r="G1185" s="176"/>
      <c r="H1185" s="176"/>
      <c r="I1185" s="176"/>
      <c r="R1185" s="157"/>
      <c r="S1185" s="157"/>
    </row>
    <row r="1186" spans="1:19" ht="15">
      <c r="C1186" s="125" t="s">
        <v>668</v>
      </c>
      <c r="I1186" s="176" t="e">
        <f>"("&amp;FIXED(G930,2,TRUE)&amp;")("&amp;FIXED(J1183,1,TRUE)&amp;")"</f>
        <v>#DIV/0!</v>
      </c>
      <c r="R1186" s="157"/>
      <c r="S1186" s="157"/>
    </row>
    <row r="1187" spans="1:19" ht="15">
      <c r="C1187" s="133" t="s">
        <v>211</v>
      </c>
      <c r="D1187" s="336" t="e">
        <f>J1183*G930</f>
        <v>#DIV/0!</v>
      </c>
      <c r="E1187" s="176" t="s">
        <v>255</v>
      </c>
      <c r="I1187" s="167"/>
      <c r="R1187" s="157"/>
      <c r="S1187" s="157"/>
    </row>
    <row r="1188" spans="1:19" ht="15">
      <c r="C1188" s="133" t="s">
        <v>211</v>
      </c>
      <c r="D1188" s="228" t="e">
        <f>D1187/12</f>
        <v>#DIV/0!</v>
      </c>
      <c r="E1188" s="125" t="s">
        <v>830</v>
      </c>
      <c r="I1188" s="167"/>
      <c r="R1188" s="157"/>
      <c r="S1188" s="157"/>
    </row>
    <row r="1189" spans="1:19">
      <c r="I1189" s="167"/>
      <c r="R1189" s="157"/>
      <c r="S1189" s="157"/>
    </row>
    <row r="1190" spans="1:19">
      <c r="B1190" s="260" t="s">
        <v>786</v>
      </c>
      <c r="C1190" s="153"/>
      <c r="D1190" s="153"/>
      <c r="E1190" s="153"/>
      <c r="F1190" s="153"/>
      <c r="G1190" s="153"/>
      <c r="H1190" s="153"/>
      <c r="I1190" s="153"/>
      <c r="J1190" s="153"/>
      <c r="K1190" s="153"/>
      <c r="L1190" s="153"/>
      <c r="M1190" s="153"/>
      <c r="R1190" s="157"/>
      <c r="S1190" s="157"/>
    </row>
    <row r="1191" spans="1:19">
      <c r="B1191" s="578" t="s">
        <v>409</v>
      </c>
      <c r="C1191" s="578"/>
      <c r="D1191" s="578"/>
      <c r="E1191" s="578"/>
      <c r="F1191" s="578"/>
      <c r="G1191" s="578"/>
      <c r="H1191" s="578"/>
      <c r="I1191" s="578"/>
      <c r="J1191" s="578"/>
      <c r="K1191" s="578"/>
      <c r="L1191" s="578"/>
      <c r="M1191" s="578"/>
      <c r="R1191" s="157"/>
      <c r="S1191" s="157"/>
    </row>
    <row r="1192" spans="1:19" ht="15">
      <c r="B1192" s="125" t="s">
        <v>207</v>
      </c>
      <c r="C1192" s="153"/>
      <c r="D1192" s="153"/>
      <c r="E1192" s="153"/>
      <c r="F1192" s="153"/>
      <c r="G1192" s="153"/>
      <c r="H1192" s="153"/>
      <c r="I1192" s="153"/>
      <c r="J1192" s="153"/>
      <c r="K1192" s="153"/>
      <c r="L1192" s="153"/>
      <c r="M1192" s="153"/>
      <c r="R1192" s="157"/>
      <c r="S1192" s="157"/>
    </row>
    <row r="1193" spans="1:19" ht="15">
      <c r="B1193" s="125" t="s">
        <v>208</v>
      </c>
      <c r="C1193" s="153"/>
      <c r="D1193" s="153"/>
      <c r="E1193" s="153"/>
      <c r="F1193" s="153"/>
      <c r="G1193" s="153"/>
      <c r="H1193" s="153"/>
      <c r="I1193" s="153"/>
      <c r="J1193" s="153"/>
      <c r="K1193" s="153"/>
      <c r="L1193" s="153"/>
      <c r="M1193" s="153"/>
      <c r="R1193" s="157"/>
      <c r="S1193" s="157"/>
    </row>
    <row r="1194" spans="1:19" ht="15">
      <c r="B1194" s="174" t="s">
        <v>90</v>
      </c>
      <c r="D1194" s="167" t="e">
        <f>FIXED(+G827,1,TRUE)&amp;"/"&amp;FIXED(+D1155,1,TRUE)&amp;" = "</f>
        <v>#DIV/0!</v>
      </c>
      <c r="F1194" s="186" t="e">
        <f>+G827/D1155</f>
        <v>#DIV/0!</v>
      </c>
      <c r="G1194" s="153"/>
      <c r="H1194" s="153"/>
      <c r="I1194" s="153"/>
      <c r="J1194" s="153"/>
      <c r="K1194" s="153"/>
      <c r="L1194" s="153"/>
      <c r="M1194" s="153"/>
      <c r="R1194" s="157"/>
      <c r="S1194" s="157"/>
    </row>
    <row r="1195" spans="1:19">
      <c r="B1195" s="174"/>
      <c r="D1195" s="167"/>
      <c r="F1195" s="186"/>
      <c r="G1195" s="153"/>
      <c r="H1195" s="153"/>
      <c r="I1195" s="153"/>
      <c r="J1195" s="153"/>
      <c r="K1195" s="153"/>
      <c r="L1195" s="153"/>
      <c r="M1195" s="153"/>
      <c r="R1195" s="157"/>
      <c r="S1195" s="157"/>
    </row>
    <row r="1196" spans="1:19">
      <c r="B1196" s="125" t="s">
        <v>91</v>
      </c>
      <c r="C1196" s="153"/>
      <c r="D1196" s="153"/>
      <c r="F1196" s="174" t="e">
        <f>IF(F1194&lt;0.2,FIXED(G827,1,TRUE)&amp;"/(2*"&amp;FIXED(D1155,1,TRUE)&amp;") + "&amp;G858&amp;"/"&amp;FIXED(D1188,2,TRUE)&amp;" =",FIXED(G827,1,TRUE)&amp;"/"&amp;FIXED(D1155,1,TRUE)&amp;" + (8.0/9.0)("&amp;G858&amp;"/"&amp;FIXED(D1188,2,TRUE)&amp;") =")</f>
        <v>#DIV/0!</v>
      </c>
      <c r="G1196" s="162"/>
      <c r="H1196" s="153"/>
      <c r="I1196" s="167" t="e">
        <f>IF(D1194&lt;0.2,G827/D1155/2+G858/D1188,G827/D1155+(8/9)*(G858/D1188))</f>
        <v>#DIV/0!</v>
      </c>
      <c r="J1196" s="187" t="e">
        <f>IF(I1196&gt;1.0049,"&gt; 1.0 NG","&lt; 1.00 OK")</f>
        <v>#DIV/0!</v>
      </c>
      <c r="K1196" s="153"/>
      <c r="L1196" s="153"/>
      <c r="M1196" s="153"/>
      <c r="R1196" s="157"/>
      <c r="S1196" s="157"/>
    </row>
    <row r="1197" spans="1:19">
      <c r="C1197" s="163" t="e">
        <f>IF(I1196&gt;1.0049,"Error - "&amp;FIXED(I1196,2,TRUE)&amp;" &gt; 1.00  - Increase the number of piles or change the pile section - push ctrl-a","")</f>
        <v>#DIV/0!</v>
      </c>
      <c r="R1197" s="157" t="e">
        <f>IF(piletype="H",0,IF(LEFT(C1197,5)="Error",1,0))</f>
        <v>#DIV/0!</v>
      </c>
      <c r="S1197" s="157" t="e">
        <f>IF(piletype="H",0,IF(LEFT(C1197,5)="Warni",1,0))</f>
        <v>#DIV/0!</v>
      </c>
    </row>
    <row r="1198" spans="1:19" ht="13.15">
      <c r="A1198" s="253" t="s">
        <v>694</v>
      </c>
      <c r="D1198" s="164"/>
      <c r="H1198" s="167"/>
      <c r="R1198" s="157"/>
      <c r="S1198" s="157"/>
    </row>
    <row r="1199" spans="1:19">
      <c r="A1199" s="170"/>
      <c r="D1199" s="164"/>
      <c r="H1199" s="167"/>
      <c r="R1199" s="157"/>
      <c r="S1199" s="157"/>
    </row>
    <row r="1200" spans="1:19">
      <c r="A1200" s="583" t="s">
        <v>502</v>
      </c>
      <c r="B1200" s="583"/>
      <c r="C1200" s="583"/>
      <c r="D1200" s="583"/>
      <c r="E1200" s="583"/>
      <c r="F1200" s="583"/>
      <c r="G1200" s="583"/>
      <c r="H1200" s="583"/>
      <c r="I1200" s="583"/>
      <c r="J1200" s="583"/>
      <c r="K1200" s="583"/>
      <c r="L1200" s="583"/>
      <c r="M1200" s="583"/>
      <c r="R1200" s="157"/>
      <c r="S1200" s="157"/>
    </row>
    <row r="1201" spans="1:19">
      <c r="A1201" s="583"/>
      <c r="B1201" s="583"/>
      <c r="C1201" s="583"/>
      <c r="D1201" s="583"/>
      <c r="E1201" s="583"/>
      <c r="F1201" s="583"/>
      <c r="G1201" s="583"/>
      <c r="H1201" s="583"/>
      <c r="I1201" s="583"/>
      <c r="J1201" s="583"/>
      <c r="K1201" s="583"/>
      <c r="L1201" s="583"/>
      <c r="M1201" s="583"/>
      <c r="R1201" s="157"/>
      <c r="S1201" s="157"/>
    </row>
    <row r="1202" spans="1:19">
      <c r="A1202" s="583"/>
      <c r="B1202" s="583"/>
      <c r="C1202" s="583"/>
      <c r="D1202" s="583"/>
      <c r="E1202" s="583"/>
      <c r="F1202" s="583"/>
      <c r="G1202" s="583"/>
      <c r="H1202" s="583"/>
      <c r="I1202" s="583"/>
      <c r="J1202" s="583"/>
      <c r="K1202" s="583"/>
      <c r="L1202" s="583"/>
      <c r="M1202" s="583"/>
      <c r="R1202" s="157"/>
      <c r="S1202" s="157"/>
    </row>
    <row r="1203" spans="1:19">
      <c r="A1203" s="137"/>
      <c r="B1203" s="137"/>
      <c r="C1203" s="137"/>
      <c r="D1203" s="137"/>
      <c r="E1203" s="137"/>
      <c r="F1203" s="137"/>
      <c r="G1203" s="137"/>
      <c r="H1203" s="137"/>
      <c r="I1203" s="137"/>
      <c r="J1203" s="137"/>
      <c r="R1203" s="157"/>
      <c r="S1203" s="157"/>
    </row>
    <row r="1204" spans="1:19" ht="15">
      <c r="B1204" s="125" t="s">
        <v>372</v>
      </c>
      <c r="G1204" s="170"/>
      <c r="J1204" s="167"/>
      <c r="R1204" s="157"/>
      <c r="S1204" s="157"/>
    </row>
    <row r="1205" spans="1:19" ht="13.15">
      <c r="B1205" s="331" t="s">
        <v>695</v>
      </c>
      <c r="G1205" s="170"/>
      <c r="R1205" s="157"/>
      <c r="S1205" s="157"/>
    </row>
    <row r="1206" spans="1:19" ht="15">
      <c r="B1206" s="331" t="s">
        <v>371</v>
      </c>
      <c r="G1206" s="170"/>
      <c r="R1206" s="157"/>
      <c r="S1206" s="157"/>
    </row>
    <row r="1207" spans="1:19" ht="13.15">
      <c r="B1207" s="226"/>
      <c r="G1207" s="170"/>
      <c r="R1207" s="157"/>
      <c r="S1207" s="157"/>
    </row>
    <row r="1208" spans="1:19">
      <c r="A1208" s="578" t="s">
        <v>460</v>
      </c>
      <c r="B1208" s="578"/>
      <c r="C1208" s="578"/>
      <c r="D1208" s="578"/>
      <c r="E1208" s="578"/>
      <c r="F1208" s="578"/>
      <c r="G1208" s="578"/>
      <c r="H1208" s="578"/>
      <c r="I1208" s="578"/>
      <c r="J1208" s="578"/>
      <c r="K1208" s="578"/>
      <c r="L1208" s="578"/>
      <c r="M1208" s="578"/>
      <c r="R1208" s="157"/>
      <c r="S1208" s="157"/>
    </row>
    <row r="1209" spans="1:19">
      <c r="A1209" s="578"/>
      <c r="B1209" s="578"/>
      <c r="C1209" s="578"/>
      <c r="D1209" s="578"/>
      <c r="E1209" s="578"/>
      <c r="F1209" s="578"/>
      <c r="G1209" s="578"/>
      <c r="H1209" s="578"/>
      <c r="I1209" s="578"/>
      <c r="J1209" s="578"/>
      <c r="K1209" s="578"/>
      <c r="L1209" s="578"/>
      <c r="M1209" s="578"/>
      <c r="R1209" s="157"/>
      <c r="S1209" s="157"/>
    </row>
    <row r="1210" spans="1:19">
      <c r="A1210" s="578"/>
      <c r="B1210" s="578"/>
      <c r="C1210" s="578"/>
      <c r="D1210" s="578"/>
      <c r="E1210" s="578"/>
      <c r="F1210" s="578"/>
      <c r="G1210" s="578"/>
      <c r="H1210" s="578"/>
      <c r="I1210" s="578"/>
      <c r="J1210" s="578"/>
      <c r="K1210" s="578"/>
      <c r="L1210" s="578"/>
      <c r="M1210" s="578"/>
      <c r="R1210" s="157"/>
      <c r="S1210" s="157"/>
    </row>
    <row r="1211" spans="1:19">
      <c r="A1211" s="137"/>
      <c r="B1211" s="137"/>
      <c r="C1211" s="137"/>
      <c r="D1211" s="137"/>
      <c r="E1211" s="137"/>
      <c r="F1211" s="137"/>
      <c r="G1211" s="137"/>
      <c r="H1211" s="161"/>
      <c r="R1211" s="157"/>
      <c r="S1211" s="157"/>
    </row>
    <row r="1212" spans="1:19" ht="15">
      <c r="B1212" s="125" t="s">
        <v>73</v>
      </c>
      <c r="R1212" s="157"/>
      <c r="S1212" s="157"/>
    </row>
    <row r="1213" spans="1:19" ht="15">
      <c r="B1213" s="229" t="s">
        <v>72</v>
      </c>
      <c r="C1213" s="125" t="str">
        <f>IF(G33="C",90,IF(G33="S",120,""))</f>
        <v/>
      </c>
      <c r="D1213" s="206" t="s">
        <v>698</v>
      </c>
      <c r="E1213" s="125" t="str">
        <f>IF(G33="C","For concrete girders",IF(G33="S","For steel girders",""))&amp;" per DM-4 3.12.2.1"</f>
        <v xml:space="preserve"> per DM-4 3.12.2.1</v>
      </c>
      <c r="H1213" s="206"/>
      <c r="R1213" s="157"/>
      <c r="S1213" s="157"/>
    </row>
    <row r="1214" spans="1:19" ht="14.25">
      <c r="H1214" s="206"/>
      <c r="R1214" s="157"/>
      <c r="S1214" s="157"/>
    </row>
    <row r="1215" spans="1:19" ht="15">
      <c r="A1215" s="137"/>
      <c r="B1215" s="125" t="s">
        <v>75</v>
      </c>
      <c r="D1215" s="137"/>
      <c r="E1215" s="137"/>
      <c r="F1215" s="174" t="str">
        <f>"= ("&amp;FIXED(H697/100,2)&amp;")("&amp;FIXED(G690,1)&amp;")("&amp;G688&amp;")("&amp;C1213&amp;")("&amp;G47&amp;" x 12 in/ft)"</f>
        <v>= (0.00)(1.0)(0.0000065)()( x 12 in/ft)</v>
      </c>
      <c r="I1215" s="137"/>
      <c r="J1215" s="137"/>
      <c r="R1215" s="157"/>
      <c r="S1215" s="157"/>
    </row>
    <row r="1216" spans="1:19" ht="13.15">
      <c r="B1216" s="229" t="s">
        <v>74</v>
      </c>
      <c r="C1216" s="182" t="e">
        <f>(H697/100)*G690*G688*IF(G33="C",90,IF(G33="S",120,""))*G47*12</f>
        <v>#VALUE!</v>
      </c>
      <c r="D1216" s="125" t="s">
        <v>516</v>
      </c>
      <c r="I1216" s="165"/>
      <c r="J1216" s="131"/>
      <c r="R1216" s="157"/>
      <c r="S1216" s="157"/>
    </row>
    <row r="1217" spans="1:19">
      <c r="G1217" s="188"/>
      <c r="I1217" s="167"/>
      <c r="R1217" s="157"/>
      <c r="S1217" s="157"/>
    </row>
    <row r="1218" spans="1:19">
      <c r="A1218" s="583" t="s">
        <v>633</v>
      </c>
      <c r="B1218" s="583"/>
      <c r="C1218" s="583"/>
      <c r="D1218" s="583"/>
      <c r="E1218" s="583"/>
      <c r="F1218" s="583"/>
      <c r="G1218" s="583"/>
      <c r="H1218" s="583"/>
      <c r="I1218" s="583"/>
      <c r="J1218" s="583"/>
      <c r="K1218" s="583"/>
      <c r="L1218" s="583"/>
      <c r="M1218" s="583"/>
      <c r="R1218" s="157"/>
      <c r="S1218" s="157"/>
    </row>
    <row r="1219" spans="1:19">
      <c r="A1219" s="583"/>
      <c r="B1219" s="583"/>
      <c r="C1219" s="583"/>
      <c r="D1219" s="583"/>
      <c r="E1219" s="583"/>
      <c r="F1219" s="583"/>
      <c r="G1219" s="583"/>
      <c r="H1219" s="583"/>
      <c r="I1219" s="583"/>
      <c r="J1219" s="583"/>
      <c r="K1219" s="583"/>
      <c r="L1219" s="583"/>
      <c r="M1219" s="583"/>
      <c r="R1219" s="157"/>
      <c r="S1219" s="157"/>
    </row>
    <row r="1220" spans="1:19" ht="15">
      <c r="B1220" s="125" t="s">
        <v>474</v>
      </c>
      <c r="G1220" s="517" t="e">
        <f>+FIXED(ABS(H421),6)&amp;" + "&amp;FIXED(ABS(H425),6)</f>
        <v>#DIV/0!</v>
      </c>
      <c r="R1220" s="157"/>
      <c r="S1220" s="157"/>
    </row>
    <row r="1221" spans="1:19" ht="15">
      <c r="C1221" s="229" t="s">
        <v>76</v>
      </c>
      <c r="D1221" s="511" t="e">
        <f>(ABS(H421)+ABS(H425))</f>
        <v>#DIV/0!</v>
      </c>
      <c r="E1221" s="125" t="s">
        <v>503</v>
      </c>
      <c r="F1221" s="89" t="e">
        <f>+D1221*180/PI()</f>
        <v>#DIV/0!</v>
      </c>
      <c r="G1221" s="125" t="s">
        <v>833</v>
      </c>
      <c r="R1221" s="157"/>
      <c r="S1221" s="157"/>
    </row>
    <row r="1222" spans="1:19">
      <c r="G1222" s="189"/>
      <c r="I1222" s="89"/>
      <c r="R1222" s="157"/>
      <c r="S1222" s="157"/>
    </row>
    <row r="1223" spans="1:19" ht="15">
      <c r="B1223" s="125" t="s">
        <v>77</v>
      </c>
      <c r="E1223" s="177">
        <f>+(G545)</f>
        <v>0</v>
      </c>
      <c r="F1223" s="177" t="s">
        <v>829</v>
      </c>
      <c r="I1223" s="178"/>
      <c r="J1223" s="178"/>
      <c r="R1223" s="157"/>
      <c r="S1223" s="157"/>
    </row>
    <row r="1224" spans="1:19">
      <c r="G1224" s="177"/>
      <c r="I1224" s="177"/>
      <c r="J1224" s="177"/>
      <c r="R1224" s="157"/>
      <c r="S1224" s="157"/>
    </row>
    <row r="1225" spans="1:19">
      <c r="A1225" s="125" t="s">
        <v>679</v>
      </c>
      <c r="G1225" s="177"/>
      <c r="R1225" s="157"/>
      <c r="S1225" s="157"/>
    </row>
    <row r="1226" spans="1:19" ht="15">
      <c r="B1226" s="125" t="s">
        <v>473</v>
      </c>
      <c r="F1226" s="125" t="str">
        <f>+"("&amp;G545&amp;")("&amp;FIXED(G553,1,TRUE)&amp;")("&amp;G840&amp;")/(3*29000*"&amp;FIXED(G550,0,TRUE)&amp;") "</f>
        <v xml:space="preserve">()(0.0)()/(3*29000*0) </v>
      </c>
      <c r="R1226" s="157"/>
      <c r="S1226" s="157"/>
    </row>
    <row r="1227" spans="1:19" ht="15">
      <c r="C1227" s="229" t="s">
        <v>78</v>
      </c>
      <c r="D1227" s="511" t="e">
        <f>+G545*G553*G840/(3*29000*G550)</f>
        <v>#DIV/0!</v>
      </c>
      <c r="E1227" s="125" t="s">
        <v>503</v>
      </c>
      <c r="F1227" s="89" t="e">
        <f>+D1227*180/PI()</f>
        <v>#DIV/0!</v>
      </c>
      <c r="G1227" s="125" t="s">
        <v>833</v>
      </c>
      <c r="R1227" s="157"/>
      <c r="S1227" s="157"/>
    </row>
    <row r="1228" spans="1:19">
      <c r="G1228" s="189"/>
      <c r="I1228" s="89"/>
      <c r="R1228" s="157"/>
      <c r="S1228" s="157"/>
    </row>
    <row r="1229" spans="1:19" ht="15">
      <c r="B1229" s="125" t="s">
        <v>373</v>
      </c>
      <c r="D1229" s="226"/>
      <c r="R1229" s="157"/>
      <c r="S1229" s="157"/>
    </row>
    <row r="1230" spans="1:19" ht="15">
      <c r="B1230" s="147" t="s">
        <v>478</v>
      </c>
      <c r="D1230" s="232" t="str">
        <f>IF(G535="H","19/6 - 5.68",IF(G535="P","3.50-1.25",""))</f>
        <v/>
      </c>
      <c r="E1230" s="233" t="s">
        <v>919</v>
      </c>
      <c r="F1230" s="139" t="str">
        <f>IF(G535="H","(bf / 2tf) =",IF(G535="P","(D / t) =",""))</f>
        <v/>
      </c>
      <c r="G1230" s="213" t="str">
        <f>IF(G535="H","19/6 - 5.68 * ("&amp;E1223&amp;"/29000)^0.5 ["&amp;G547&amp;"/(2*"&amp;G548&amp;")] = "&amp;FIXED(19/6-5.68*(E1223/29000)^0.5*(G547/(2*G548)),2,TRUE),IF(G535="P","3.50 - 1.25 * ("&amp;E1223&amp;"/29000)^0.5 ("&amp;G547&amp;"/"&amp;G548&amp;") = "&amp;FIXED(3.5-1.25*(E1223/29000)^0.5*(G547/G548),2,TRUE),""))</f>
        <v/>
      </c>
      <c r="H1230" s="139"/>
      <c r="I1230" s="204"/>
      <c r="J1230" s="139"/>
      <c r="K1230" s="139"/>
      <c r="R1230" s="157"/>
      <c r="S1230" s="157"/>
    </row>
    <row r="1231" spans="1:19" ht="15">
      <c r="C1231" s="179" t="s">
        <v>634</v>
      </c>
      <c r="D1231" s="234" t="str">
        <f>IF(G535="H",IF(19/6-5.68*(E1223/29000)^0.5*(G547/(2*G548))&lt;0,0,IF(19/6-5.68*(E1223/29000)^0.5*(G547/(2*G548))&gt;1,1,19/6-5.68*(E1223/29000)^0.5*(G547/(2*G548)))),IF(G535="P",IF(3.5-1.25*(E1223/29000)^0.5*(G547/G548)&lt;0,0,IF(3.5-1.25*(E1223/29000)^0.5*(G547/G548)&gt;1,1,3.5-1.25*(E1223/29000)^0.5*(G547/G548))),""))</f>
        <v/>
      </c>
      <c r="F1231" s="133"/>
      <c r="I1231" s="167"/>
      <c r="R1231" s="157"/>
      <c r="S1231" s="157"/>
    </row>
    <row r="1232" spans="1:19">
      <c r="F1232" s="133"/>
      <c r="R1232" s="157"/>
      <c r="S1232" s="157"/>
    </row>
    <row r="1233" spans="1:19" ht="15">
      <c r="B1233" s="125" t="s">
        <v>80</v>
      </c>
      <c r="F1233" s="133"/>
      <c r="G1233" s="174" t="e">
        <f>"[("&amp;FIXED(J1234,3,TRUE)&amp;")("&amp;FIXED(D1231,2,TRUE)&amp;")("&amp;FIXED(D1180,2,TRUE)&amp;")("&amp;G840&amp;")]/[(29000)("&amp;FIXED(G550,0,TRUE)&amp;")] "</f>
        <v>#VALUE!</v>
      </c>
      <c r="Q1233" s="170"/>
      <c r="R1233" s="157"/>
      <c r="S1233" s="236" t="e">
        <f>IF(2*(T1230-D1227)+D1221&lt;0,"No plastic rotation occurs","")</f>
        <v>#DIV/0!</v>
      </c>
    </row>
    <row r="1234" spans="1:19" ht="15">
      <c r="C1234" s="229" t="s">
        <v>79</v>
      </c>
      <c r="D1234" s="511" t="e">
        <f>(J1234*D1231*D1180*G840)/(29000*G550)</f>
        <v>#VALUE!</v>
      </c>
      <c r="E1234" s="167" t="s">
        <v>503</v>
      </c>
      <c r="F1234" s="89" t="e">
        <f>+D1234*180/PI()</f>
        <v>#VALUE!</v>
      </c>
      <c r="G1234" s="125" t="s">
        <v>833</v>
      </c>
      <c r="I1234" s="133" t="str">
        <f>IF(G535="H","For H-piles, K =",IF(G535="P","For pipe piles, K=",""))</f>
        <v/>
      </c>
      <c r="J1234" s="235" t="str">
        <f>IF(G535="H",1.5,IF(G535="P",0.96154,""))</f>
        <v/>
      </c>
      <c r="R1234" s="157"/>
      <c r="S1234" s="157"/>
    </row>
    <row r="1235" spans="1:19">
      <c r="R1235" s="157"/>
      <c r="S1235" s="157"/>
    </row>
    <row r="1236" spans="1:19" ht="15">
      <c r="B1236" s="125" t="s">
        <v>461</v>
      </c>
      <c r="G1236" s="189"/>
      <c r="H1236" s="167"/>
      <c r="J1236" s="133" t="e">
        <f>"(4)("&amp;G840&amp;")[("&amp;FIXED(D1234,4)&amp;" - "&amp;FIXED(D1221,4)&amp;")/2 + "&amp;FIXED(D1227,4)&amp;"] "</f>
        <v>#VALUE!</v>
      </c>
      <c r="R1236" s="157"/>
      <c r="S1236" s="157"/>
    </row>
    <row r="1237" spans="1:19" ht="15">
      <c r="B1237" s="229" t="s">
        <v>81</v>
      </c>
      <c r="C1237" s="228" t="e">
        <f>4*G840*((D1234-D1221)/2+D1227)</f>
        <v>#VALUE!</v>
      </c>
      <c r="D1237" s="125" t="s">
        <v>516</v>
      </c>
      <c r="G1237" s="167"/>
      <c r="I1237" s="176"/>
      <c r="R1237" s="157"/>
      <c r="S1237" s="157"/>
    </row>
    <row r="1238" spans="1:19">
      <c r="I1238" s="165"/>
      <c r="J1238" s="131"/>
      <c r="R1238" s="157"/>
      <c r="S1238" s="157"/>
    </row>
    <row r="1239" spans="1:19">
      <c r="B1239" s="606" t="e">
        <f>IF(C1237-C1216&lt;0,"Error - "&amp;FIXED(C1216,2,TRUE)&amp;" in &gt; "&amp;FIXED(C1237,2,TRUE)&amp;" in - allowable displacement exceeded - choose a different pile section - push ctrl-a",FIXED(C1216,2,TRUE)&amp;" in &lt; "&amp;FIXED(C1237,2,TRUE)&amp;" in - OK")</f>
        <v>#VALUE!</v>
      </c>
      <c r="C1239" s="606"/>
      <c r="D1239" s="606"/>
      <c r="E1239" s="606"/>
      <c r="F1239" s="606"/>
      <c r="G1239" s="606"/>
      <c r="H1239" s="606"/>
      <c r="I1239" s="606"/>
      <c r="J1239" s="606"/>
      <c r="K1239" s="606"/>
      <c r="L1239" s="606"/>
      <c r="R1239" s="157" t="e">
        <f>IF(LEFT(B1239,5)="Error",1,0)</f>
        <v>#VALUE!</v>
      </c>
      <c r="S1239" s="157" t="e">
        <f>IF(LEFT(B1239,5)="Warni",1,0)</f>
        <v>#VALUE!</v>
      </c>
    </row>
    <row r="1240" spans="1:19">
      <c r="B1240" s="606"/>
      <c r="C1240" s="606"/>
      <c r="D1240" s="606"/>
      <c r="E1240" s="606"/>
      <c r="F1240" s="606"/>
      <c r="G1240" s="606"/>
      <c r="H1240" s="606"/>
      <c r="I1240" s="606"/>
      <c r="J1240" s="606"/>
      <c r="K1240" s="606"/>
      <c r="L1240" s="606"/>
      <c r="R1240" s="157"/>
      <c r="S1240" s="157"/>
    </row>
    <row r="1241" spans="1:19" ht="13.15">
      <c r="A1241" s="253" t="s">
        <v>220</v>
      </c>
      <c r="C1241" s="164"/>
      <c r="G1241" s="167"/>
      <c r="I1241" s="167"/>
      <c r="R1241" s="157"/>
      <c r="S1241" s="157"/>
    </row>
    <row r="1242" spans="1:19">
      <c r="C1242" s="164"/>
      <c r="G1242" s="167"/>
      <c r="I1242" s="167"/>
      <c r="R1242" s="157"/>
      <c r="S1242" s="157"/>
    </row>
    <row r="1243" spans="1:19">
      <c r="A1243" s="134" t="s">
        <v>796</v>
      </c>
      <c r="B1243" s="237"/>
      <c r="C1243" s="237"/>
      <c r="D1243" s="237"/>
      <c r="E1243" s="237"/>
      <c r="F1243" s="237"/>
      <c r="G1243" s="237"/>
      <c r="H1243" s="237"/>
      <c r="I1243" s="237"/>
      <c r="J1243" s="237"/>
      <c r="R1243" s="157"/>
      <c r="S1243" s="157"/>
    </row>
    <row r="1244" spans="1:19">
      <c r="A1244" s="596" t="s">
        <v>635</v>
      </c>
      <c r="B1244" s="596"/>
      <c r="C1244" s="596"/>
      <c r="D1244" s="596"/>
      <c r="E1244" s="596"/>
      <c r="F1244" s="596"/>
      <c r="G1244" s="596"/>
      <c r="H1244" s="596"/>
      <c r="I1244" s="596"/>
      <c r="J1244" s="596"/>
      <c r="K1244" s="596"/>
      <c r="L1244" s="596"/>
      <c r="M1244" s="596"/>
      <c r="R1244" s="157"/>
      <c r="S1244" s="157"/>
    </row>
    <row r="1245" spans="1:19">
      <c r="A1245" s="596"/>
      <c r="B1245" s="596"/>
      <c r="C1245" s="596"/>
      <c r="D1245" s="596"/>
      <c r="E1245" s="596"/>
      <c r="F1245" s="596"/>
      <c r="G1245" s="596"/>
      <c r="H1245" s="596"/>
      <c r="I1245" s="596"/>
      <c r="J1245" s="596"/>
      <c r="K1245" s="596"/>
      <c r="L1245" s="596"/>
      <c r="M1245" s="596"/>
      <c r="R1245" s="157"/>
      <c r="S1245" s="157"/>
    </row>
    <row r="1246" spans="1:19">
      <c r="A1246" s="136"/>
      <c r="B1246" s="136"/>
      <c r="C1246" s="136"/>
      <c r="D1246" s="136"/>
      <c r="E1246" s="136"/>
      <c r="F1246" s="136"/>
      <c r="G1246" s="136"/>
      <c r="H1246" s="136"/>
      <c r="I1246" s="136"/>
      <c r="J1246" s="136"/>
      <c r="R1246" s="157"/>
      <c r="S1246" s="157"/>
    </row>
    <row r="1247" spans="1:19">
      <c r="B1247" s="170" t="s">
        <v>822</v>
      </c>
      <c r="C1247" s="170"/>
      <c r="D1247" s="170"/>
      <c r="E1247" s="170"/>
      <c r="F1247" s="170"/>
      <c r="G1247" s="183" t="e">
        <f>"maximum of "&amp;FIXED(K333,2,TRUE)&amp;" and "&amp;FIXED(K354,2,TRUE)&amp;" ="</f>
        <v>#DIV/0!</v>
      </c>
      <c r="H1247" s="167" t="e">
        <f>MAX(K333,K354)</f>
        <v>#DIV/0!</v>
      </c>
      <c r="I1247" s="125" t="s">
        <v>338</v>
      </c>
      <c r="J1247" s="165"/>
      <c r="K1247" s="131"/>
      <c r="R1247" s="157"/>
      <c r="S1247" s="157"/>
    </row>
    <row r="1248" spans="1:19">
      <c r="B1248" s="170"/>
      <c r="C1248" s="170"/>
      <c r="D1248" s="170"/>
      <c r="E1248" s="170"/>
      <c r="F1248" s="170"/>
      <c r="G1248" s="183" t="e">
        <f>"minimum of "&amp;FIXED(K334,2,TRUE)&amp;" and "&amp;FIXED(K355,2,TRUE)&amp;" ="</f>
        <v>#DIV/0!</v>
      </c>
      <c r="H1248" s="167" t="e">
        <f>+MIN(K334,K355)</f>
        <v>#DIV/0!</v>
      </c>
      <c r="I1248" s="125" t="s">
        <v>338</v>
      </c>
      <c r="J1248" s="165"/>
      <c r="K1248" s="131"/>
      <c r="R1248" s="157"/>
      <c r="S1248" s="157"/>
    </row>
    <row r="1249" spans="1:19">
      <c r="B1249" s="170" t="s">
        <v>837</v>
      </c>
      <c r="C1249" s="170"/>
      <c r="D1249" s="170"/>
      <c r="E1249" s="170"/>
      <c r="F1249" s="170"/>
      <c r="G1249" s="183" t="e">
        <f>"maximum of "&amp;FIXED(K337,2,TRUE)&amp;" and "&amp;FIXED(K358,2,TRUE)&amp;" ="</f>
        <v>#DIV/0!</v>
      </c>
      <c r="H1249" s="167" t="e">
        <f>MAX(K337,K358)</f>
        <v>#DIV/0!</v>
      </c>
      <c r="I1249" s="125" t="s">
        <v>338</v>
      </c>
      <c r="J1249" s="165"/>
      <c r="K1249" s="131"/>
      <c r="R1249" s="157"/>
      <c r="S1249" s="157"/>
    </row>
    <row r="1250" spans="1:19">
      <c r="B1250" s="170"/>
      <c r="C1250" s="170"/>
      <c r="D1250" s="170"/>
      <c r="E1250" s="170"/>
      <c r="F1250" s="170"/>
      <c r="G1250" s="183" t="e">
        <f>"minimum of "&amp;FIXED(K338,2,TRUE)&amp;" and "&amp;FIXED(K359,2,TRUE)&amp;" ="</f>
        <v>#DIV/0!</v>
      </c>
      <c r="H1250" s="167" t="e">
        <f>+MIN(K338,K359)</f>
        <v>#DIV/0!</v>
      </c>
      <c r="I1250" s="125" t="s">
        <v>338</v>
      </c>
      <c r="J1250" s="165"/>
      <c r="K1250" s="131"/>
      <c r="R1250" s="157"/>
      <c r="S1250" s="157"/>
    </row>
    <row r="1251" spans="1:19">
      <c r="B1251" s="170" t="s">
        <v>823</v>
      </c>
      <c r="C1251" s="170"/>
      <c r="D1251" s="170"/>
      <c r="E1251" s="170"/>
      <c r="F1251" s="170"/>
      <c r="G1251" s="183" t="e">
        <f>"maximum of "&amp;FIXED(K341,2,TRUE)&amp;" and "&amp;FIXED(K362,2,TRUE)&amp;" ="</f>
        <v>#DIV/0!</v>
      </c>
      <c r="H1251" s="167" t="e">
        <f>MAX(K341,K362)</f>
        <v>#DIV/0!</v>
      </c>
      <c r="I1251" s="125" t="s">
        <v>338</v>
      </c>
      <c r="J1251" s="165"/>
      <c r="K1251" s="131"/>
      <c r="R1251" s="157"/>
      <c r="S1251" s="157"/>
    </row>
    <row r="1252" spans="1:19">
      <c r="B1252" s="170"/>
      <c r="C1252" s="170"/>
      <c r="D1252" s="170"/>
      <c r="E1252" s="170"/>
      <c r="F1252" s="170"/>
      <c r="G1252" s="183" t="e">
        <f>"minimum of "&amp;FIXED(K342,2,TRUE)&amp;" and "&amp;FIXED(K363,2,TRUE)&amp;" ="</f>
        <v>#DIV/0!</v>
      </c>
      <c r="H1252" s="167" t="e">
        <f>+MIN(K342,K363)</f>
        <v>#DIV/0!</v>
      </c>
      <c r="I1252" s="125" t="s">
        <v>338</v>
      </c>
      <c r="J1252" s="165"/>
      <c r="K1252" s="131"/>
      <c r="R1252" s="157"/>
      <c r="S1252" s="157"/>
    </row>
    <row r="1253" spans="1:19">
      <c r="B1253" s="170" t="s">
        <v>522</v>
      </c>
      <c r="C1253" s="170"/>
      <c r="D1253" s="170"/>
      <c r="E1253" s="170"/>
      <c r="F1253" s="170"/>
      <c r="G1253" s="183" t="str">
        <f>"maximum of "&amp;FIXED(K345,2,TRUE)&amp;" and "&amp;FIXED(K366,2,TRUE)&amp;" ="</f>
        <v>maximum of 0.00 and 0.00 =</v>
      </c>
      <c r="H1253" s="167">
        <f>MAX(K345,K366)</f>
        <v>0</v>
      </c>
      <c r="I1253" s="125" t="s">
        <v>338</v>
      </c>
      <c r="J1253" s="165"/>
      <c r="K1253" s="131"/>
      <c r="R1253" s="157"/>
      <c r="S1253" s="157"/>
    </row>
    <row r="1254" spans="1:19">
      <c r="B1254" s="170"/>
      <c r="C1254" s="170"/>
      <c r="D1254" s="170"/>
      <c r="E1254" s="170"/>
      <c r="F1254" s="170"/>
      <c r="G1254" s="183" t="e">
        <f>"minimum of "&amp;FIXED(K346,2,TRUE)&amp;" and "&amp;FIXED(K367,2,TRUE)&amp;" ="</f>
        <v>#DIV/0!</v>
      </c>
      <c r="H1254" s="167" t="e">
        <f>+MIN(K346,K367)</f>
        <v>#DIV/0!</v>
      </c>
      <c r="I1254" s="125" t="s">
        <v>338</v>
      </c>
      <c r="J1254" s="165"/>
      <c r="K1254" s="131"/>
      <c r="R1254" s="157"/>
      <c r="S1254" s="157"/>
    </row>
    <row r="1255" spans="1:19">
      <c r="B1255" s="170" t="s">
        <v>838</v>
      </c>
      <c r="C1255" s="170"/>
      <c r="D1255" s="170"/>
      <c r="E1255" s="170"/>
      <c r="F1255" s="170"/>
      <c r="G1255" s="183" t="e">
        <f>"maximum of "&amp;FIXED(K349,2,TRUE)&amp;" and "&amp;FIXED(K370,2,TRUE)&amp;" ="</f>
        <v>#DIV/0!</v>
      </c>
      <c r="H1255" s="167" t="e">
        <f>MAX(K349,K370)</f>
        <v>#DIV/0!</v>
      </c>
      <c r="I1255" s="125" t="s">
        <v>338</v>
      </c>
      <c r="J1255" s="165"/>
      <c r="K1255" s="131"/>
      <c r="R1255" s="157"/>
      <c r="S1255" s="157"/>
    </row>
    <row r="1256" spans="1:19">
      <c r="B1256" s="170"/>
      <c r="C1256" s="170"/>
      <c r="D1256" s="170"/>
      <c r="E1256" s="170"/>
      <c r="F1256" s="170"/>
      <c r="G1256" s="183" t="e">
        <f>"minimum of "&amp;FIXED(K350,2,TRUE)&amp;" and "&amp;FIXED(K371,2,TRUE)&amp;" ="</f>
        <v>#DIV/0!</v>
      </c>
      <c r="H1256" s="167" t="e">
        <f>+MIN(K350,K371)</f>
        <v>#DIV/0!</v>
      </c>
      <c r="I1256" s="125" t="s">
        <v>338</v>
      </c>
      <c r="J1256" s="165"/>
      <c r="K1256" s="131"/>
      <c r="R1256" s="157"/>
      <c r="S1256" s="157"/>
    </row>
    <row r="1257" spans="1:19">
      <c r="B1257" s="170"/>
      <c r="C1257" s="170"/>
      <c r="D1257" s="170"/>
      <c r="E1257" s="170"/>
      <c r="F1257" s="170"/>
      <c r="G1257" s="183"/>
      <c r="H1257" s="167"/>
      <c r="J1257" s="167"/>
      <c r="R1257" s="157"/>
      <c r="S1257" s="157"/>
    </row>
    <row r="1258" spans="1:19">
      <c r="A1258" s="596" t="s">
        <v>33</v>
      </c>
      <c r="B1258" s="596"/>
      <c r="C1258" s="596"/>
      <c r="D1258" s="596"/>
      <c r="E1258" s="596"/>
      <c r="F1258" s="596"/>
      <c r="G1258" s="596"/>
      <c r="H1258" s="596"/>
      <c r="I1258" s="596"/>
      <c r="J1258" s="596"/>
      <c r="K1258" s="596"/>
      <c r="L1258" s="596"/>
      <c r="M1258" s="596"/>
      <c r="R1258" s="157"/>
      <c r="S1258" s="157"/>
    </row>
    <row r="1259" spans="1:19">
      <c r="A1259" s="596"/>
      <c r="B1259" s="596"/>
      <c r="C1259" s="596"/>
      <c r="D1259" s="596"/>
      <c r="E1259" s="596"/>
      <c r="F1259" s="596"/>
      <c r="G1259" s="596"/>
      <c r="H1259" s="596"/>
      <c r="I1259" s="596"/>
      <c r="J1259" s="596"/>
      <c r="K1259" s="596"/>
      <c r="L1259" s="596"/>
      <c r="M1259" s="596"/>
      <c r="R1259" s="157"/>
      <c r="S1259" s="157"/>
    </row>
    <row r="1260" spans="1:19">
      <c r="A1260" s="596"/>
      <c r="B1260" s="596"/>
      <c r="C1260" s="596"/>
      <c r="D1260" s="596"/>
      <c r="E1260" s="596"/>
      <c r="F1260" s="596"/>
      <c r="G1260" s="596"/>
      <c r="H1260" s="596"/>
      <c r="I1260" s="596"/>
      <c r="J1260" s="596"/>
      <c r="K1260" s="596"/>
      <c r="L1260" s="596"/>
      <c r="M1260" s="596"/>
      <c r="R1260" s="157"/>
      <c r="S1260" s="157"/>
    </row>
    <row r="1261" spans="1:19">
      <c r="A1261" s="596"/>
      <c r="B1261" s="596"/>
      <c r="C1261" s="596"/>
      <c r="D1261" s="596"/>
      <c r="E1261" s="596"/>
      <c r="F1261" s="596"/>
      <c r="G1261" s="596"/>
      <c r="H1261" s="596"/>
      <c r="I1261" s="596"/>
      <c r="J1261" s="596"/>
      <c r="K1261" s="596"/>
      <c r="L1261" s="596"/>
      <c r="M1261" s="596"/>
      <c r="R1261" s="157"/>
      <c r="S1261" s="157"/>
    </row>
    <row r="1262" spans="1:19">
      <c r="A1262" s="136"/>
      <c r="B1262" s="136"/>
      <c r="C1262" s="136"/>
      <c r="D1262" s="136"/>
      <c r="E1262" s="136"/>
      <c r="F1262" s="136"/>
      <c r="G1262" s="136"/>
      <c r="H1262" s="136"/>
      <c r="I1262" s="136"/>
      <c r="J1262" s="136"/>
      <c r="R1262" s="157"/>
      <c r="S1262" s="157"/>
    </row>
    <row r="1263" spans="1:19">
      <c r="B1263" s="170" t="s">
        <v>822</v>
      </c>
      <c r="C1263" s="170"/>
      <c r="F1263" s="170"/>
      <c r="G1263" s="170"/>
      <c r="H1263" s="170"/>
      <c r="R1263" s="157"/>
      <c r="S1263" s="157"/>
    </row>
    <row r="1264" spans="1:19">
      <c r="B1264" s="170"/>
      <c r="C1264" s="170" t="s">
        <v>820</v>
      </c>
      <c r="D1264" s="187" t="e">
        <f>FIXED(H1247,2,TRUE)&amp;" + "&amp;FIXED(etamax,2,TRUE)&amp;"["&amp;'Load Factors'!E16&amp;"("&amp;FIXED(Main!H527,2,TRUE)&amp;") + "&amp;FIXED('Load Factors'!E17,2,TRUE)&amp;"("&amp;FIXED(Main!F747,2,TRUE)&amp;")("&amp;npiles&amp;"/"&amp;ngirder&amp;")] ="</f>
        <v>#DIV/0!</v>
      </c>
      <c r="E1264" s="170"/>
      <c r="F1264" s="170"/>
      <c r="G1264" s="170"/>
      <c r="J1264" s="165"/>
      <c r="K1264" s="182" t="e">
        <f>+H1247+('Load Factors'!E16*Main!H527+'Load Factors'!E17*Main!F747*npiles/ngirder)*etamax</f>
        <v>#DIV/0!</v>
      </c>
      <c r="L1264" s="125" t="s">
        <v>529</v>
      </c>
      <c r="R1264" s="157"/>
      <c r="S1264" s="157"/>
    </row>
    <row r="1265" spans="2:19">
      <c r="B1265" s="170"/>
      <c r="C1265" s="170" t="s">
        <v>821</v>
      </c>
      <c r="D1265" s="238" t="e">
        <f>FIXED(H1248,2,TRUE)&amp;" + "&amp;FIXED(etamax,2,TRUE)&amp;"["&amp;'Load Factors'!F16&amp;"("&amp;FIXED(Main!H528,2,TRUE)&amp;") + "&amp;FIXED('Load Factors'!F17,2,TRUE)&amp;"(0.00)("&amp;npiles&amp;"/"&amp;ngirder&amp;")] ="</f>
        <v>#DIV/0!</v>
      </c>
      <c r="F1265" s="170"/>
      <c r="G1265" s="170"/>
      <c r="J1265" s="165"/>
      <c r="K1265" s="182" t="e">
        <f>+H1248+('Load Factors'!F16*Main!J640+'Load Factors'!F17*0*npiles/ngirder)*etamax</f>
        <v>#DIV/0!</v>
      </c>
      <c r="L1265" s="125" t="s">
        <v>529</v>
      </c>
      <c r="R1265" s="157"/>
      <c r="S1265" s="157"/>
    </row>
    <row r="1266" spans="2:19">
      <c r="B1266" s="170"/>
      <c r="C1266" s="170"/>
      <c r="D1266" s="170"/>
      <c r="E1266" s="170"/>
      <c r="F1266" s="170"/>
      <c r="G1266" s="170"/>
      <c r="J1266" s="165"/>
      <c r="R1266" s="157"/>
      <c r="S1266" s="157"/>
    </row>
    <row r="1267" spans="2:19">
      <c r="B1267" s="170" t="s">
        <v>837</v>
      </c>
      <c r="C1267" s="170"/>
      <c r="F1267" s="170"/>
      <c r="G1267" s="170"/>
      <c r="J1267" s="165"/>
      <c r="K1267" s="170"/>
      <c r="R1267" s="157"/>
      <c r="S1267" s="157"/>
    </row>
    <row r="1268" spans="2:19">
      <c r="B1268" s="170"/>
      <c r="C1268" s="170" t="s">
        <v>820</v>
      </c>
      <c r="D1268" s="238" t="e">
        <f>FIXED(H1249,2,TRUE)&amp;" + "&amp;FIXED(etamax,2,TRUE)&amp;"["&amp;'Load Factors'!G16&amp;"("&amp;FIXED(Main!H527,2,TRUE)&amp;") + "&amp;FIXED('Load Factors'!G17,2,TRUE)&amp;"("&amp;FIXED(Main!F747,2,TRUE)&amp;")("&amp;npiles&amp;"/"&amp;ngirder&amp;")] ="</f>
        <v>#DIV/0!</v>
      </c>
      <c r="E1268" s="170"/>
      <c r="F1268" s="170"/>
      <c r="G1268" s="170"/>
      <c r="J1268" s="165"/>
      <c r="K1268" s="182" t="e">
        <f>H1249+('Load Factors'!G16*Main!H527+'Load Factors'!G17*Main!F747*npiles/ngirder)*etamax</f>
        <v>#DIV/0!</v>
      </c>
      <c r="L1268" s="125" t="s">
        <v>529</v>
      </c>
      <c r="R1268" s="157"/>
      <c r="S1268" s="157"/>
    </row>
    <row r="1269" spans="2:19">
      <c r="B1269" s="170"/>
      <c r="C1269" s="170" t="s">
        <v>821</v>
      </c>
      <c r="D1269" s="238" t="e">
        <f>FIXED(H1250,2,TRUE)&amp;" + "&amp;FIXED(etamax,2,TRUE)&amp;"["&amp;'Load Factors'!H16&amp;"("&amp;FIXED(Main!H528,2,TRUE)&amp;") + "&amp;FIXED('Load Factors'!H17,2,TRUE)&amp;"(0.00)("&amp;npiles&amp;"/"&amp;ngirder&amp;")] ="</f>
        <v>#DIV/0!</v>
      </c>
      <c r="F1269" s="170"/>
      <c r="G1269" s="170"/>
      <c r="J1269" s="165"/>
      <c r="K1269" s="182" t="e">
        <f>H1250+('Load Factors'!H16*Main!H528+'Load Factors'!H17*0*npiles/ngirder)*etamax</f>
        <v>#DIV/0!</v>
      </c>
      <c r="L1269" s="125" t="s">
        <v>529</v>
      </c>
      <c r="R1269" s="157"/>
      <c r="S1269" s="157"/>
    </row>
    <row r="1270" spans="2:19">
      <c r="B1270" s="170"/>
      <c r="C1270" s="170"/>
      <c r="D1270" s="170"/>
      <c r="E1270" s="170"/>
      <c r="F1270" s="170"/>
      <c r="G1270" s="170"/>
      <c r="J1270" s="165"/>
      <c r="Q1270" s="168"/>
      <c r="R1270" s="157"/>
      <c r="S1270" s="157"/>
    </row>
    <row r="1271" spans="2:19">
      <c r="B1271" s="170" t="s">
        <v>823</v>
      </c>
      <c r="C1271" s="170"/>
      <c r="F1271" s="170"/>
      <c r="G1271" s="170"/>
      <c r="H1271" s="170"/>
      <c r="J1271" s="165"/>
      <c r="K1271" s="131"/>
      <c r="R1271" s="157"/>
      <c r="S1271" s="157"/>
    </row>
    <row r="1272" spans="2:19">
      <c r="B1272" s="170"/>
      <c r="C1272" s="170" t="s">
        <v>820</v>
      </c>
      <c r="D1272" s="238" t="e">
        <f>FIXED(H1251,2,TRUE)&amp;" + "&amp;FIXED(etamax,2,TRUE)&amp;"["&amp;'Load Factors'!I16&amp;"("&amp;FIXED(Main!H527,2,TRUE)&amp;") + "&amp;FIXED('Load Factors'!I17,2,TRUE)&amp;"("&amp;FIXED(Main!F747,2,TRUE)&amp;")("&amp;npiles&amp;"/"&amp;ngirder&amp;")] ="</f>
        <v>#DIV/0!</v>
      </c>
      <c r="E1272" s="170"/>
      <c r="F1272" s="170"/>
      <c r="G1272" s="170"/>
      <c r="J1272" s="165"/>
      <c r="K1272" s="182" t="e">
        <f>H1251+('Load Factors'!I16*Main!H527+'Load Factors'!I17*Main!F747*npiles/ngirder)*etamax</f>
        <v>#DIV/0!</v>
      </c>
      <c r="L1272" s="125" t="s">
        <v>529</v>
      </c>
      <c r="R1272" s="157"/>
      <c r="S1272" s="157"/>
    </row>
    <row r="1273" spans="2:19">
      <c r="B1273" s="170"/>
      <c r="C1273" s="170" t="s">
        <v>821</v>
      </c>
      <c r="D1273" s="238" t="e">
        <f>FIXED(H1252,2,TRUE)&amp;" + "&amp;FIXED(etamax,2,TRUE)&amp;"["&amp;'Load Factors'!J16&amp;"("&amp;FIXED(Main!H528,2,TRUE)&amp;") + "&amp;FIXED('Load Factors'!J17,2,TRUE)&amp;"(0.00)("&amp;npiles&amp;"/"&amp;ngirder&amp;")] ="</f>
        <v>#DIV/0!</v>
      </c>
      <c r="F1273" s="170"/>
      <c r="G1273" s="170"/>
      <c r="H1273" s="170"/>
      <c r="J1273" s="165"/>
      <c r="K1273" s="182" t="e">
        <f>H1252+('Load Factors'!J16*Main!H528+'Load Factors'!J17*0*npiles/ngirder)*etamax</f>
        <v>#DIV/0!</v>
      </c>
      <c r="L1273" s="125" t="s">
        <v>529</v>
      </c>
      <c r="R1273" s="157"/>
      <c r="S1273" s="157"/>
    </row>
    <row r="1274" spans="2:19">
      <c r="B1274" s="170"/>
      <c r="C1274" s="170"/>
      <c r="D1274" s="170"/>
      <c r="E1274" s="170"/>
      <c r="F1274" s="170"/>
      <c r="G1274" s="170"/>
      <c r="J1274" s="165"/>
      <c r="K1274" s="131"/>
      <c r="R1274" s="157"/>
      <c r="S1274" s="157"/>
    </row>
    <row r="1275" spans="2:19">
      <c r="B1275" s="170" t="s">
        <v>522</v>
      </c>
      <c r="C1275" s="170"/>
      <c r="F1275" s="170"/>
      <c r="G1275" s="170"/>
      <c r="H1275" s="170"/>
      <c r="I1275" s="167"/>
      <c r="J1275" s="131"/>
      <c r="K1275" s="165"/>
      <c r="R1275" s="157"/>
      <c r="S1275" s="157"/>
    </row>
    <row r="1276" spans="2:19">
      <c r="B1276" s="170"/>
      <c r="C1276" s="170" t="s">
        <v>820</v>
      </c>
      <c r="D1276" s="238" t="e">
        <f>FIXED(H1253,2,TRUE)&amp;" + "&amp;IF(H517&gt;0,FIXED(etamax,2,TRUE),FIXED(etamin,2,TRUE))&amp;"["&amp;FIXED('Load Factors'!K14,2,TRUE)&amp;"("&amp;FIXED(H517,2,TRUE)&amp;")] + "&amp;FIXED(etamax,2,TRUE)&amp;"["&amp;FIXED('Load Factors'!K14,2,TRUE)&amp;"("&amp;FIXED(H512,2,TRUE)&amp;") + "&amp;FIXED('Load Factors'!K17,2,TRUE)&amp;"("&amp;FIXED(Main!F747,2,TRUE)&amp;")("&amp;npiles&amp;"/"&amp;ngirder&amp;")] ="</f>
        <v>#DIV/0!</v>
      </c>
      <c r="E1276" s="170"/>
      <c r="F1276" s="170"/>
      <c r="G1276" s="170"/>
      <c r="J1276" s="165"/>
      <c r="K1276" s="182" t="e">
        <f>H1253+IF(H517&gt;0,etamax,etamin)*'Load Factors'!K14*H517+('Load Factors'!K14*H512+'Load Factors'!K17*Main!F747*npiles/ngirder)*etamax</f>
        <v>#DIV/0!</v>
      </c>
      <c r="L1276" s="125" t="s">
        <v>529</v>
      </c>
      <c r="R1276" s="157"/>
      <c r="S1276" s="157"/>
    </row>
    <row r="1277" spans="2:19">
      <c r="B1277" s="170"/>
      <c r="C1277" s="170" t="s">
        <v>821</v>
      </c>
      <c r="D1277" s="238" t="e">
        <f>FIXED(H1254,2,TRUE)&amp;" + "&amp;FIXED(etamax,2,TRUE)&amp;"["&amp;FIXED('Load Factors'!L14,2,TRUE)&amp;"("&amp;FIXED(H518,2,TRUE)&amp;"+ "&amp;FIXED(H513,2,TRUE)&amp;") + "&amp;FIXED('Load Factors'!L17,2,TRUE)&amp;"(0.00)("&amp;npiles&amp;"/"&amp;ngirder&amp;")] ="</f>
        <v>#DIV/0!</v>
      </c>
      <c r="F1277" s="170"/>
      <c r="G1277" s="170"/>
      <c r="H1277" s="170"/>
      <c r="J1277" s="165"/>
      <c r="K1277" s="182" t="e">
        <f>H1254+('Load Factors'!L14*(H513+H518)+'Load Factors'!L17*0*npiles/ngirder)*etamax</f>
        <v>#DIV/0!</v>
      </c>
      <c r="L1277" s="125" t="s">
        <v>529</v>
      </c>
      <c r="R1277" s="157"/>
      <c r="S1277" s="157"/>
    </row>
    <row r="1278" spans="2:19">
      <c r="B1278" s="170"/>
      <c r="C1278" s="170"/>
      <c r="D1278" s="170"/>
      <c r="E1278" s="170"/>
      <c r="F1278" s="170"/>
      <c r="G1278" s="170"/>
      <c r="J1278" s="165"/>
      <c r="R1278" s="157"/>
      <c r="S1278" s="157"/>
    </row>
    <row r="1279" spans="2:19">
      <c r="B1279" s="170" t="s">
        <v>838</v>
      </c>
      <c r="C1279" s="170"/>
      <c r="F1279" s="170"/>
      <c r="G1279" s="170"/>
      <c r="H1279" s="170"/>
      <c r="J1279" s="165"/>
      <c r="K1279" s="131"/>
      <c r="R1279" s="157"/>
      <c r="S1279" s="157"/>
    </row>
    <row r="1280" spans="2:19">
      <c r="B1280" s="170"/>
      <c r="C1280" s="170" t="s">
        <v>820</v>
      </c>
      <c r="D1280" s="238" t="e">
        <f>FIXED(H1255,2,TRUE)&amp;" + "&amp;FIXED(etamax,2,TRUE)&amp;"["&amp;FIXED('Load Factors'!M14,2,TRUE)&amp;"("&amp;FIXED(H512,2,TRUE)&amp;") + "&amp;FIXED('Load Factors'!M15,2,TRUE)&amp;"("&amp;FIXED(H522,2,TRUE)&amp;") + "&amp;'Load Factors'!M16&amp;"("&amp;FIXED(H527,2,TRUE)&amp;") + "&amp;FIXED('Load Factors'!M17,2,TRUE)&amp;"("&amp;FIXED(Main!F747,2,TRUE)&amp;")("&amp;npiles&amp;"/"&amp;ngirder&amp;")] ="</f>
        <v>#DIV/0!</v>
      </c>
      <c r="E1280" s="170"/>
      <c r="F1280" s="170"/>
      <c r="G1280" s="170"/>
      <c r="J1280" s="165"/>
      <c r="K1280" s="182" t="e">
        <f>H1255+('Load Factors'!M14*H512+'Load Factors'!M15*H522+'Load Factors'!M16*H527+'Load Factors'!M17*Main!F747*npiles/ngirder)*etamax</f>
        <v>#DIV/0!</v>
      </c>
      <c r="L1280" s="125" t="s">
        <v>529</v>
      </c>
      <c r="R1280" s="157"/>
      <c r="S1280" s="157"/>
    </row>
    <row r="1281" spans="1:19">
      <c r="B1281" s="170"/>
      <c r="C1281" s="170" t="s">
        <v>821</v>
      </c>
      <c r="D1281" s="187" t="e">
        <f>FIXED(H1256,2,TRUE)&amp;" + "&amp;FIXED(etamax,2,TRUE)&amp;"["&amp;FIXED('Load Factors'!N14,2,TRUE)&amp;"("&amp;FIXED(H513,2,TRUE)&amp;") + "&amp;FIXED('Load Factors'!N15,2,TRUE)&amp;"("&amp;FIXED(H523,2,TRUE)&amp;") + "&amp;'Load Factors'!N16&amp;"("&amp;FIXED(H528,2,TRUE)&amp;") + "&amp;FIXED('Load Factors'!N17,2,TRUE)&amp;"(0.00)("&amp;npiles&amp;"/"&amp;ngirder&amp;")] ="</f>
        <v>#DIV/0!</v>
      </c>
      <c r="F1281" s="170"/>
      <c r="G1281" s="170"/>
      <c r="H1281" s="239"/>
      <c r="J1281" s="165"/>
      <c r="K1281" s="182" t="e">
        <f>H1256+('Load Factors'!N14*H513+'Load Factors'!N15*H523+'Load Factors'!N16*J640+'Load Factors'!N17*0*npiles/ngirder)*etamax</f>
        <v>#DIV/0!</v>
      </c>
      <c r="L1281" s="125" t="s">
        <v>529</v>
      </c>
      <c r="R1281" s="157"/>
      <c r="S1281" s="157"/>
    </row>
    <row r="1282" spans="1:19">
      <c r="B1282" s="170"/>
      <c r="C1282" s="170"/>
      <c r="D1282" s="170"/>
      <c r="E1282" s="170"/>
      <c r="F1282" s="170"/>
      <c r="G1282" s="170"/>
      <c r="J1282" s="165"/>
      <c r="K1282" s="131"/>
      <c r="R1282" s="157"/>
      <c r="S1282" s="157"/>
    </row>
    <row r="1283" spans="1:19">
      <c r="G1283" s="167"/>
      <c r="I1283" s="167"/>
      <c r="R1283" s="157"/>
      <c r="S1283" s="157"/>
    </row>
    <row r="1284" spans="1:19">
      <c r="B1284" s="125" t="s">
        <v>527</v>
      </c>
      <c r="E1284" s="133" t="s">
        <v>820</v>
      </c>
      <c r="F1284" s="125" t="e">
        <f>IF(K1264&gt;=K1272,IF(K1264&gt;=K1268,IF(K1264&gt;=K1276,IF(K1264&gt;=K1280,"STR I","STR V"),IF(K1276&gt;=K1280,"STR III","STR V")),IF(K1268&gt;=K1276,IF(K1268&gt;=K1280,"STR IP","STR V"),IF(K1276&gt;=K1280,"STR III","STR V"))),IF(K1272&gt;=K1268,IF(K1272&gt;=K1276,IF(K1272&gt;=K1280,"STR II","STR V"),IF(K1276&gt;=K1280,"STR III","STR V")),IF(K1268&gt;=K1276,IF(K1268&gt;=K1280,"STR IP","STR V"),IF(K1276&gt;=K1280,"STR III","STR V"))))</f>
        <v>#DIV/0!</v>
      </c>
      <c r="G1284" s="167" t="e">
        <f>MAX(K1264:K1281)</f>
        <v>#DIV/0!</v>
      </c>
      <c r="H1284" s="125" t="s">
        <v>529</v>
      </c>
      <c r="I1284" s="165"/>
      <c r="J1284" s="131"/>
      <c r="R1284" s="157"/>
      <c r="S1284" s="157"/>
    </row>
    <row r="1285" spans="1:19">
      <c r="E1285" s="133" t="s">
        <v>821</v>
      </c>
      <c r="F1285" s="125" t="e">
        <f>IF(K1265&lt;=K1273,IF(K1265&lt;=K1269,IF(K1265&lt;=K1277,IF(K1265&lt;=K1281,"STR I","STR V"),IF(K1277&lt;=K1281,"STR III","STR V")),IF(K1269&lt;=K1277,IF(K1269&lt;=K1281,"STR IP","STR V"),IF(K1277&lt;=K1281,"STR III","STR V"))),IF(K1273&lt;=K1269,IF(K1273&lt;=K1277,IF(K1273&lt;=K1281,"STR II","STR V"),IF(K1277&lt;=K1281,"STR III","STR V")),IF(K1269&lt;=K1277,IF(K1269&lt;=K1281,"STR IP","STR V"),IF(K1277&lt;=K1281,"STR III","STR V"))))</f>
        <v>#DIV/0!</v>
      </c>
      <c r="G1285" s="167" t="e">
        <f>MIN(K1264:K1281)</f>
        <v>#DIV/0!</v>
      </c>
      <c r="H1285" s="125" t="s">
        <v>529</v>
      </c>
      <c r="I1285" s="165"/>
      <c r="J1285" s="131"/>
      <c r="R1285" s="157"/>
      <c r="S1285" s="157"/>
    </row>
    <row r="1286" spans="1:19">
      <c r="E1286" s="133"/>
      <c r="G1286" s="167"/>
      <c r="I1286" s="167"/>
      <c r="R1286" s="157"/>
      <c r="S1286" s="157"/>
    </row>
    <row r="1287" spans="1:19">
      <c r="A1287" s="260" t="s">
        <v>221</v>
      </c>
      <c r="E1287" s="133"/>
      <c r="G1287" s="167"/>
      <c r="I1287" s="167"/>
      <c r="R1287" s="157"/>
      <c r="S1287" s="157"/>
    </row>
    <row r="1288" spans="1:19">
      <c r="A1288" s="596" t="s">
        <v>424</v>
      </c>
      <c r="B1288" s="596"/>
      <c r="C1288" s="596"/>
      <c r="D1288" s="596"/>
      <c r="E1288" s="596"/>
      <c r="F1288" s="596"/>
      <c r="G1288" s="596"/>
      <c r="H1288" s="596"/>
      <c r="I1288" s="596"/>
      <c r="J1288" s="596"/>
      <c r="K1288" s="596"/>
      <c r="L1288" s="596"/>
      <c r="M1288" s="596"/>
      <c r="R1288" s="157"/>
      <c r="S1288" s="157"/>
    </row>
    <row r="1289" spans="1:19">
      <c r="A1289" s="596"/>
      <c r="B1289" s="596"/>
      <c r="C1289" s="596"/>
      <c r="D1289" s="596"/>
      <c r="E1289" s="596"/>
      <c r="F1289" s="596"/>
      <c r="G1289" s="596"/>
      <c r="H1289" s="596"/>
      <c r="I1289" s="596"/>
      <c r="J1289" s="596"/>
      <c r="K1289" s="596"/>
      <c r="L1289" s="596"/>
      <c r="M1289" s="596"/>
      <c r="R1289" s="157"/>
      <c r="S1289" s="157"/>
    </row>
    <row r="1290" spans="1:19">
      <c r="A1290" s="596"/>
      <c r="B1290" s="596"/>
      <c r="C1290" s="596"/>
      <c r="D1290" s="596"/>
      <c r="E1290" s="596"/>
      <c r="F1290" s="596"/>
      <c r="G1290" s="596"/>
      <c r="H1290" s="596"/>
      <c r="I1290" s="596"/>
      <c r="J1290" s="596"/>
      <c r="K1290" s="596"/>
      <c r="L1290" s="596"/>
      <c r="M1290" s="596"/>
      <c r="R1290" s="157"/>
      <c r="S1290" s="157"/>
    </row>
    <row r="1291" spans="1:19">
      <c r="A1291" s="596"/>
      <c r="B1291" s="596"/>
      <c r="C1291" s="596"/>
      <c r="D1291" s="596"/>
      <c r="E1291" s="596"/>
      <c r="F1291" s="596"/>
      <c r="G1291" s="596"/>
      <c r="H1291" s="596"/>
      <c r="I1291" s="596"/>
      <c r="J1291" s="596"/>
      <c r="K1291" s="596"/>
      <c r="L1291" s="596"/>
      <c r="M1291" s="596"/>
      <c r="R1291" s="157"/>
      <c r="S1291" s="157"/>
    </row>
    <row r="1292" spans="1:19" ht="13.15" thickBot="1">
      <c r="E1292" s="133"/>
      <c r="G1292" s="167"/>
      <c r="I1292" s="167"/>
      <c r="R1292" s="157"/>
      <c r="S1292" s="157"/>
    </row>
    <row r="1293" spans="1:19" ht="15.75" thickBot="1">
      <c r="C1293" s="125" t="s">
        <v>677</v>
      </c>
      <c r="E1293" s="133"/>
      <c r="G1293" s="20"/>
      <c r="H1293" s="125" t="s">
        <v>829</v>
      </c>
      <c r="I1293" s="180"/>
      <c r="J1293" s="193"/>
      <c r="R1293" s="157"/>
      <c r="S1293" s="157"/>
    </row>
    <row r="1294" spans="1:19" ht="15.4" thickBot="1">
      <c r="C1294" s="125" t="s">
        <v>678</v>
      </c>
      <c r="E1294" s="133"/>
      <c r="G1294" s="20"/>
      <c r="H1294" s="125" t="s">
        <v>829</v>
      </c>
      <c r="I1294" s="178"/>
      <c r="J1294" s="193"/>
      <c r="R1294" s="157"/>
      <c r="S1294" s="157"/>
    </row>
    <row r="1295" spans="1:19" ht="15">
      <c r="C1295" s="125" t="s">
        <v>439</v>
      </c>
      <c r="E1295" s="133"/>
      <c r="G1295" s="176" t="e">
        <f>+G1284</f>
        <v>#DIV/0!</v>
      </c>
      <c r="H1295" s="125" t="s">
        <v>338</v>
      </c>
      <c r="I1295" s="180"/>
      <c r="J1295" s="131"/>
      <c r="R1295" s="157"/>
      <c r="S1295" s="157"/>
    </row>
    <row r="1296" spans="1:19">
      <c r="C1296" s="125" t="s">
        <v>531</v>
      </c>
      <c r="E1296" s="133"/>
      <c r="G1296" s="89">
        <f>+G568</f>
        <v>0</v>
      </c>
      <c r="H1296" s="125" t="s">
        <v>337</v>
      </c>
      <c r="I1296" s="165"/>
      <c r="J1296" s="131"/>
      <c r="R1296" s="157"/>
      <c r="S1296" s="157"/>
    </row>
    <row r="1297" spans="1:19">
      <c r="G1297" s="177"/>
      <c r="I1297" s="167"/>
      <c r="R1297" s="157"/>
      <c r="S1297" s="157"/>
    </row>
    <row r="1298" spans="1:19">
      <c r="C1298" s="174" t="e">
        <f>"Pile Cap Reinforcement - Use 4 # "&amp;IF(AND(Ast&lt;=3.16,'Cap Reinforcement'!U12="OK"),8,IF(AND(Ast&lt;=4,'Cap Reinforcement'!U13="OK"),9,IF(AND(Ast&lt;=5.08,'Cap Reinforcement'!U14="OK"),10,IF(AND(Ast&lt;=6.24,'Cap Reinforcement'!U15="OK"),11,"Out of range"))))&amp;" Bars in Top and Bottom of Cap"</f>
        <v>#DIV/0!</v>
      </c>
      <c r="R1298" s="157"/>
      <c r="S1298" s="157"/>
    </row>
    <row r="1299" spans="1:19">
      <c r="E1299" s="216"/>
      <c r="R1299" s="157"/>
      <c r="S1299" s="157"/>
    </row>
    <row r="1300" spans="1:19">
      <c r="E1300" s="216"/>
      <c r="R1300" s="157"/>
      <c r="S1300" s="157"/>
    </row>
    <row r="1301" spans="1:19" ht="13.15">
      <c r="A1301" s="253" t="s">
        <v>856</v>
      </c>
      <c r="E1301" s="216"/>
      <c r="R1301" s="157"/>
      <c r="S1301" s="157"/>
    </row>
    <row r="1302" spans="1:19">
      <c r="A1302" s="588" t="s">
        <v>857</v>
      </c>
      <c r="B1302" s="577"/>
      <c r="C1302" s="577"/>
      <c r="D1302" s="577"/>
      <c r="E1302" s="577"/>
      <c r="F1302" s="577"/>
      <c r="G1302" s="577"/>
      <c r="H1302" s="577"/>
      <c r="I1302" s="577"/>
      <c r="J1302" s="577"/>
      <c r="K1302" s="577"/>
      <c r="L1302" s="577"/>
      <c r="M1302" s="577"/>
      <c r="R1302" s="157"/>
      <c r="S1302" s="157"/>
    </row>
    <row r="1303" spans="1:19">
      <c r="A1303" s="577"/>
      <c r="B1303" s="577"/>
      <c r="C1303" s="577"/>
      <c r="D1303" s="577"/>
      <c r="E1303" s="577"/>
      <c r="F1303" s="577"/>
      <c r="G1303" s="577"/>
      <c r="H1303" s="577"/>
      <c r="I1303" s="577"/>
      <c r="J1303" s="577"/>
      <c r="K1303" s="577"/>
      <c r="L1303" s="577"/>
      <c r="M1303" s="577"/>
      <c r="R1303" s="157"/>
      <c r="S1303" s="157"/>
    </row>
    <row r="1304" spans="1:19">
      <c r="A1304" s="577"/>
      <c r="B1304" s="577"/>
      <c r="C1304" s="577"/>
      <c r="D1304" s="577"/>
      <c r="E1304" s="577"/>
      <c r="F1304" s="577"/>
      <c r="G1304" s="577"/>
      <c r="H1304" s="577"/>
      <c r="I1304" s="577"/>
      <c r="J1304" s="577"/>
      <c r="K1304" s="577"/>
      <c r="L1304" s="577"/>
      <c r="M1304" s="577"/>
      <c r="R1304" s="157"/>
      <c r="S1304" s="157"/>
    </row>
    <row r="1305" spans="1:19">
      <c r="A1305" s="577"/>
      <c r="B1305" s="577"/>
      <c r="C1305" s="577"/>
      <c r="D1305" s="577"/>
      <c r="E1305" s="577"/>
      <c r="F1305" s="577"/>
      <c r="G1305" s="577"/>
      <c r="H1305" s="577"/>
      <c r="I1305" s="577"/>
      <c r="J1305" s="577"/>
      <c r="K1305" s="577"/>
      <c r="L1305" s="577"/>
      <c r="M1305" s="577"/>
      <c r="R1305" s="157"/>
      <c r="S1305" s="157"/>
    </row>
    <row r="1306" spans="1:19">
      <c r="A1306" s="577"/>
      <c r="B1306" s="577"/>
      <c r="C1306" s="577"/>
      <c r="D1306" s="577"/>
      <c r="E1306" s="577"/>
      <c r="F1306" s="577"/>
      <c r="G1306" s="577"/>
      <c r="H1306" s="577"/>
      <c r="I1306" s="577"/>
      <c r="J1306" s="577"/>
      <c r="K1306" s="577"/>
      <c r="L1306" s="577"/>
      <c r="M1306" s="577"/>
      <c r="R1306" s="157"/>
      <c r="S1306" s="157"/>
    </row>
    <row r="1307" spans="1:19">
      <c r="E1307" s="216"/>
      <c r="R1307" s="157"/>
      <c r="S1307" s="157"/>
    </row>
    <row r="1308" spans="1:19">
      <c r="A1308" s="349" t="s">
        <v>763</v>
      </c>
      <c r="E1308" s="216"/>
      <c r="R1308" s="157"/>
      <c r="S1308" s="157"/>
    </row>
    <row r="1309" spans="1:19">
      <c r="B1309" s="170" t="s">
        <v>542</v>
      </c>
      <c r="C1309" s="170"/>
      <c r="F1309" s="170"/>
      <c r="G1309" s="170"/>
      <c r="H1309" s="188"/>
      <c r="J1309" s="180"/>
      <c r="K1309" s="131"/>
      <c r="R1309" s="157"/>
      <c r="S1309" s="157"/>
    </row>
    <row r="1310" spans="1:19">
      <c r="B1310" s="170"/>
      <c r="C1310" s="170" t="s">
        <v>820</v>
      </c>
      <c r="D1310" s="170" t="e">
        <f>"1.00["&amp;FIXED('Load Factors'!C6,2)&amp;"("&amp;Main!G287&amp;"+"&amp;Main!G290&amp;") + "&amp;FIXED('Load Factors'!C7,2,TRUE)&amp;"("&amp;Main!G293&amp;") + "&amp;FIXED('Load Factors'!C12,2)&amp;"("&amp;FIXED(Main!G306,2,TRUE)&amp;")("&amp;nlane2&amp;")/"&amp;ngirder&amp;"] ="</f>
        <v>#DIV/0!</v>
      </c>
      <c r="E1310" s="170"/>
      <c r="F1310" s="170"/>
      <c r="G1310" s="170"/>
      <c r="J1310" s="180"/>
      <c r="K1310" s="188" t="e">
        <f>1*('Load Factors'!C6*(Main!G287+Main!G290)+'Load Factors'!C7*Main!G293+'Load Factors'!C12*Main!G306*nlane2/ngirder)</f>
        <v>#DIV/0!</v>
      </c>
      <c r="L1310" s="125" t="s">
        <v>338</v>
      </c>
      <c r="R1310" s="157"/>
      <c r="S1310" s="157"/>
    </row>
    <row r="1311" spans="1:19">
      <c r="B1311" s="170"/>
      <c r="C1311" s="170" t="s">
        <v>821</v>
      </c>
      <c r="D1311" s="170" t="e">
        <f>"1.00["&amp;FIXED('Load Factors'!D6,2,TRUE)&amp;"("&amp;Main!G287&amp;"+"&amp;Main!G290&amp;") + "&amp;FIXED('Load Factors'!D7,2,TRUE)&amp;"("&amp;IF(fwsurface="Y",Main!G293,"0.00")&amp;") + "&amp;FIXED('Load Factors'!D12,2)&amp;"("&amp;FIXED(Main!G307,2,TRUE)&amp;")("&amp;nlane2&amp;")/"&amp;ngirder&amp;"] ="</f>
        <v>#DIV/0!</v>
      </c>
      <c r="F1311" s="170"/>
      <c r="G1311" s="170"/>
      <c r="H1311" s="188"/>
      <c r="J1311" s="180"/>
      <c r="K1311" s="188" t="e">
        <f>1*('Load Factors'!D6*(Main!G287+Main!G290)+'Load Factors'!D7*IF(fwsurface="Y",Main!G293,0)+'Load Factors'!D12*Main!G307*nlane2/ngirder)</f>
        <v>#DIV/0!</v>
      </c>
      <c r="L1311" s="125" t="s">
        <v>338</v>
      </c>
      <c r="R1311" s="157"/>
      <c r="S1311" s="157"/>
    </row>
    <row r="1312" spans="1:19">
      <c r="E1312" s="216"/>
      <c r="R1312" s="157"/>
      <c r="S1312" s="157"/>
    </row>
    <row r="1313" spans="1:19">
      <c r="B1313" s="125" t="s">
        <v>810</v>
      </c>
      <c r="C1313" s="170"/>
      <c r="F1313" s="170"/>
      <c r="G1313" s="170"/>
      <c r="H1313" s="188"/>
      <c r="J1313" s="180"/>
      <c r="K1313" s="131"/>
      <c r="R1313" s="157"/>
      <c r="S1313" s="157"/>
    </row>
    <row r="1314" spans="1:19">
      <c r="B1314" s="170"/>
      <c r="C1314" s="170" t="s">
        <v>820</v>
      </c>
      <c r="D1314" s="170" t="e">
        <f>"1.00["&amp;FIXED('Load Factors'!C6,2)&amp;"("&amp;Main!G288&amp;"+"&amp;Main!G291&amp;") + "&amp;FIXED('Load Factors'!C7,2,TRUE)&amp;"("&amp;Main!G294&amp;") + "&amp;FIXED('Load Factors'!C12,2)&amp;"("&amp;FIXED(Main!G306,2,TRUE)&amp;")("&amp;nlane2&amp;")/"&amp;ngirder&amp;"] ="</f>
        <v>#DIV/0!</v>
      </c>
      <c r="E1314" s="170"/>
      <c r="F1314" s="170"/>
      <c r="G1314" s="170"/>
      <c r="J1314" s="180"/>
      <c r="K1314" s="188" t="e">
        <f>1*('Load Factors'!C6*(Main!G288+Main!G291)+'Load Factors'!C7*Main!G294+'Load Factors'!C12*Main!G306*nlane2/ngirder)</f>
        <v>#DIV/0!</v>
      </c>
      <c r="L1314" s="125" t="s">
        <v>338</v>
      </c>
      <c r="R1314" s="157"/>
      <c r="S1314" s="157"/>
    </row>
    <row r="1315" spans="1:19">
      <c r="B1315" s="170"/>
      <c r="C1315" s="170" t="s">
        <v>821</v>
      </c>
      <c r="D1315" s="170" t="e">
        <f>"1.00["&amp;FIXED('Load Factors'!D6,2,TRUE)&amp;"("&amp;Main!G288&amp;"+"&amp;Main!G291&amp;") + "&amp;FIXED('Load Factors'!D7,2,TRUE)&amp;"("&amp;IF(fwsurface="Y",Main!G294,"0.00")&amp;") + "&amp;FIXED('Load Factors'!D12,2)&amp;"("&amp;FIXED(Main!G307,2,TRUE)&amp;")("&amp;nlane2&amp;")/"&amp;ngirder&amp;"] ="</f>
        <v>#DIV/0!</v>
      </c>
      <c r="F1315" s="170"/>
      <c r="G1315" s="170"/>
      <c r="H1315" s="188"/>
      <c r="J1315" s="180"/>
      <c r="K1315" s="188" t="e">
        <f>1*('Load Factors'!D6*(Main!G288+Main!G291)+'Load Factors'!D7*IF(fwsurface="Y",Main!G294,"0.00")+'Load Factors'!D12*Main!G307*nlane2/ngirder)</f>
        <v>#DIV/0!</v>
      </c>
      <c r="L1315" s="125" t="s">
        <v>338</v>
      </c>
      <c r="R1315" s="157"/>
      <c r="S1315" s="157"/>
    </row>
    <row r="1316" spans="1:19">
      <c r="E1316" s="216"/>
      <c r="R1316" s="157"/>
      <c r="S1316" s="157"/>
    </row>
    <row r="1317" spans="1:19">
      <c r="A1317" s="349" t="s">
        <v>85</v>
      </c>
      <c r="R1317" s="157"/>
      <c r="S1317" s="157"/>
    </row>
    <row r="1318" spans="1:19">
      <c r="A1318" s="264"/>
      <c r="B1318" s="170" t="s">
        <v>392</v>
      </c>
      <c r="R1318" s="157"/>
      <c r="S1318" s="157"/>
    </row>
    <row r="1319" spans="1:19">
      <c r="A1319" s="264"/>
      <c r="C1319" s="170" t="s">
        <v>820</v>
      </c>
      <c r="D1319" s="125" t="e">
        <f>"("&amp;FIXED(K1310,1,TRUE)&amp;"x"&amp;FIXED(G115-2,0,TRUE)&amp;"+"&amp;FIXED(K1314,1,TRUE)&amp;"x2)/"&amp;G566&amp;" ="</f>
        <v>#DIV/0!</v>
      </c>
      <c r="K1319" s="125" t="e">
        <f>(K1310*(G115-2)+K1314*2)/G566</f>
        <v>#DIV/0!</v>
      </c>
      <c r="L1319" s="125" t="s">
        <v>338</v>
      </c>
      <c r="R1319" s="157"/>
      <c r="S1319" s="157"/>
    </row>
    <row r="1320" spans="1:19">
      <c r="A1320" s="264"/>
      <c r="C1320" s="170" t="s">
        <v>821</v>
      </c>
      <c r="D1320" s="125" t="e">
        <f>"("&amp;FIXED(K1311,1,TRUE)&amp;"x"&amp;FIXED(G115-2,0,TRUE)&amp;"+"&amp;FIXED(K1315,1,TRUE)&amp;"x2)/"&amp;G566&amp;" ="</f>
        <v>#DIV/0!</v>
      </c>
      <c r="K1320" s="125" t="e">
        <f>(K1311*(G115-2)+K1315*2)/G566</f>
        <v>#DIV/0!</v>
      </c>
      <c r="L1320" s="125" t="s">
        <v>338</v>
      </c>
      <c r="R1320" s="157"/>
      <c r="S1320" s="157"/>
    </row>
    <row r="1321" spans="1:19">
      <c r="A1321" s="264"/>
      <c r="R1321" s="157"/>
      <c r="S1321" s="157"/>
    </row>
    <row r="1322" spans="1:19">
      <c r="A1322" s="264"/>
      <c r="B1322" s="170" t="s">
        <v>394</v>
      </c>
      <c r="R1322" s="157"/>
      <c r="S1322" s="157"/>
    </row>
    <row r="1323" spans="1:19">
      <c r="C1323" s="170" t="s">
        <v>820</v>
      </c>
      <c r="D1323" s="125" t="e">
        <f>"1.00["&amp;FIXED('Load Factors'!C6,2)&amp;"("&amp;FIXED(I655,1,TRUE)&amp;"+"&amp;FIXED(I663,1,TRUE)&amp;"+"&amp;FIXED(G676,1,TRUE)&amp;")+"&amp;FIXED('Load Factors'!C7,2,TRUE)&amp;"x"&amp;FIXED(I657,1,TRUE)&amp;"+"&amp;FIXED('Load Factors'!C12,2,TRUE)&amp;"x"&amp;nlane2&amp;"x"&amp;FIXED(I659,1,TRUE)&amp;"]/"&amp;G566&amp;" ="</f>
        <v>#DIV/0!</v>
      </c>
      <c r="K1323" s="176" t="e">
        <f>1*('Load Factors'!C6*(I655+I663+G676)+'Load Factors'!C7*I657+'Load Factors'!C12*nlane2*I659)/G566</f>
        <v>#DIV/0!</v>
      </c>
      <c r="L1323" s="125" t="s">
        <v>338</v>
      </c>
      <c r="R1323" s="157"/>
      <c r="S1323" s="157"/>
    </row>
    <row r="1324" spans="1:19">
      <c r="C1324" s="170" t="s">
        <v>821</v>
      </c>
      <c r="D1324" s="125" t="e">
        <f>"1.00["&amp;FIXED('Load Factors'!D6,2)&amp;"("&amp;FIXED(I655,1,TRUE)&amp;"+"&amp;FIXED(I663,1,TRUE)&amp;"+"&amp;FIXED(G676,1,TRUE)&amp;")+"&amp;FIXED('Load Factors'!D7,2,TRUE)&amp;"x"&amp;IF(fwsurface="Y",FIXED(I657,1,TRUE),0)&amp;"+"&amp;FIXED('Load Factors'!D12,2,TRUE)&amp;"x"&amp;nlane2&amp;"x"&amp;FIXED(I659,1,TRUE)&amp;"]/"&amp;G566&amp;" ="</f>
        <v>#DIV/0!</v>
      </c>
      <c r="K1324" s="176" t="e">
        <f>1*('Load Factors'!D6*(I655+I663+G676)+'Load Factors'!D7*IF(fwsurface="Y",FIXED(I657,1,TRUE),0)+'Load Factors'!D12*nlane2*I659)/G566</f>
        <v>#DIV/0!</v>
      </c>
      <c r="L1324" s="125" t="s">
        <v>338</v>
      </c>
      <c r="R1324" s="157"/>
      <c r="S1324" s="157"/>
    </row>
    <row r="1325" spans="1:19">
      <c r="R1325" s="157"/>
      <c r="S1325" s="157"/>
    </row>
    <row r="1326" spans="1:19">
      <c r="B1326" s="170" t="s">
        <v>393</v>
      </c>
      <c r="R1326" s="157"/>
      <c r="S1326" s="157"/>
    </row>
    <row r="1327" spans="1:19">
      <c r="C1327" s="170" t="s">
        <v>820</v>
      </c>
      <c r="D1327" s="125" t="e">
        <f>"1.00["&amp;FIXED('Load Factors'!C14,2,TRUE)&amp;"("&amp;FIXED(J625,1,TRUE)&amp;")+"&amp;FIXED('Load Factors'!C15,2,TRUE)&amp;"("&amp;FIXED(J634,1,TRUE)&amp;")+"&amp;FIXED('Load Factors'!C16,2)&amp;"("&amp;FIXED(J639,1,TRUE)&amp;")+"&amp;FIXED('Load Factors'!C17,2,TRUE)&amp;"("&amp;FIXED(F747,1,TRUE)&amp;")] ="</f>
        <v>#DIV/0!</v>
      </c>
      <c r="K1327" s="176" t="e">
        <f>1*('Load Factors'!C14*J625+'Load Factors'!C15*J634+'Load Factors'!C16*J639+'Load Factors'!C17*F747)</f>
        <v>#DIV/0!</v>
      </c>
      <c r="L1327" s="125" t="s">
        <v>338</v>
      </c>
      <c r="R1327" s="157"/>
      <c r="S1327" s="157"/>
    </row>
    <row r="1328" spans="1:19">
      <c r="C1328" s="170" t="s">
        <v>821</v>
      </c>
      <c r="D1328" s="125" t="e">
        <f>"1.00["&amp;FIXED('Load Factors'!D14,2,TRUE)&amp;"("&amp;FIXED(J626,1,TRUE)&amp;")+"&amp;FIXED('Load Factors'!D15,2,TRUE)&amp;"("&amp;FIXED(J635,1,TRUE)&amp;")+"&amp;FIXED('Load Factors'!D16,2)&amp;"("&amp;FIXED(J640,1,TRUE)&amp;")+"&amp;FIXED('Load Factors'!D17,2,TRUE)&amp;"(0.0)] ="</f>
        <v>#DIV/0!</v>
      </c>
      <c r="K1328" s="176" t="e">
        <f>1*('Load Factors'!D14*J626+'Load Factors'!D15*J635+'Load Factors'!D16*J640+'Load Factors'!D17*0)</f>
        <v>#DIV/0!</v>
      </c>
      <c r="L1328" s="125" t="s">
        <v>338</v>
      </c>
      <c r="R1328" s="157"/>
      <c r="S1328" s="157"/>
    </row>
    <row r="1329" spans="1:19">
      <c r="R1329" s="157"/>
      <c r="S1329" s="157"/>
    </row>
    <row r="1330" spans="1:19">
      <c r="B1330" s="170" t="s">
        <v>396</v>
      </c>
      <c r="R1330" s="157"/>
      <c r="S1330" s="157"/>
    </row>
    <row r="1331" spans="1:19">
      <c r="C1331" s="170" t="s">
        <v>820</v>
      </c>
      <c r="D1331" s="125" t="e">
        <f>FIXED(K1319,1)&amp;" + "&amp;FIXED(K1323,1)&amp;" + "&amp;FIXED(K1327,1)&amp;" ="</f>
        <v>#DIV/0!</v>
      </c>
      <c r="K1331" s="176" t="e">
        <f>K1319+K1323+K1327</f>
        <v>#DIV/0!</v>
      </c>
      <c r="L1331" s="125" t="s">
        <v>338</v>
      </c>
      <c r="R1331" s="157"/>
      <c r="S1331" s="157"/>
    </row>
    <row r="1332" spans="1:19">
      <c r="C1332" s="170" t="s">
        <v>821</v>
      </c>
      <c r="D1332" s="125" t="e">
        <f>FIXED(K1320,1)&amp;" + "&amp;FIXED(K1324,1)&amp;" + "&amp;FIXED(K1328,1)&amp;" ="</f>
        <v>#DIV/0!</v>
      </c>
      <c r="K1332" s="176" t="e">
        <f>K1320+K1324+K1328</f>
        <v>#DIV/0!</v>
      </c>
      <c r="L1332" s="125" t="s">
        <v>338</v>
      </c>
      <c r="R1332" s="157"/>
      <c r="S1332" s="157"/>
    </row>
    <row r="1333" spans="1:19">
      <c r="B1333" s="131" t="e">
        <f>IF(K1332&lt;0,"Error - no uplift is permitted on any pile in integral abutments per DM-4 Ap. G1.2.1","")</f>
        <v>#DIV/0!</v>
      </c>
      <c r="C1333" s="168"/>
      <c r="R1333" s="157" t="e">
        <f>IF(ScourReqd="N",0,IF(LEFT(B1333,5)="Error",1,0))</f>
        <v>#DIV/0!</v>
      </c>
      <c r="S1333" s="157" t="e">
        <f>IF(LEFT(B1333,5)="Warni",1,0)</f>
        <v>#DIV/0!</v>
      </c>
    </row>
    <row r="1334" spans="1:19">
      <c r="C1334" s="168"/>
      <c r="R1334" s="157"/>
      <c r="S1334" s="157"/>
    </row>
    <row r="1335" spans="1:19">
      <c r="A1335" s="349" t="s">
        <v>722</v>
      </c>
      <c r="R1335" s="157"/>
      <c r="S1335" s="157"/>
    </row>
    <row r="1336" spans="1:19">
      <c r="A1336" s="602" t="s">
        <v>391</v>
      </c>
      <c r="B1336" s="602"/>
      <c r="C1336" s="602"/>
      <c r="D1336" s="602"/>
      <c r="E1336" s="602"/>
      <c r="F1336" s="602"/>
      <c r="G1336" s="602"/>
      <c r="H1336" s="602"/>
      <c r="I1336" s="602"/>
      <c r="J1336" s="602"/>
      <c r="K1336" s="602"/>
      <c r="L1336" s="602"/>
      <c r="M1336" s="602"/>
      <c r="R1336" s="157"/>
      <c r="S1336" s="157"/>
    </row>
    <row r="1337" spans="1:19">
      <c r="A1337" s="602"/>
      <c r="B1337" s="602"/>
      <c r="C1337" s="602"/>
      <c r="D1337" s="602"/>
      <c r="E1337" s="602"/>
      <c r="F1337" s="602"/>
      <c r="G1337" s="602"/>
      <c r="H1337" s="602"/>
      <c r="I1337" s="602"/>
      <c r="J1337" s="602"/>
      <c r="K1337" s="602"/>
      <c r="L1337" s="602"/>
      <c r="M1337" s="602"/>
      <c r="R1337" s="157"/>
      <c r="S1337" s="157"/>
    </row>
    <row r="1338" spans="1:19">
      <c r="R1338" s="157"/>
      <c r="S1338" s="157"/>
    </row>
    <row r="1339" spans="1:19">
      <c r="B1339" s="125" t="s">
        <v>390</v>
      </c>
      <c r="E1339" s="216"/>
      <c r="R1339" s="157"/>
      <c r="S1339" s="157"/>
    </row>
    <row r="1340" spans="1:19">
      <c r="C1340" s="170" t="s">
        <v>820</v>
      </c>
      <c r="D1340" s="125" t="e">
        <f>"1.00["&amp;FIXED('Load Factors'!C12,2)&amp;"("&amp;TEXT(ABS(G400),"0.000000")&amp;") + "&amp;FIXED('Load Factors'!C7,2)&amp;"("&amp;IF(dwrot&lt;0,"0.000000",FIXED(G411,6,TRUE))&amp;")] ="</f>
        <v>#DIV/0!</v>
      </c>
      <c r="E1340" s="216"/>
      <c r="H1340" s="125" t="e">
        <f>1*('Load Factors'!C12*ABS(G400)+'Load Factors'!C7*IF(dwrot&lt;0,0,G411))</f>
        <v>#DIV/0!</v>
      </c>
      <c r="I1340" s="125" t="s">
        <v>834</v>
      </c>
      <c r="J1340" s="89" t="e">
        <f>+H1340*180/PI()</f>
        <v>#DIV/0!</v>
      </c>
      <c r="K1340" s="125" t="s">
        <v>833</v>
      </c>
      <c r="R1340" s="157"/>
      <c r="S1340" s="157"/>
    </row>
    <row r="1341" spans="1:19">
      <c r="C1341" s="170" t="s">
        <v>821</v>
      </c>
      <c r="D1341" s="125" t="e">
        <f>"1.00["&amp;FIXED('Load Factors'!D12,2)&amp;"("&amp;TEXT(G401,"0.000000")&amp;") + "&amp;FIXED('Load Factors'!D7,2)&amp;"("&amp;IF(dwrot&lt;0,FIXED(G411,6,TRUE),"0.000000")&amp;")] ="</f>
        <v>#DIV/0!</v>
      </c>
      <c r="E1341" s="216"/>
      <c r="H1341" s="125" t="e">
        <f>1*('Load Factors'!D12*G401+'Load Factors'!D7*IF(dwrot&lt;0,G411,0))</f>
        <v>#DIV/0!</v>
      </c>
      <c r="I1341" s="125" t="s">
        <v>834</v>
      </c>
      <c r="J1341" s="89" t="e">
        <f>+H1341*180/PI()</f>
        <v>#DIV/0!</v>
      </c>
      <c r="K1341" s="125" t="s">
        <v>833</v>
      </c>
      <c r="R1341" s="157"/>
      <c r="S1341" s="157"/>
    </row>
    <row r="1342" spans="1:19">
      <c r="E1342" s="216"/>
      <c r="R1342" s="157"/>
      <c r="S1342" s="157"/>
    </row>
    <row r="1343" spans="1:19" ht="13.15">
      <c r="A1343" s="346" t="s">
        <v>858</v>
      </c>
      <c r="E1343" s="216"/>
      <c r="R1343" s="157"/>
      <c r="S1343" s="157"/>
    </row>
    <row r="1344" spans="1:19">
      <c r="A1344" s="588" t="s">
        <v>975</v>
      </c>
      <c r="B1344" s="588"/>
      <c r="C1344" s="588"/>
      <c r="D1344" s="588"/>
      <c r="E1344" s="588"/>
      <c r="F1344" s="588"/>
      <c r="G1344" s="588"/>
      <c r="H1344" s="588"/>
      <c r="I1344" s="588"/>
      <c r="J1344" s="588"/>
      <c r="K1344" s="588"/>
      <c r="L1344" s="588"/>
      <c r="M1344" s="588"/>
      <c r="R1344" s="157"/>
      <c r="S1344" s="157"/>
    </row>
    <row r="1345" spans="1:19">
      <c r="A1345" s="588"/>
      <c r="B1345" s="588"/>
      <c r="C1345" s="588"/>
      <c r="D1345" s="588"/>
      <c r="E1345" s="588"/>
      <c r="F1345" s="588"/>
      <c r="G1345" s="588"/>
      <c r="H1345" s="588"/>
      <c r="I1345" s="588"/>
      <c r="J1345" s="588"/>
      <c r="K1345" s="588"/>
      <c r="L1345" s="588"/>
      <c r="M1345" s="588"/>
      <c r="R1345" s="157"/>
      <c r="S1345" s="157"/>
    </row>
    <row r="1346" spans="1:19">
      <c r="A1346" s="588"/>
      <c r="B1346" s="588"/>
      <c r="C1346" s="588"/>
      <c r="D1346" s="588"/>
      <c r="E1346" s="588"/>
      <c r="F1346" s="588"/>
      <c r="G1346" s="588"/>
      <c r="H1346" s="588"/>
      <c r="I1346" s="588"/>
      <c r="J1346" s="588"/>
      <c r="K1346" s="588"/>
      <c r="L1346" s="588"/>
      <c r="M1346" s="588"/>
      <c r="R1346" s="157"/>
      <c r="S1346" s="157"/>
    </row>
    <row r="1347" spans="1:19">
      <c r="A1347" s="588"/>
      <c r="B1347" s="588"/>
      <c r="C1347" s="588"/>
      <c r="D1347" s="588"/>
      <c r="E1347" s="588"/>
      <c r="F1347" s="588"/>
      <c r="G1347" s="588"/>
      <c r="H1347" s="588"/>
      <c r="I1347" s="588"/>
      <c r="J1347" s="588"/>
      <c r="K1347" s="588"/>
      <c r="L1347" s="588"/>
      <c r="M1347" s="588"/>
      <c r="R1347" s="157"/>
      <c r="S1347" s="157"/>
    </row>
    <row r="1348" spans="1:19" ht="13.15" thickBot="1">
      <c r="A1348" s="588"/>
      <c r="B1348" s="588"/>
      <c r="C1348" s="588"/>
      <c r="D1348" s="588"/>
      <c r="E1348" s="588"/>
      <c r="F1348" s="588"/>
      <c r="G1348" s="588"/>
      <c r="H1348" s="588"/>
      <c r="I1348" s="588"/>
      <c r="J1348" s="588"/>
      <c r="K1348" s="588"/>
      <c r="L1348" s="588"/>
      <c r="M1348" s="588"/>
      <c r="R1348" s="157"/>
      <c r="S1348" s="157"/>
    </row>
    <row r="1349" spans="1:19" ht="15.4" thickBot="1">
      <c r="B1349" s="241" t="s">
        <v>538</v>
      </c>
      <c r="D1349" s="124"/>
      <c r="G1349" s="47"/>
      <c r="H1349" s="125" t="s">
        <v>516</v>
      </c>
      <c r="R1349" s="157"/>
      <c r="S1349" s="157"/>
    </row>
    <row r="1350" spans="1:19">
      <c r="B1350" s="559" t="str">
        <f>IF(scourdepth&gt;pilelength*12,"Error - scour depth is longer than the pile length","")</f>
        <v/>
      </c>
      <c r="D1350" s="124"/>
      <c r="G1350" s="350"/>
      <c r="R1350" s="514">
        <f>IF(ScourReqd="N",0,IF(LEFT(B1350,5)="Error",1,0))</f>
        <v>0</v>
      </c>
      <c r="S1350" s="157"/>
    </row>
    <row r="1351" spans="1:19">
      <c r="A1351" s="349"/>
      <c r="L1351" s="124"/>
      <c r="R1351" s="157"/>
      <c r="S1351" s="157"/>
    </row>
    <row r="1352" spans="1:19">
      <c r="D1352" s="124"/>
      <c r="F1352" s="604" t="s">
        <v>859</v>
      </c>
      <c r="G1352" s="604"/>
      <c r="H1352" s="604" t="s">
        <v>859</v>
      </c>
      <c r="I1352" s="604"/>
      <c r="J1352" s="604" t="s">
        <v>860</v>
      </c>
      <c r="K1352" s="604"/>
      <c r="S1352" s="157"/>
    </row>
    <row r="1353" spans="1:19">
      <c r="B1353" s="264"/>
      <c r="F1353" s="605" t="s">
        <v>920</v>
      </c>
      <c r="G1353" s="605"/>
      <c r="H1353" s="603" t="s">
        <v>397</v>
      </c>
      <c r="I1353" s="603"/>
      <c r="J1353" s="603" t="s">
        <v>397</v>
      </c>
      <c r="K1353" s="603"/>
      <c r="R1353" s="157"/>
      <c r="S1353" s="157"/>
    </row>
    <row r="1354" spans="1:19">
      <c r="B1354" s="125" t="s">
        <v>290</v>
      </c>
      <c r="D1354" s="124"/>
      <c r="F1354" s="89" t="e">
        <f>G799</f>
        <v>#DIV/0!</v>
      </c>
      <c r="G1354" s="284" t="s">
        <v>495</v>
      </c>
      <c r="H1354" s="89" t="e">
        <f>K1331</f>
        <v>#DIV/0!</v>
      </c>
      <c r="I1354" s="284" t="s">
        <v>495</v>
      </c>
      <c r="J1354" s="89" t="e">
        <f>H1354</f>
        <v>#DIV/0!</v>
      </c>
      <c r="K1354" s="284" t="s">
        <v>495</v>
      </c>
      <c r="R1354" s="157"/>
      <c r="S1354" s="157"/>
    </row>
    <row r="1355" spans="1:19">
      <c r="B1355" s="125" t="s">
        <v>291</v>
      </c>
      <c r="D1355" s="124"/>
      <c r="F1355" s="189" t="e">
        <f>MAX(ABS(H421),ABS(H425))</f>
        <v>#DIV/0!</v>
      </c>
      <c r="G1355" s="241" t="s">
        <v>834</v>
      </c>
      <c r="H1355" s="189" t="e">
        <f>+MAX(ABS(H1340),ABS(H1341))</f>
        <v>#DIV/0!</v>
      </c>
      <c r="I1355" s="241" t="s">
        <v>834</v>
      </c>
      <c r="J1355" s="189" t="e">
        <f>H1355</f>
        <v>#DIV/0!</v>
      </c>
      <c r="K1355" s="241" t="s">
        <v>834</v>
      </c>
      <c r="L1355" s="124"/>
      <c r="R1355" s="157"/>
      <c r="S1355" s="157"/>
    </row>
    <row r="1356" spans="1:19">
      <c r="B1356" s="125" t="s">
        <v>292</v>
      </c>
      <c r="D1356" s="124"/>
      <c r="F1356" s="167">
        <f>J699</f>
        <v>0</v>
      </c>
      <c r="G1356" s="125" t="s">
        <v>516</v>
      </c>
      <c r="H1356" s="167">
        <f>J699</f>
        <v>0</v>
      </c>
      <c r="I1356" s="125" t="s">
        <v>516</v>
      </c>
      <c r="J1356" s="167">
        <f>H1356</f>
        <v>0</v>
      </c>
      <c r="K1356" s="125" t="s">
        <v>516</v>
      </c>
      <c r="L1356" s="124"/>
      <c r="R1356" s="157"/>
      <c r="S1356" s="157"/>
    </row>
    <row r="1357" spans="1:19">
      <c r="B1357" s="382" t="s">
        <v>883</v>
      </c>
      <c r="F1357" s="125">
        <f>G830*12000</f>
        <v>0</v>
      </c>
      <c r="G1357" s="383" t="s">
        <v>840</v>
      </c>
      <c r="H1357" s="125">
        <f>G830*12000</f>
        <v>0</v>
      </c>
      <c r="I1357" s="383" t="s">
        <v>840</v>
      </c>
      <c r="J1357" s="177">
        <f>H1357</f>
        <v>0</v>
      </c>
      <c r="K1357" s="383" t="s">
        <v>840</v>
      </c>
      <c r="L1357" s="124"/>
      <c r="R1357" s="157"/>
      <c r="S1357" s="157"/>
    </row>
    <row r="1358" spans="1:19">
      <c r="B1358" s="382"/>
      <c r="G1358" s="383"/>
      <c r="I1358" s="383"/>
      <c r="J1358" s="176"/>
      <c r="K1358" s="383"/>
      <c r="L1358" s="124"/>
      <c r="R1358" s="157"/>
      <c r="S1358" s="157"/>
    </row>
    <row r="1359" spans="1:19">
      <c r="B1359" s="382"/>
      <c r="G1359" s="383"/>
      <c r="I1359" s="383"/>
      <c r="J1359" s="176"/>
      <c r="K1359" s="383"/>
      <c r="L1359" s="124"/>
      <c r="R1359" s="157"/>
      <c r="S1359" s="157"/>
    </row>
    <row r="1360" spans="1:19">
      <c r="B1360" s="382"/>
      <c r="G1360" s="383"/>
      <c r="I1360" s="383"/>
      <c r="J1360" s="176"/>
      <c r="K1360" s="383"/>
      <c r="L1360" s="124"/>
      <c r="R1360" s="157"/>
      <c r="S1360" s="157"/>
    </row>
    <row r="1361" spans="1:19" ht="13.15">
      <c r="A1361" s="346" t="s">
        <v>861</v>
      </c>
      <c r="E1361" s="216"/>
      <c r="R1361" s="157"/>
      <c r="S1361" s="157"/>
    </row>
    <row r="1362" spans="1:19">
      <c r="A1362" s="582" t="s">
        <v>864</v>
      </c>
      <c r="B1362" s="583"/>
      <c r="C1362" s="583"/>
      <c r="D1362" s="583"/>
      <c r="E1362" s="583"/>
      <c r="F1362" s="583"/>
      <c r="G1362" s="583"/>
      <c r="H1362" s="583"/>
      <c r="I1362" s="583"/>
      <c r="J1362" s="583"/>
      <c r="K1362" s="583"/>
      <c r="L1362" s="583"/>
      <c r="M1362" s="583"/>
      <c r="R1362" s="157"/>
      <c r="S1362" s="157"/>
    </row>
    <row r="1363" spans="1:19">
      <c r="A1363" s="583"/>
      <c r="B1363" s="583"/>
      <c r="C1363" s="583"/>
      <c r="D1363" s="583"/>
      <c r="E1363" s="583"/>
      <c r="F1363" s="583"/>
      <c r="G1363" s="583"/>
      <c r="H1363" s="583"/>
      <c r="I1363" s="583"/>
      <c r="J1363" s="583"/>
      <c r="K1363" s="583"/>
      <c r="L1363" s="583"/>
      <c r="M1363" s="583"/>
      <c r="R1363" s="157"/>
      <c r="S1363" s="157"/>
    </row>
    <row r="1364" spans="1:19">
      <c r="E1364" s="216"/>
      <c r="R1364" s="157"/>
      <c r="S1364" s="157"/>
    </row>
    <row r="1365" spans="1:19">
      <c r="C1365" s="181"/>
      <c r="H1365" s="181"/>
      <c r="I1365" s="167"/>
      <c r="K1365" s="124"/>
      <c r="L1365" s="124"/>
      <c r="M1365" s="124"/>
      <c r="R1365" s="157"/>
      <c r="S1365" s="157"/>
    </row>
    <row r="1366" spans="1:19">
      <c r="C1366" s="181"/>
      <c r="D1366" s="125" t="s">
        <v>435</v>
      </c>
      <c r="H1366" s="181"/>
      <c r="I1366" s="216" t="s">
        <v>436</v>
      </c>
      <c r="K1366" s="124"/>
      <c r="L1366" s="124"/>
      <c r="M1366" s="124"/>
      <c r="R1366" s="157"/>
      <c r="S1366" s="157"/>
    </row>
    <row r="1367" spans="1:19">
      <c r="C1367" s="181"/>
      <c r="H1367" s="181"/>
      <c r="I1367" s="167"/>
      <c r="K1367" s="124"/>
      <c r="L1367" s="124"/>
      <c r="M1367" s="124"/>
      <c r="R1367" s="157"/>
      <c r="S1367" s="157"/>
    </row>
    <row r="1368" spans="1:19">
      <c r="C1368" s="181"/>
      <c r="G1368" s="587" t="s">
        <v>181</v>
      </c>
      <c r="H1368" s="181"/>
      <c r="I1368" s="167"/>
      <c r="K1368" s="124"/>
      <c r="L1368" s="124"/>
      <c r="M1368" s="124"/>
      <c r="R1368" s="157"/>
      <c r="S1368" s="157"/>
    </row>
    <row r="1369" spans="1:19">
      <c r="C1369" s="181"/>
      <c r="D1369" s="584" t="s">
        <v>177</v>
      </c>
      <c r="F1369" s="585" t="s">
        <v>178</v>
      </c>
      <c r="G1369" s="587"/>
      <c r="H1369" s="181"/>
      <c r="I1369" s="167"/>
      <c r="K1369" s="124"/>
      <c r="L1369" s="124"/>
      <c r="M1369" s="124"/>
      <c r="R1369" s="157"/>
      <c r="S1369" s="157"/>
    </row>
    <row r="1370" spans="1:19">
      <c r="D1370" s="584"/>
      <c r="F1370" s="585"/>
      <c r="G1370" s="125" t="s">
        <v>180</v>
      </c>
      <c r="H1370" s="181"/>
      <c r="I1370" s="167"/>
      <c r="K1370" s="124"/>
      <c r="L1370" s="124"/>
      <c r="M1370" s="124"/>
      <c r="R1370" s="157"/>
      <c r="S1370" s="157"/>
    </row>
    <row r="1371" spans="1:19">
      <c r="C1371" s="181"/>
      <c r="H1371" s="181"/>
      <c r="I1371" s="167"/>
      <c r="K1371" s="124"/>
      <c r="L1371" s="124"/>
      <c r="M1371" s="124"/>
      <c r="R1371" s="157"/>
      <c r="S1371" s="157"/>
    </row>
    <row r="1372" spans="1:19">
      <c r="C1372" s="181"/>
      <c r="H1372" s="181"/>
      <c r="I1372" s="167"/>
      <c r="K1372" s="124"/>
      <c r="L1372" s="124"/>
      <c r="M1372" s="124"/>
      <c r="R1372" s="157"/>
      <c r="S1372" s="157"/>
    </row>
    <row r="1373" spans="1:19">
      <c r="C1373" s="181"/>
      <c r="D1373" s="586" t="s">
        <v>179</v>
      </c>
      <c r="H1373" s="181"/>
      <c r="I1373" s="167"/>
      <c r="K1373" s="124"/>
      <c r="L1373" s="124"/>
      <c r="M1373" s="124"/>
      <c r="R1373" s="157"/>
      <c r="S1373" s="157"/>
    </row>
    <row r="1374" spans="1:19">
      <c r="C1374" s="181"/>
      <c r="D1374" s="587"/>
      <c r="H1374" s="181"/>
      <c r="I1374" s="167"/>
      <c r="K1374" s="124"/>
      <c r="L1374" s="124"/>
      <c r="M1374" s="124"/>
      <c r="R1374" s="157"/>
      <c r="S1374" s="157"/>
    </row>
    <row r="1375" spans="1:19">
      <c r="C1375" s="181"/>
      <c r="H1375" s="181"/>
      <c r="I1375" s="167"/>
      <c r="K1375" s="124"/>
      <c r="L1375" s="124"/>
      <c r="M1375" s="124"/>
      <c r="R1375" s="157"/>
      <c r="S1375" s="157"/>
    </row>
    <row r="1376" spans="1:19">
      <c r="C1376" s="181"/>
      <c r="H1376" s="181"/>
      <c r="I1376" s="167"/>
      <c r="K1376" s="124"/>
      <c r="L1376" s="124"/>
      <c r="M1376" s="124"/>
      <c r="R1376" s="157"/>
      <c r="S1376" s="157"/>
    </row>
    <row r="1377" spans="1:19">
      <c r="C1377" s="181"/>
      <c r="H1377" s="181"/>
      <c r="I1377" s="167"/>
      <c r="K1377" s="124"/>
      <c r="L1377" s="124"/>
      <c r="M1377" s="124"/>
      <c r="R1377" s="157"/>
      <c r="S1377" s="157"/>
    </row>
    <row r="1378" spans="1:19">
      <c r="C1378" s="181"/>
      <c r="H1378" s="181"/>
      <c r="I1378" s="167"/>
      <c r="K1378" s="124"/>
      <c r="L1378" s="124"/>
      <c r="M1378" s="124"/>
      <c r="R1378" s="157"/>
      <c r="S1378" s="157"/>
    </row>
    <row r="1379" spans="1:19">
      <c r="C1379" s="181"/>
      <c r="H1379" s="181"/>
      <c r="I1379" s="167"/>
      <c r="K1379" s="124"/>
      <c r="L1379" s="124"/>
      <c r="M1379" s="124"/>
      <c r="R1379" s="157"/>
      <c r="S1379" s="157"/>
    </row>
    <row r="1380" spans="1:19">
      <c r="C1380" s="181"/>
      <c r="H1380" s="181"/>
      <c r="I1380" s="167"/>
      <c r="K1380" s="124"/>
      <c r="L1380" s="124"/>
      <c r="M1380" s="124"/>
      <c r="R1380" s="157"/>
      <c r="S1380" s="157"/>
    </row>
    <row r="1381" spans="1:19">
      <c r="C1381" s="181"/>
      <c r="H1381" s="181"/>
      <c r="I1381" s="167"/>
      <c r="K1381" s="124"/>
      <c r="L1381" s="124"/>
      <c r="M1381" s="124"/>
      <c r="R1381" s="157"/>
      <c r="S1381" s="157"/>
    </row>
    <row r="1382" spans="1:19" ht="13.15" thickBot="1">
      <c r="A1382" s="595" t="s">
        <v>680</v>
      </c>
      <c r="B1382" s="595"/>
      <c r="C1382" s="595"/>
      <c r="D1382" s="595"/>
      <c r="E1382" s="595"/>
      <c r="F1382" s="595"/>
      <c r="G1382" s="595"/>
      <c r="H1382" s="595"/>
      <c r="I1382" s="595"/>
      <c r="J1382" s="595"/>
      <c r="K1382" s="124"/>
      <c r="L1382" s="124"/>
      <c r="M1382" s="124"/>
      <c r="R1382" s="157"/>
      <c r="S1382" s="157"/>
    </row>
    <row r="1383" spans="1:19" ht="15.4" thickBot="1">
      <c r="G1383" s="390" t="s">
        <v>866</v>
      </c>
      <c r="H1383" s="66"/>
      <c r="I1383" s="204" t="str">
        <f>"in = "&amp;TEXT(H1383/12,"0.00")&amp;" ft"</f>
        <v>in = 0.00 ft</v>
      </c>
      <c r="J1383" s="167"/>
      <c r="K1383" s="124"/>
      <c r="L1383" s="124"/>
      <c r="M1383" s="124"/>
      <c r="R1383" s="157"/>
      <c r="S1383" s="157"/>
    </row>
    <row r="1384" spans="1:19" ht="15.4" thickBot="1">
      <c r="G1384" s="390" t="s">
        <v>865</v>
      </c>
      <c r="H1384" s="359"/>
      <c r="I1384" s="204" t="str">
        <f>"in = "&amp;TEXT(H1384/12,"0.00")&amp;" ft"</f>
        <v>in = 0.00 ft</v>
      </c>
      <c r="J1384" s="167"/>
      <c r="K1384" s="124"/>
      <c r="L1384" s="124"/>
      <c r="M1384" s="124"/>
      <c r="R1384" s="157"/>
      <c r="S1384" s="157"/>
    </row>
    <row r="1385" spans="1:19" ht="15.4" thickBot="1">
      <c r="G1385" s="390" t="s">
        <v>867</v>
      </c>
      <c r="H1385" s="66"/>
      <c r="I1385" s="204" t="str">
        <f>"in = "&amp;TEXT(H1385/12,"0.00")&amp;" ft"</f>
        <v>in = 0.00 ft</v>
      </c>
      <c r="J1385" s="167"/>
      <c r="K1385" s="124"/>
      <c r="L1385" s="124"/>
      <c r="M1385" s="124"/>
      <c r="R1385" s="157"/>
      <c r="S1385" s="157"/>
    </row>
    <row r="1386" spans="1:19" s="284" customFormat="1">
      <c r="B1386" s="330" t="str">
        <f>IF(ScourReqd="N","",IF(OR(ScourFixityServ&gt;pilelength*12,ScourFixityStr&gt;pilelength*12,ScourFixitySuper&gt;pilelength*12),"Error - depth to fixity is longer than the pile length",""))</f>
        <v/>
      </c>
      <c r="C1386" s="355"/>
      <c r="K1386" s="241"/>
      <c r="L1386" s="241"/>
      <c r="M1386" s="241"/>
      <c r="R1386" s="514">
        <f>IF(ScourReqd="N",0,IF(LEFT(B1386,5)="Error",1,0))</f>
        <v>0</v>
      </c>
      <c r="S1386" s="514">
        <f>IF(LEFT(B1386,5)="Warni",1,0)</f>
        <v>0</v>
      </c>
    </row>
    <row r="1387" spans="1:19">
      <c r="A1387" s="581" t="str">
        <f>"The depth at which friction becomes effective for piles is defined as the point where the deflection reaches less than 2% of the pile "&amp;IF(piletype="H","width","diameter")&amp;".  For the current pile, this deflection value is (0.02)("&amp;IF(piletype="P",FIXED(pilewidth,2)&amp;") = "&amp;FIXED(0.02*pilewidth,2)&amp;" in",FIXED(piledepth,1)&amp;") = "&amp;FIXED(0.02*piledepth,2)&amp;" in")&amp;".  Any length of pile above this depth is considered ineffective in the design of friction piles.  For the scour case, include the length of exposed pile in this value.  This value is not required for point bearing or end bearing piles."</f>
        <v>The depth at which friction becomes effective for piles is defined as the point where the deflection reaches less than 2% of the pile diameter.  For the current pile, this deflection value is (0.02)(0.0) = 0.00 in.  Any length of pile above this depth is considered ineffective in the design of friction piles.  For the scour case, include the length of exposed pile in this value.  This value is not required for point bearing or end bearing piles.</v>
      </c>
      <c r="B1387" s="581"/>
      <c r="C1387" s="581"/>
      <c r="D1387" s="581"/>
      <c r="E1387" s="581"/>
      <c r="F1387" s="581"/>
      <c r="G1387" s="581"/>
      <c r="H1387" s="581"/>
      <c r="I1387" s="581"/>
      <c r="J1387" s="581"/>
      <c r="K1387" s="581"/>
      <c r="L1387" s="581"/>
      <c r="M1387" s="581"/>
      <c r="R1387" s="157"/>
      <c r="S1387" s="157"/>
    </row>
    <row r="1388" spans="1:19">
      <c r="A1388" s="581"/>
      <c r="B1388" s="581"/>
      <c r="C1388" s="581"/>
      <c r="D1388" s="581"/>
      <c r="E1388" s="581"/>
      <c r="F1388" s="581"/>
      <c r="G1388" s="581"/>
      <c r="H1388" s="581"/>
      <c r="I1388" s="581"/>
      <c r="J1388" s="581"/>
      <c r="K1388" s="581"/>
      <c r="L1388" s="581"/>
      <c r="M1388" s="581"/>
      <c r="R1388" s="157"/>
      <c r="S1388" s="157"/>
    </row>
    <row r="1389" spans="1:19">
      <c r="A1389" s="581"/>
      <c r="B1389" s="581"/>
      <c r="C1389" s="581"/>
      <c r="D1389" s="581"/>
      <c r="E1389" s="581"/>
      <c r="F1389" s="581"/>
      <c r="G1389" s="581"/>
      <c r="H1389" s="581"/>
      <c r="I1389" s="581"/>
      <c r="J1389" s="581"/>
      <c r="K1389" s="581"/>
      <c r="L1389" s="581"/>
      <c r="M1389" s="581"/>
      <c r="R1389" s="157"/>
      <c r="S1389" s="157"/>
    </row>
    <row r="1390" spans="1:19" ht="13.15" thickBot="1">
      <c r="A1390" s="581"/>
      <c r="B1390" s="581"/>
      <c r="C1390" s="581"/>
      <c r="D1390" s="581"/>
      <c r="E1390" s="581"/>
      <c r="F1390" s="581"/>
      <c r="G1390" s="581"/>
      <c r="H1390" s="581"/>
      <c r="I1390" s="581"/>
      <c r="J1390" s="581"/>
      <c r="K1390" s="581"/>
      <c r="L1390" s="581"/>
      <c r="M1390" s="581"/>
      <c r="R1390" s="157"/>
      <c r="S1390" s="157"/>
    </row>
    <row r="1391" spans="1:19" ht="15.4" thickBot="1">
      <c r="A1391" s="191"/>
      <c r="B1391" s="191"/>
      <c r="G1391" s="390" t="s">
        <v>161</v>
      </c>
      <c r="H1391" s="20"/>
      <c r="I1391" s="204" t="str">
        <f>"in = "&amp;TEXT(H1391/12,"0.00")&amp;" ft for the Design Flood"</f>
        <v>in = 0.00 ft for the Design Flood</v>
      </c>
      <c r="K1391" s="124"/>
      <c r="L1391" s="124"/>
      <c r="M1391" s="124"/>
      <c r="R1391" s="157"/>
      <c r="S1391" s="157"/>
    </row>
    <row r="1392" spans="1:19">
      <c r="A1392" s="191"/>
      <c r="B1392" s="191"/>
      <c r="K1392" s="124"/>
      <c r="L1392" s="124"/>
      <c r="M1392" s="124"/>
      <c r="R1392" s="157"/>
      <c r="S1392" s="157"/>
    </row>
    <row r="1393" spans="1:19" ht="15.4" thickBot="1">
      <c r="A1393" s="125" t="s">
        <v>37</v>
      </c>
      <c r="K1393" s="124"/>
      <c r="L1393" s="124"/>
      <c r="M1393" s="124"/>
      <c r="R1393" s="157"/>
      <c r="S1393" s="157"/>
    </row>
    <row r="1394" spans="1:19" ht="15.4" thickBot="1">
      <c r="A1394" s="139"/>
      <c r="B1394" s="139"/>
      <c r="D1394" s="139"/>
      <c r="E1394" s="139"/>
      <c r="G1394" s="147" t="s">
        <v>163</v>
      </c>
      <c r="H1394" s="46"/>
      <c r="I1394" s="139" t="str">
        <f>"k-ft = "&amp;FIXED(H1394*12000,0)&amp;" k-in for the Design Flood"</f>
        <v>k-ft = 0 k-in for the Design Flood</v>
      </c>
      <c r="J1394" s="139"/>
      <c r="K1394" s="124"/>
      <c r="L1394" s="124"/>
      <c r="M1394" s="124"/>
      <c r="R1394" s="157"/>
      <c r="S1394" s="157"/>
    </row>
    <row r="1395" spans="1:19" ht="15.4" thickBot="1">
      <c r="A1395" s="139"/>
      <c r="B1395" s="139"/>
      <c r="C1395" s="139"/>
      <c r="D1395" s="139"/>
      <c r="E1395" s="139"/>
      <c r="G1395" s="147" t="s">
        <v>162</v>
      </c>
      <c r="H1395" s="46"/>
      <c r="I1395" s="139" t="str">
        <f>"k-ft = "&amp;FIXED(H1395*12000,0)&amp;" k-in for the Design Flood"</f>
        <v>k-ft = 0 k-in for the Design Flood</v>
      </c>
      <c r="J1395" s="139"/>
      <c r="K1395" s="124"/>
      <c r="L1395" s="124"/>
      <c r="M1395" s="124"/>
      <c r="R1395" s="157"/>
      <c r="S1395" s="157"/>
    </row>
    <row r="1396" spans="1:19" s="377" customFormat="1" ht="15.4" thickBot="1">
      <c r="E1396" s="381"/>
      <c r="G1396" s="391" t="s">
        <v>162</v>
      </c>
      <c r="H1396" s="46"/>
      <c r="I1396" s="139" t="str">
        <f>"k-ft = "&amp;FIXED(H1396*12000,0)&amp;" k-in for the Superflood"</f>
        <v>k-ft = 0 k-in for the Superflood</v>
      </c>
      <c r="R1396" s="372"/>
      <c r="S1396" s="372"/>
    </row>
    <row r="1397" spans="1:19" s="377" customFormat="1" ht="10.15"/>
    <row r="1398" spans="1:19" ht="13.15">
      <c r="A1398" s="253" t="s">
        <v>880</v>
      </c>
      <c r="E1398" s="216"/>
      <c r="R1398" s="157"/>
      <c r="S1398" s="157"/>
    </row>
    <row r="1399" spans="1:19" ht="13.15">
      <c r="A1399" s="253"/>
      <c r="E1399" s="216"/>
      <c r="R1399" s="157"/>
      <c r="S1399" s="157"/>
    </row>
    <row r="1400" spans="1:19">
      <c r="B1400" s="260" t="s">
        <v>426</v>
      </c>
      <c r="E1400" s="216"/>
      <c r="R1400" s="157"/>
      <c r="S1400" s="157"/>
    </row>
    <row r="1401" spans="1:19">
      <c r="B1401" s="583" t="s">
        <v>316</v>
      </c>
      <c r="C1401" s="583"/>
      <c r="D1401" s="583"/>
      <c r="E1401" s="583"/>
      <c r="F1401" s="583"/>
      <c r="G1401" s="583"/>
      <c r="H1401" s="583"/>
      <c r="I1401" s="583"/>
      <c r="J1401" s="583"/>
      <c r="K1401" s="583"/>
      <c r="L1401" s="583"/>
      <c r="M1401" s="583"/>
      <c r="R1401" s="157"/>
      <c r="S1401" s="157"/>
    </row>
    <row r="1402" spans="1:19">
      <c r="A1402" s="137"/>
      <c r="B1402" s="583"/>
      <c r="C1402" s="583"/>
      <c r="D1402" s="583"/>
      <c r="E1402" s="583"/>
      <c r="F1402" s="583"/>
      <c r="G1402" s="583"/>
      <c r="H1402" s="583"/>
      <c r="I1402" s="583"/>
      <c r="J1402" s="583"/>
      <c r="K1402" s="583"/>
      <c r="L1402" s="583"/>
      <c r="M1402" s="583"/>
      <c r="R1402" s="157"/>
      <c r="S1402" s="157"/>
    </row>
    <row r="1403" spans="1:19">
      <c r="A1403" s="137"/>
      <c r="B1403" s="583"/>
      <c r="C1403" s="583"/>
      <c r="D1403" s="583"/>
      <c r="E1403" s="583"/>
      <c r="F1403" s="583"/>
      <c r="G1403" s="583"/>
      <c r="H1403" s="583"/>
      <c r="I1403" s="583"/>
      <c r="J1403" s="583"/>
      <c r="K1403" s="583"/>
      <c r="L1403" s="583"/>
      <c r="M1403" s="583"/>
      <c r="R1403" s="157"/>
      <c r="S1403" s="157"/>
    </row>
    <row r="1404" spans="1:19">
      <c r="A1404" s="137"/>
      <c r="B1404" s="583"/>
      <c r="C1404" s="583"/>
      <c r="D1404" s="583"/>
      <c r="E1404" s="583"/>
      <c r="F1404" s="583"/>
      <c r="G1404" s="583"/>
      <c r="H1404" s="583"/>
      <c r="I1404" s="583"/>
      <c r="J1404" s="583"/>
      <c r="K1404" s="583"/>
      <c r="L1404" s="583"/>
      <c r="M1404" s="583"/>
      <c r="R1404" s="157"/>
      <c r="S1404" s="157"/>
    </row>
    <row r="1405" spans="1:19" s="377" customFormat="1" ht="10.15">
      <c r="E1405" s="381"/>
      <c r="R1405" s="372"/>
      <c r="S1405" s="372"/>
    </row>
    <row r="1406" spans="1:19" ht="15">
      <c r="B1406" s="139" t="s">
        <v>154</v>
      </c>
      <c r="F1406" s="273">
        <f>brngresfact</f>
        <v>0</v>
      </c>
      <c r="G1406" s="125" t="s">
        <v>160</v>
      </c>
      <c r="R1406" s="157"/>
      <c r="S1406" s="157"/>
    </row>
    <row r="1407" spans="1:19" ht="15">
      <c r="B1407" s="139" t="s">
        <v>155</v>
      </c>
      <c r="E1407" s="216"/>
      <c r="F1407" s="273">
        <f>I896</f>
        <v>0</v>
      </c>
      <c r="G1407" s="125" t="s">
        <v>156</v>
      </c>
      <c r="R1407" s="157"/>
      <c r="S1407" s="157"/>
    </row>
    <row r="1408" spans="1:19" ht="15">
      <c r="B1408" s="139" t="s">
        <v>157</v>
      </c>
      <c r="H1408" s="234">
        <f>frictresfact</f>
        <v>0</v>
      </c>
      <c r="R1408" s="157"/>
      <c r="S1408" s="157"/>
    </row>
    <row r="1409" spans="1:19" ht="15">
      <c r="B1409" s="139" t="s">
        <v>158</v>
      </c>
      <c r="F1409" s="358">
        <f>I910</f>
        <v>0</v>
      </c>
      <c r="G1409" s="125" t="s">
        <v>159</v>
      </c>
      <c r="R1409" s="157"/>
      <c r="S1409" s="157"/>
    </row>
    <row r="1410" spans="1:19">
      <c r="B1410" s="139"/>
      <c r="R1410" s="157"/>
      <c r="S1410" s="157"/>
    </row>
    <row r="1411" spans="1:19" ht="15">
      <c r="B1411" s="125" t="s">
        <v>386</v>
      </c>
      <c r="E1411" s="216"/>
      <c r="G1411" s="125" t="str">
        <f>FIXED(pilelength*12,2)&amp;" - "&amp;ScourPercStr&amp;" ="</f>
        <v>0.00 -  =</v>
      </c>
      <c r="H1411" s="351">
        <f>pilelength*12-ScourPercStr</f>
        <v>0</v>
      </c>
      <c r="I1411" s="196" t="str">
        <f>"in = "&amp;FIXED(H1411/12,2)&amp;" ft"</f>
        <v>in = 0.00 ft</v>
      </c>
      <c r="R1411" s="157"/>
      <c r="S1411" s="157"/>
    </row>
    <row r="1412" spans="1:19">
      <c r="E1412" s="216"/>
      <c r="R1412" s="157"/>
      <c r="S1412" s="157"/>
    </row>
    <row r="1413" spans="1:19" ht="15">
      <c r="B1413" s="139" t="s">
        <v>370</v>
      </c>
      <c r="E1413" s="216"/>
      <c r="G1413" s="139" t="e">
        <f>"= ("&amp;FIXED(F1409,3)&amp;" ksi)("&amp;FIXED(IF(piletype="P",PI()*pilewidth,4*pilewidth+2*(piledepth-'Pile Data'!E28)),2,TRUE)&amp;")("&amp;H1411&amp;") ="</f>
        <v>#N/A</v>
      </c>
      <c r="I1413" s="273" t="e">
        <f>F1409*IF(piletype="P",PI()*pilewidth,4*pilewidth+2*(piledepth-'Pile Data'!E28))*H1411</f>
        <v>#N/A</v>
      </c>
      <c r="J1413" s="222" t="s">
        <v>338</v>
      </c>
      <c r="R1413" s="157"/>
      <c r="S1413" s="157"/>
    </row>
    <row r="1414" spans="1:19">
      <c r="R1414" s="157"/>
      <c r="S1414" s="157"/>
    </row>
    <row r="1415" spans="1:19" ht="15">
      <c r="A1415" s="139"/>
      <c r="B1415" s="139" t="s">
        <v>417</v>
      </c>
      <c r="C1415" s="139"/>
      <c r="D1415" s="139"/>
      <c r="E1415" s="139"/>
      <c r="F1415" s="139"/>
      <c r="G1415" s="139"/>
      <c r="H1415" s="222" t="e">
        <f>"("&amp;FIXED(brngresfact,2,TRUE)&amp;")("&amp;FIXED(I896,TRUE)&amp;") + ("&amp;FIXED(H1408,2,TRUE)&amp;")("&amp;FIXED(I1413,2,TRUE)&amp;") = "</f>
        <v>#N/A</v>
      </c>
      <c r="I1415" s="213"/>
      <c r="J1415" s="139"/>
      <c r="K1415" s="273" t="e">
        <f>(F1406*F1407+H1408*I1413)</f>
        <v>#N/A</v>
      </c>
      <c r="L1415" s="196" t="s">
        <v>338</v>
      </c>
      <c r="M1415" s="139"/>
      <c r="R1415" s="157"/>
      <c r="S1415" s="157"/>
    </row>
    <row r="1416" spans="1:19">
      <c r="A1416" s="139"/>
      <c r="C1416" s="147"/>
      <c r="D1416" s="222"/>
      <c r="G1416" s="273"/>
      <c r="H1416" s="196"/>
      <c r="I1416" s="220"/>
      <c r="J1416" s="198"/>
      <c r="K1416" s="139"/>
      <c r="L1416" s="139"/>
      <c r="M1416" s="139"/>
      <c r="R1416" s="157"/>
      <c r="S1416" s="157"/>
    </row>
    <row r="1417" spans="1:19">
      <c r="A1417" s="139"/>
      <c r="B1417" s="223" t="e">
        <f>IF(K1415&lt;F1354,"Error - "&amp;FIXED(K1415,1,TRUE)&amp;" k &lt; "&amp;FIXED(F1354,1,TRUE)&amp;" k - Inadequate geotechnical resistance",FIXED(K1415,1,TRUE)&amp;" k &gt; "&amp;FIXED(F1354,1,TRUE)&amp;" k - OK")</f>
        <v>#N/A</v>
      </c>
      <c r="C1417" s="139"/>
      <c r="D1417" s="139"/>
      <c r="E1417" s="139"/>
      <c r="F1417" s="139"/>
      <c r="G1417" s="139"/>
      <c r="H1417" s="196"/>
      <c r="I1417" s="213"/>
      <c r="J1417" s="139"/>
      <c r="K1417" s="151"/>
      <c r="L1417" s="139"/>
      <c r="M1417" s="139"/>
      <c r="R1417" s="157" t="e">
        <f>IF(ScourReqd="N",0,IF(LEFT(B1417,5)="Error",1,0))</f>
        <v>#N/A</v>
      </c>
      <c r="S1417" s="157" t="e">
        <f>IF(LEFT(B1417,5)="Warni",1,0)</f>
        <v>#N/A</v>
      </c>
    </row>
    <row r="1418" spans="1:19" ht="13.15">
      <c r="A1418" s="253" t="s">
        <v>881</v>
      </c>
      <c r="E1418" s="216"/>
      <c r="R1418" s="157"/>
      <c r="S1418" s="157"/>
    </row>
    <row r="1419" spans="1:19">
      <c r="E1419" s="216"/>
      <c r="R1419" s="157"/>
      <c r="S1419" s="157"/>
    </row>
    <row r="1420" spans="1:19">
      <c r="B1420" s="260" t="s">
        <v>587</v>
      </c>
      <c r="C1420" s="225"/>
      <c r="G1420" s="167"/>
      <c r="I1420" s="176"/>
      <c r="K1420" s="168"/>
      <c r="R1420" s="157"/>
      <c r="S1420" s="157"/>
    </row>
    <row r="1421" spans="1:19">
      <c r="A1421" s="284"/>
      <c r="B1421" s="139" t="s">
        <v>586</v>
      </c>
      <c r="C1421" s="318"/>
      <c r="D1421" s="319"/>
      <c r="E1421" s="319"/>
      <c r="F1421" s="319"/>
      <c r="G1421" s="320"/>
      <c r="H1421" s="319"/>
      <c r="I1421" s="321"/>
      <c r="J1421" s="319"/>
      <c r="K1421" s="322"/>
      <c r="L1421" s="286"/>
      <c r="M1421" s="286"/>
      <c r="R1421" s="157"/>
      <c r="S1421" s="157"/>
    </row>
    <row r="1422" spans="1:19">
      <c r="A1422" s="286"/>
      <c r="B1422" s="286"/>
      <c r="C1422" s="318"/>
      <c r="D1422" s="319"/>
      <c r="E1422" s="319"/>
      <c r="F1422" s="319"/>
      <c r="G1422" s="320"/>
      <c r="H1422" s="319"/>
      <c r="I1422" s="321"/>
      <c r="J1422" s="319"/>
      <c r="K1422" s="322"/>
      <c r="L1422" s="286"/>
      <c r="M1422" s="286"/>
      <c r="R1422" s="157"/>
      <c r="S1422" s="157"/>
    </row>
    <row r="1423" spans="1:19">
      <c r="B1423" s="153"/>
      <c r="C1423" s="281" t="s">
        <v>588</v>
      </c>
      <c r="D1423" s="153"/>
      <c r="E1423" s="153"/>
      <c r="F1423" s="153"/>
      <c r="G1423" s="153"/>
      <c r="H1423" s="153"/>
      <c r="I1423" s="153"/>
      <c r="J1423" s="153"/>
      <c r="K1423" s="153"/>
      <c r="L1423" s="153"/>
      <c r="M1423" s="153"/>
      <c r="R1423" s="157"/>
      <c r="S1423" s="157"/>
    </row>
    <row r="1424" spans="1:19">
      <c r="B1424" s="153"/>
      <c r="C1424" s="588" t="s">
        <v>868</v>
      </c>
      <c r="D1424" s="577"/>
      <c r="E1424" s="577"/>
      <c r="F1424" s="577"/>
      <c r="G1424" s="577"/>
      <c r="H1424" s="577"/>
      <c r="I1424" s="577"/>
      <c r="J1424" s="577"/>
      <c r="K1424" s="577"/>
      <c r="L1424" s="577"/>
      <c r="M1424" s="577"/>
      <c r="R1424" s="157"/>
      <c r="S1424" s="157"/>
    </row>
    <row r="1425" spans="1:19">
      <c r="B1425" s="153"/>
      <c r="C1425" s="577"/>
      <c r="D1425" s="577"/>
      <c r="E1425" s="577"/>
      <c r="F1425" s="577"/>
      <c r="G1425" s="577"/>
      <c r="H1425" s="577"/>
      <c r="I1425" s="577"/>
      <c r="J1425" s="577"/>
      <c r="K1425" s="577"/>
      <c r="L1425" s="577"/>
      <c r="M1425" s="577"/>
      <c r="R1425" s="157"/>
      <c r="S1425" s="157"/>
    </row>
    <row r="1426" spans="1:19">
      <c r="A1426" s="284"/>
      <c r="B1426" s="354"/>
      <c r="C1426" s="355"/>
      <c r="D1426" s="354"/>
      <c r="E1426" s="354"/>
      <c r="F1426" s="354"/>
      <c r="G1426" s="354"/>
      <c r="H1426" s="354"/>
      <c r="I1426" s="354"/>
      <c r="J1426" s="354"/>
      <c r="K1426" s="354"/>
      <c r="L1426" s="354"/>
      <c r="M1426" s="354"/>
      <c r="R1426" s="157"/>
      <c r="S1426" s="157"/>
    </row>
    <row r="1427" spans="1:19" ht="15">
      <c r="B1427" s="153"/>
      <c r="C1427" s="174" t="s">
        <v>150</v>
      </c>
      <c r="D1427" s="153"/>
      <c r="F1427" s="284"/>
      <c r="G1427" s="284"/>
      <c r="H1427" s="284"/>
      <c r="I1427" s="284"/>
      <c r="J1427" s="153"/>
      <c r="K1427" s="153"/>
      <c r="L1427" s="153"/>
      <c r="M1427" s="153"/>
      <c r="R1427" s="157"/>
      <c r="S1427" s="157"/>
    </row>
    <row r="1428" spans="1:19">
      <c r="B1428" s="153"/>
      <c r="C1428" s="133" t="s">
        <v>149</v>
      </c>
      <c r="D1428" s="356">
        <f>ScourFixityStr</f>
        <v>0</v>
      </c>
      <c r="E1428" s="125" t="str">
        <f>"in = "&amp;FIXED(D1428/12,2)&amp;" ft"</f>
        <v>in = 0.00 ft</v>
      </c>
      <c r="F1428" s="165"/>
      <c r="G1428" s="131"/>
      <c r="H1428" s="153"/>
      <c r="I1428" s="153"/>
      <c r="J1428" s="153"/>
      <c r="K1428" s="153"/>
      <c r="L1428" s="153"/>
      <c r="M1428" s="153"/>
      <c r="R1428" s="157"/>
      <c r="S1428" s="157"/>
    </row>
    <row r="1429" spans="1:19">
      <c r="B1429" s="153"/>
      <c r="C1429" s="133"/>
      <c r="D1429" s="177"/>
      <c r="F1429" s="165"/>
      <c r="G1429" s="131"/>
      <c r="H1429" s="153"/>
      <c r="I1429" s="153"/>
      <c r="J1429" s="153"/>
      <c r="K1429" s="153"/>
      <c r="L1429" s="153"/>
      <c r="M1429" s="153"/>
      <c r="R1429" s="157"/>
      <c r="S1429" s="157"/>
    </row>
    <row r="1430" spans="1:19" ht="15.4">
      <c r="B1430" s="153"/>
      <c r="C1430" s="284" t="s">
        <v>976</v>
      </c>
      <c r="G1430" s="153"/>
      <c r="H1430" s="153"/>
      <c r="I1430" s="153"/>
      <c r="J1430" s="153"/>
      <c r="K1430" s="153"/>
      <c r="L1430" s="153"/>
      <c r="M1430" s="153"/>
      <c r="R1430" s="157"/>
      <c r="S1430" s="157"/>
    </row>
    <row r="1431" spans="1:19" ht="15">
      <c r="B1431" s="153"/>
      <c r="C1431" s="133" t="s">
        <v>412</v>
      </c>
      <c r="D1431" s="228">
        <f>IF(ScourFixityStr="",0,(PI())^2*29000*pilearea/(0.65*D1428/pilegyration)^2)</f>
        <v>0</v>
      </c>
      <c r="E1431" s="125" t="s">
        <v>495</v>
      </c>
      <c r="G1431" s="153"/>
      <c r="H1431" s="153"/>
      <c r="I1431" s="153"/>
      <c r="J1431" s="153"/>
      <c r="K1431" s="153"/>
      <c r="L1431" s="153"/>
      <c r="M1431" s="153"/>
      <c r="R1431" s="157"/>
      <c r="S1431" s="157"/>
    </row>
    <row r="1432" spans="1:19">
      <c r="B1432" s="260"/>
      <c r="C1432" s="153"/>
      <c r="D1432" s="153"/>
      <c r="E1432" s="153"/>
      <c r="F1432" s="153"/>
      <c r="G1432" s="153"/>
      <c r="H1432" s="153"/>
      <c r="I1432" s="153"/>
      <c r="J1432" s="153"/>
      <c r="K1432" s="153"/>
      <c r="L1432" s="153"/>
      <c r="M1432" s="153"/>
      <c r="R1432" s="157"/>
      <c r="S1432" s="157"/>
    </row>
    <row r="1433" spans="1:19">
      <c r="B1433" s="153"/>
      <c r="C1433" s="260" t="s">
        <v>497</v>
      </c>
      <c r="D1433" s="153"/>
      <c r="E1433" s="153"/>
      <c r="F1433" s="153"/>
      <c r="G1433" s="153"/>
      <c r="H1433" s="153"/>
      <c r="I1433" s="153"/>
      <c r="J1433" s="153"/>
      <c r="K1433" s="153"/>
      <c r="L1433" s="153"/>
      <c r="M1433" s="153"/>
      <c r="R1433" s="157"/>
      <c r="S1433" s="157"/>
    </row>
    <row r="1434" spans="1:19" ht="15">
      <c r="B1434" s="153"/>
      <c r="C1434" s="125" t="s">
        <v>493</v>
      </c>
      <c r="F1434" s="153"/>
      <c r="G1434" s="153"/>
      <c r="H1434" s="153"/>
      <c r="I1434" s="153"/>
      <c r="J1434" s="153"/>
      <c r="K1434" s="153"/>
      <c r="L1434" s="153"/>
      <c r="M1434" s="153"/>
      <c r="R1434" s="157"/>
      <c r="S1434" s="157"/>
    </row>
    <row r="1435" spans="1:19" ht="15">
      <c r="B1435" s="153"/>
      <c r="C1435" s="133" t="s">
        <v>494</v>
      </c>
      <c r="D1435" s="228" t="e">
        <f>D1051</f>
        <v>#DIV/0!</v>
      </c>
      <c r="E1435" s="125" t="s">
        <v>151</v>
      </c>
      <c r="F1435" s="153"/>
      <c r="G1435" s="153"/>
      <c r="H1435" s="153"/>
      <c r="I1435" s="153"/>
      <c r="J1435" s="153"/>
      <c r="K1435" s="153"/>
      <c r="L1435" s="153"/>
      <c r="M1435" s="153"/>
      <c r="R1435" s="157"/>
      <c r="S1435" s="157"/>
    </row>
    <row r="1436" spans="1:19">
      <c r="B1436" s="153"/>
      <c r="G1436" s="153"/>
      <c r="H1436" s="153"/>
      <c r="I1436" s="153"/>
      <c r="J1436" s="153"/>
      <c r="K1436" s="153"/>
      <c r="L1436" s="153"/>
      <c r="M1436" s="153"/>
      <c r="R1436" s="157"/>
      <c r="S1436" s="157"/>
    </row>
    <row r="1437" spans="1:19" ht="15.4">
      <c r="B1437" s="153"/>
      <c r="C1437" s="125" t="s">
        <v>413</v>
      </c>
      <c r="G1437" s="153"/>
      <c r="H1437" s="153"/>
      <c r="I1437" s="153"/>
      <c r="J1437" s="153"/>
      <c r="K1437" s="153"/>
      <c r="L1437" s="153"/>
      <c r="M1437" s="153"/>
      <c r="R1437" s="157"/>
      <c r="S1437" s="157"/>
    </row>
    <row r="1438" spans="1:19" ht="15">
      <c r="B1438" s="153"/>
      <c r="C1438" s="125" t="s">
        <v>414</v>
      </c>
      <c r="D1438" s="153"/>
      <c r="E1438" s="153"/>
      <c r="F1438" s="153"/>
      <c r="G1438" s="153"/>
      <c r="H1438" s="153"/>
      <c r="I1438" s="153"/>
      <c r="J1438" s="153"/>
      <c r="K1438" s="153"/>
      <c r="L1438" s="153"/>
      <c r="M1438" s="153"/>
      <c r="R1438" s="157"/>
      <c r="S1438" s="157"/>
    </row>
    <row r="1439" spans="1:19" ht="15">
      <c r="B1439" s="153"/>
      <c r="D1439" s="133" t="s">
        <v>415</v>
      </c>
      <c r="E1439" s="323" t="str">
        <f>IF(pilearea="","",D1431/D1435)</f>
        <v/>
      </c>
      <c r="F1439" s="139" t="str">
        <f>IF(E1439&lt;0.44, "Use AASHTO Equation 6.9.4.1.1-2.","Use AASHTO Equation 6.9.4.1.1-1.")</f>
        <v>Use AASHTO Equation 6.9.4.1.1-1.</v>
      </c>
      <c r="G1439" s="153"/>
      <c r="H1439" s="153"/>
      <c r="I1439" s="153"/>
      <c r="J1439" s="153"/>
      <c r="K1439" s="153"/>
      <c r="L1439" s="153"/>
      <c r="M1439" s="153"/>
      <c r="R1439" s="157"/>
      <c r="S1439" s="157"/>
    </row>
    <row r="1440" spans="1:19">
      <c r="B1440" s="153"/>
      <c r="C1440" s="139"/>
      <c r="D1440" s="153"/>
      <c r="E1440" s="153"/>
      <c r="F1440" s="153"/>
      <c r="G1440" s="153"/>
      <c r="H1440" s="153"/>
      <c r="I1440" s="153"/>
      <c r="J1440" s="153"/>
      <c r="K1440" s="153"/>
      <c r="L1440" s="153"/>
      <c r="M1440" s="153"/>
      <c r="R1440" s="157"/>
      <c r="S1440" s="157"/>
    </row>
    <row r="1441" spans="1:19" ht="15.4">
      <c r="A1441" s="131"/>
      <c r="B1441" s="153"/>
      <c r="C1441" s="284" t="s">
        <v>929</v>
      </c>
      <c r="F1441" s="153"/>
      <c r="G1441" s="153"/>
      <c r="H1441" s="153"/>
      <c r="I1441" s="153"/>
      <c r="J1441" s="153"/>
      <c r="K1441" s="153"/>
      <c r="L1441" s="153"/>
      <c r="M1441" s="153"/>
      <c r="R1441" s="157"/>
      <c r="S1441" s="157"/>
    </row>
    <row r="1442" spans="1:19" ht="15">
      <c r="A1442" s="131"/>
      <c r="B1442" s="153"/>
      <c r="C1442" s="284" t="s">
        <v>930</v>
      </c>
      <c r="D1442" s="153"/>
      <c r="E1442" s="153"/>
      <c r="F1442" s="153"/>
      <c r="G1442" s="153"/>
      <c r="H1442" s="153"/>
      <c r="I1442" s="153"/>
      <c r="J1442" s="153"/>
      <c r="K1442" s="153"/>
      <c r="L1442" s="153"/>
      <c r="M1442" s="153"/>
      <c r="R1442" s="157"/>
      <c r="S1442" s="157"/>
    </row>
    <row r="1443" spans="1:19" ht="15">
      <c r="A1443" s="131"/>
      <c r="B1443" s="153"/>
      <c r="C1443" s="133" t="s">
        <v>496</v>
      </c>
      <c r="D1443" s="228" t="e">
        <f>IF(D1431/D1435&lt;0.44,MIN(0.877*D1431,0.66*pileyield*pilearea),MIN(0.658^(D1435/D1431)*D1435,0.66*pileyield*pilearea))</f>
        <v>#DIV/0!</v>
      </c>
      <c r="E1443" s="125" t="e">
        <f>"kips"&amp;IF(D1443=0.66*pileyield*pilearea,", Limited by DM-4 6.15.3","")</f>
        <v>#DIV/0!</v>
      </c>
      <c r="F1443" s="153"/>
      <c r="G1443" s="153"/>
      <c r="H1443" s="153"/>
      <c r="I1443" s="153"/>
      <c r="J1443" s="153"/>
      <c r="K1443" s="153"/>
      <c r="L1443" s="153"/>
      <c r="M1443" s="153"/>
      <c r="R1443" s="157"/>
      <c r="S1443" s="157"/>
    </row>
    <row r="1444" spans="1:19">
      <c r="B1444" s="153"/>
      <c r="C1444" s="153"/>
      <c r="D1444" s="153"/>
      <c r="E1444" s="153"/>
      <c r="F1444" s="153"/>
      <c r="G1444" s="153"/>
      <c r="H1444" s="153"/>
      <c r="I1444" s="153"/>
      <c r="J1444" s="153"/>
      <c r="K1444" s="153"/>
      <c r="L1444" s="153"/>
      <c r="M1444" s="153"/>
      <c r="R1444" s="157"/>
      <c r="S1444" s="157"/>
    </row>
    <row r="1445" spans="1:19">
      <c r="B1445" s="153"/>
      <c r="C1445" s="260" t="s">
        <v>499</v>
      </c>
      <c r="D1445" s="153"/>
      <c r="E1445" s="153"/>
      <c r="F1445" s="153"/>
      <c r="G1445" s="153"/>
      <c r="H1445" s="153"/>
      <c r="I1445" s="153"/>
      <c r="J1445" s="153"/>
      <c r="K1445" s="153"/>
      <c r="L1445" s="153"/>
      <c r="M1445" s="153"/>
      <c r="R1445" s="157"/>
      <c r="S1445" s="157"/>
    </row>
    <row r="1446" spans="1:19" ht="15">
      <c r="B1446" s="153"/>
      <c r="C1446" s="125" t="s">
        <v>667</v>
      </c>
      <c r="F1446" s="153"/>
      <c r="G1446" s="153"/>
      <c r="I1446" s="139" t="e">
        <f>"("&amp;comp2resfact&amp;")("&amp;FIXED(D1443,2,TRUE)&amp;") "</f>
        <v>#DIV/0!</v>
      </c>
      <c r="J1446" s="153"/>
      <c r="K1446" s="153"/>
      <c r="L1446" s="153"/>
      <c r="M1446" s="153"/>
      <c r="R1446" s="157"/>
      <c r="S1446" s="157"/>
    </row>
    <row r="1447" spans="1:19" ht="15">
      <c r="B1447" s="153"/>
      <c r="C1447" s="133" t="s">
        <v>501</v>
      </c>
      <c r="D1447" s="228" t="e">
        <f>comp2resfact*D1443</f>
        <v>#DIV/0!</v>
      </c>
      <c r="E1447" s="125" t="s">
        <v>338</v>
      </c>
      <c r="F1447" s="153"/>
      <c r="G1447" s="153"/>
      <c r="H1447" s="153"/>
      <c r="I1447" s="153"/>
      <c r="J1447" s="153"/>
      <c r="K1447" s="153"/>
      <c r="L1447" s="153"/>
      <c r="M1447" s="153"/>
      <c r="R1447" s="157"/>
      <c r="S1447" s="157"/>
    </row>
    <row r="1448" spans="1:19">
      <c r="B1448" s="153"/>
      <c r="C1448" s="153"/>
      <c r="D1448" s="153"/>
      <c r="E1448" s="153"/>
      <c r="F1448" s="153"/>
      <c r="G1448" s="153"/>
      <c r="H1448" s="153"/>
      <c r="I1448" s="153"/>
      <c r="J1448" s="153"/>
      <c r="K1448" s="153"/>
      <c r="L1448" s="153"/>
      <c r="M1448" s="153"/>
      <c r="R1448" s="157"/>
      <c r="S1448" s="157"/>
    </row>
    <row r="1449" spans="1:19">
      <c r="B1449" s="260" t="s">
        <v>416</v>
      </c>
      <c r="C1449" s="392"/>
      <c r="D1449" s="392"/>
      <c r="E1449" s="392"/>
      <c r="F1449" s="392"/>
      <c r="G1449" s="392"/>
      <c r="H1449" s="392"/>
      <c r="I1449" s="392"/>
      <c r="J1449" s="392"/>
      <c r="K1449" s="392"/>
      <c r="L1449" s="392"/>
      <c r="M1449" s="392"/>
      <c r="R1449" s="157"/>
      <c r="S1449" s="157"/>
    </row>
    <row r="1450" spans="1:19">
      <c r="B1450" s="392"/>
      <c r="C1450" s="392"/>
      <c r="D1450" s="392"/>
      <c r="E1450" s="392"/>
      <c r="F1450" s="392"/>
      <c r="G1450" s="392"/>
      <c r="H1450" s="392"/>
      <c r="I1450" s="392"/>
      <c r="J1450" s="392"/>
      <c r="K1450" s="392"/>
      <c r="L1450" s="392"/>
      <c r="M1450" s="392"/>
      <c r="R1450" s="157"/>
      <c r="S1450" s="157"/>
    </row>
    <row r="1451" spans="1:19">
      <c r="B1451" s="153"/>
      <c r="C1451" s="260" t="s">
        <v>210</v>
      </c>
      <c r="D1451" s="153"/>
      <c r="E1451" s="153"/>
      <c r="F1451" s="153"/>
      <c r="G1451" s="153"/>
      <c r="H1451" s="153"/>
      <c r="I1451" s="153"/>
      <c r="J1451" s="153"/>
      <c r="K1451" s="153"/>
      <c r="L1451" s="153"/>
      <c r="M1451" s="153"/>
      <c r="R1451" s="157"/>
      <c r="S1451" s="157"/>
    </row>
    <row r="1452" spans="1:19" ht="15">
      <c r="B1452" s="153"/>
      <c r="C1452" s="125" t="s">
        <v>668</v>
      </c>
      <c r="F1452" s="153"/>
      <c r="I1452" s="139" t="e">
        <f>"("&amp;flexresfact&amp;")("&amp;FIXED(D1084,1,TRUE)&amp;") "</f>
        <v>#DIV/0!</v>
      </c>
      <c r="J1452" s="153"/>
      <c r="K1452" s="153"/>
      <c r="L1452" s="153"/>
      <c r="M1452" s="153"/>
      <c r="R1452" s="157"/>
      <c r="S1452" s="157"/>
    </row>
    <row r="1453" spans="1:19" ht="15">
      <c r="B1453" s="153"/>
      <c r="C1453" s="133" t="s">
        <v>211</v>
      </c>
      <c r="D1453" s="336" t="e">
        <f>D1088</f>
        <v>#DIV/0!</v>
      </c>
      <c r="E1453" s="125" t="s">
        <v>164</v>
      </c>
      <c r="F1453" s="153"/>
      <c r="G1453" s="153"/>
      <c r="H1453" s="153"/>
      <c r="I1453" s="153"/>
      <c r="J1453" s="153"/>
      <c r="K1453" s="153"/>
      <c r="L1453" s="153"/>
      <c r="M1453" s="153"/>
      <c r="R1453" s="157"/>
      <c r="S1453" s="157"/>
    </row>
    <row r="1454" spans="1:19" ht="15">
      <c r="B1454" s="153"/>
      <c r="C1454" s="133" t="s">
        <v>211</v>
      </c>
      <c r="D1454" s="336" t="e">
        <f>D1453/12</f>
        <v>#DIV/0!</v>
      </c>
      <c r="E1454" s="125" t="s">
        <v>830</v>
      </c>
      <c r="F1454" s="153"/>
      <c r="G1454" s="153"/>
      <c r="H1454" s="153"/>
      <c r="I1454" s="153"/>
      <c r="J1454" s="153"/>
      <c r="K1454" s="153"/>
      <c r="L1454" s="153"/>
      <c r="M1454" s="153"/>
      <c r="R1454" s="157"/>
      <c r="S1454" s="157"/>
    </row>
    <row r="1455" spans="1:19">
      <c r="B1455" s="153"/>
      <c r="C1455" s="153"/>
      <c r="D1455" s="153"/>
      <c r="E1455" s="153"/>
      <c r="F1455" s="153"/>
      <c r="G1455" s="153"/>
      <c r="H1455" s="153"/>
      <c r="I1455" s="153"/>
      <c r="J1455" s="153"/>
      <c r="K1455" s="153"/>
      <c r="L1455" s="153"/>
      <c r="M1455" s="153"/>
      <c r="R1455" s="157"/>
      <c r="S1455" s="157"/>
    </row>
    <row r="1456" spans="1:19">
      <c r="B1456" s="260" t="s">
        <v>410</v>
      </c>
      <c r="C1456" s="153"/>
      <c r="D1456" s="153"/>
      <c r="E1456" s="153"/>
      <c r="F1456" s="153"/>
      <c r="G1456" s="153"/>
      <c r="H1456" s="153"/>
      <c r="I1456" s="153"/>
      <c r="J1456" s="153"/>
      <c r="K1456" s="153"/>
      <c r="L1456" s="153"/>
      <c r="M1456" s="153"/>
      <c r="R1456" s="157"/>
      <c r="S1456" s="157"/>
    </row>
    <row r="1457" spans="1:19">
      <c r="B1457" s="578" t="s">
        <v>409</v>
      </c>
      <c r="C1457" s="578"/>
      <c r="D1457" s="578"/>
      <c r="E1457" s="578"/>
      <c r="F1457" s="578"/>
      <c r="G1457" s="578"/>
      <c r="H1457" s="578"/>
      <c r="I1457" s="578"/>
      <c r="J1457" s="578"/>
      <c r="K1457" s="578"/>
      <c r="L1457" s="578"/>
      <c r="M1457" s="578"/>
      <c r="R1457" s="157"/>
      <c r="S1457" s="157"/>
    </row>
    <row r="1458" spans="1:19" ht="15">
      <c r="B1458" s="125" t="s">
        <v>207</v>
      </c>
      <c r="C1458" s="153"/>
      <c r="D1458" s="153"/>
      <c r="E1458" s="153"/>
      <c r="F1458" s="153"/>
      <c r="G1458" s="153"/>
      <c r="H1458" s="153"/>
      <c r="I1458" s="153"/>
      <c r="J1458" s="153"/>
      <c r="K1458" s="153"/>
      <c r="L1458" s="153"/>
      <c r="M1458" s="153"/>
      <c r="R1458" s="157"/>
      <c r="S1458" s="157"/>
    </row>
    <row r="1459" spans="1:19" ht="15">
      <c r="B1459" s="125" t="s">
        <v>208</v>
      </c>
      <c r="C1459" s="153"/>
      <c r="D1459" s="153"/>
      <c r="E1459" s="153"/>
      <c r="F1459" s="153"/>
      <c r="G1459" s="153"/>
      <c r="H1459" s="153"/>
      <c r="I1459" s="153"/>
      <c r="J1459" s="153"/>
      <c r="K1459" s="153"/>
      <c r="L1459" s="153"/>
      <c r="M1459" s="153"/>
      <c r="R1459" s="157"/>
      <c r="S1459" s="157"/>
    </row>
    <row r="1460" spans="1:19">
      <c r="C1460" s="153"/>
      <c r="D1460" s="153"/>
      <c r="E1460" s="153"/>
      <c r="F1460" s="153"/>
      <c r="G1460" s="153"/>
      <c r="H1460" s="153"/>
      <c r="I1460" s="153"/>
      <c r="J1460" s="153"/>
      <c r="K1460" s="153"/>
      <c r="L1460" s="153"/>
      <c r="M1460" s="153"/>
      <c r="R1460" s="157"/>
      <c r="S1460" s="157"/>
    </row>
    <row r="1461" spans="1:19" ht="15">
      <c r="B1461" s="174" t="s">
        <v>90</v>
      </c>
      <c r="D1461" s="179" t="e">
        <f>FIXED(G799,1,TRUE)&amp;"/"&amp;FIXED(D1447,1,TRUE)&amp;" ="</f>
        <v>#DIV/0!</v>
      </c>
      <c r="E1461" s="186" t="e">
        <f>G799/D1447</f>
        <v>#DIV/0!</v>
      </c>
      <c r="F1461" s="153"/>
      <c r="G1461" s="153"/>
      <c r="H1461" s="153"/>
      <c r="I1461" s="153"/>
      <c r="J1461" s="153"/>
      <c r="K1461" s="153"/>
      <c r="L1461" s="153"/>
      <c r="M1461" s="153"/>
      <c r="R1461" s="157"/>
      <c r="S1461" s="157"/>
    </row>
    <row r="1462" spans="1:19">
      <c r="B1462" s="125" t="s">
        <v>91</v>
      </c>
      <c r="C1462" s="153"/>
      <c r="D1462" s="153"/>
      <c r="F1462" s="222" t="e">
        <f>IF(E1461&lt;0.2,FIXED(G799,1,TRUE)&amp;"/(2*"&amp;FIXED(D1447,1,TRUE)&amp;") + "&amp;ScourMomStr&amp;"/"&amp;FIXED(D1454,2,TRUE)&amp;" =",FIXED(G799,1,TRUE)&amp;"/"&amp;FIXED(D1447,1,TRUE)&amp;" + (8.0/9.0)("&amp;ScourMomStr&amp;"/"&amp;FIXED(D1454,2,TRUE)&amp;") =")</f>
        <v>#DIV/0!</v>
      </c>
      <c r="G1462" s="162"/>
      <c r="H1462" s="153"/>
      <c r="I1462" s="167" t="e">
        <f>IF(E1461&lt;0.2,G799/(2*D1447)+ScourMomStr/D1454,G799/D1447+(8/9)*(ScourMomStr/D1454))</f>
        <v>#DIV/0!</v>
      </c>
      <c r="J1462" s="187" t="e">
        <f>IF(I1462&gt;1.0049,"&gt; 1.0 NG","&lt; 1.00 OK")</f>
        <v>#DIV/0!</v>
      </c>
      <c r="K1462" s="153"/>
      <c r="L1462" s="153"/>
      <c r="M1462" s="153"/>
      <c r="R1462" s="157"/>
      <c r="S1462" s="157"/>
    </row>
    <row r="1463" spans="1:19">
      <c r="C1463" s="468"/>
      <c r="D1463" s="468"/>
      <c r="F1463" s="471"/>
      <c r="G1463" s="469"/>
      <c r="H1463" s="468"/>
      <c r="I1463" s="167"/>
      <c r="J1463" s="470"/>
      <c r="K1463" s="468"/>
      <c r="L1463" s="468"/>
      <c r="M1463" s="468"/>
      <c r="R1463" s="157"/>
      <c r="S1463" s="157"/>
    </row>
    <row r="1464" spans="1:19">
      <c r="B1464" s="153"/>
      <c r="C1464" s="330" t="e">
        <f>IF(I1462&gt;1.0049,"Error - "&amp;FIXED(I1462,2,TRUE)&amp;" &gt; 1.00  - Increase the number of piles or change the pile section - push ctrl-a","")</f>
        <v>#DIV/0!</v>
      </c>
      <c r="D1464" s="163"/>
      <c r="E1464" s="153"/>
      <c r="F1464" s="153"/>
      <c r="G1464" s="153"/>
      <c r="H1464" s="153"/>
      <c r="I1464" s="153"/>
      <c r="J1464" s="153"/>
      <c r="K1464" s="153"/>
      <c r="L1464" s="153"/>
      <c r="M1464" s="153"/>
      <c r="R1464" s="157" t="e">
        <f>IF(ScourReqd="N",0,IF(piletype="P",0,IF(LEFT(C1464,5)="Error",1,0)))</f>
        <v>#DIV/0!</v>
      </c>
      <c r="S1464" s="157" t="e">
        <f>IF(ScourReqd="N",0,IF(piletype="P",0,IF(LEFT(C1464,5)="Warni",1,0)))</f>
        <v>#DIV/0!</v>
      </c>
    </row>
    <row r="1465" spans="1:19">
      <c r="E1465" s="216"/>
      <c r="R1465" s="157"/>
      <c r="S1465" s="157"/>
    </row>
    <row r="1466" spans="1:19" s="284" customFormat="1" ht="13.15">
      <c r="A1466" s="253" t="s">
        <v>882</v>
      </c>
      <c r="E1466" s="352"/>
      <c r="G1466" s="353"/>
    </row>
    <row r="1467" spans="1:19" s="284" customFormat="1">
      <c r="E1467" s="352"/>
      <c r="G1467" s="353"/>
    </row>
    <row r="1468" spans="1:19" s="284" customFormat="1">
      <c r="A1468" s="125"/>
      <c r="B1468" s="260" t="s">
        <v>587</v>
      </c>
      <c r="C1468" s="225"/>
      <c r="D1468" s="125"/>
      <c r="E1468" s="125"/>
      <c r="F1468" s="125"/>
      <c r="G1468" s="167"/>
      <c r="H1468" s="125"/>
      <c r="I1468" s="176"/>
      <c r="J1468" s="125"/>
      <c r="K1468" s="168"/>
      <c r="L1468" s="125"/>
      <c r="M1468" s="125"/>
    </row>
    <row r="1469" spans="1:19" s="284" customFormat="1">
      <c r="B1469" s="139" t="s">
        <v>586</v>
      </c>
      <c r="C1469" s="318"/>
      <c r="D1469" s="319"/>
      <c r="E1469" s="319"/>
      <c r="F1469" s="319"/>
      <c r="G1469" s="320"/>
      <c r="H1469" s="319"/>
      <c r="I1469" s="321"/>
      <c r="J1469" s="319"/>
      <c r="K1469" s="322"/>
      <c r="L1469" s="286"/>
      <c r="M1469" s="286"/>
    </row>
    <row r="1470" spans="1:19" s="284" customFormat="1">
      <c r="A1470" s="286"/>
      <c r="B1470" s="286"/>
      <c r="C1470" s="318"/>
      <c r="D1470" s="319"/>
      <c r="E1470" s="319"/>
      <c r="F1470" s="319"/>
      <c r="G1470" s="320"/>
      <c r="H1470" s="319"/>
      <c r="I1470" s="321"/>
      <c r="J1470" s="319"/>
      <c r="K1470" s="322"/>
      <c r="L1470" s="286"/>
      <c r="M1470" s="286"/>
    </row>
    <row r="1471" spans="1:19" s="284" customFormat="1">
      <c r="A1471" s="125"/>
      <c r="B1471" s="153"/>
      <c r="C1471" s="281" t="s">
        <v>588</v>
      </c>
      <c r="D1471" s="153"/>
      <c r="E1471" s="153"/>
      <c r="F1471" s="153"/>
      <c r="G1471" s="153"/>
      <c r="H1471" s="153"/>
      <c r="I1471" s="153"/>
      <c r="J1471" s="153"/>
      <c r="K1471" s="153"/>
      <c r="L1471" s="153"/>
      <c r="M1471" s="153"/>
    </row>
    <row r="1472" spans="1:19" s="284" customFormat="1">
      <c r="A1472" s="125"/>
      <c r="B1472" s="153"/>
      <c r="C1472" s="577" t="s">
        <v>868</v>
      </c>
      <c r="D1472" s="577"/>
      <c r="E1472" s="577"/>
      <c r="F1472" s="577"/>
      <c r="G1472" s="577"/>
      <c r="H1472" s="577"/>
      <c r="I1472" s="577"/>
      <c r="J1472" s="577"/>
      <c r="K1472" s="577"/>
      <c r="L1472" s="577"/>
      <c r="M1472" s="577"/>
    </row>
    <row r="1473" spans="1:13" s="284" customFormat="1">
      <c r="A1473" s="125"/>
      <c r="B1473" s="153"/>
      <c r="C1473" s="577"/>
      <c r="D1473" s="577"/>
      <c r="E1473" s="577"/>
      <c r="F1473" s="577"/>
      <c r="G1473" s="577"/>
      <c r="H1473" s="577"/>
      <c r="I1473" s="577"/>
      <c r="J1473" s="577"/>
      <c r="K1473" s="577"/>
      <c r="L1473" s="577"/>
      <c r="M1473" s="577"/>
    </row>
    <row r="1474" spans="1:13" s="284" customFormat="1">
      <c r="B1474" s="354"/>
      <c r="C1474" s="355"/>
      <c r="D1474" s="354"/>
      <c r="E1474" s="354"/>
      <c r="F1474" s="354"/>
      <c r="G1474" s="354"/>
      <c r="H1474" s="354"/>
      <c r="I1474" s="354"/>
      <c r="J1474" s="354"/>
      <c r="K1474" s="354"/>
      <c r="L1474" s="354"/>
      <c r="M1474" s="354"/>
    </row>
    <row r="1475" spans="1:13" s="284" customFormat="1" ht="15">
      <c r="A1475" s="125"/>
      <c r="B1475" s="153"/>
      <c r="C1475" s="174" t="s">
        <v>150</v>
      </c>
      <c r="D1475" s="153"/>
      <c r="E1475" s="125"/>
      <c r="J1475" s="153"/>
      <c r="K1475" s="153"/>
      <c r="L1475" s="153"/>
      <c r="M1475" s="153"/>
    </row>
    <row r="1476" spans="1:13" s="284" customFormat="1">
      <c r="A1476" s="125"/>
      <c r="B1476" s="153"/>
      <c r="C1476" s="133" t="s">
        <v>149</v>
      </c>
      <c r="D1476" s="356">
        <f>ScourFixityServ</f>
        <v>0</v>
      </c>
      <c r="E1476" s="125" t="str">
        <f>"in = "&amp;FIXED(D1476/12,2)&amp;" ft"</f>
        <v>in = 0.00 ft</v>
      </c>
      <c r="F1476" s="165"/>
      <c r="G1476" s="131"/>
      <c r="H1476" s="153"/>
      <c r="I1476" s="153"/>
      <c r="J1476" s="153"/>
      <c r="K1476" s="153"/>
      <c r="L1476" s="153"/>
      <c r="M1476" s="153"/>
    </row>
    <row r="1477" spans="1:13" s="284" customFormat="1">
      <c r="A1477" s="125"/>
      <c r="B1477" s="153"/>
      <c r="C1477" s="133"/>
      <c r="D1477" s="177"/>
      <c r="E1477" s="125"/>
      <c r="F1477" s="165"/>
      <c r="G1477" s="131"/>
      <c r="H1477" s="153"/>
      <c r="I1477" s="153"/>
      <c r="J1477" s="153"/>
      <c r="K1477" s="153"/>
      <c r="L1477" s="153"/>
      <c r="M1477" s="153"/>
    </row>
    <row r="1478" spans="1:13" s="284" customFormat="1" ht="15.4">
      <c r="A1478" s="125"/>
      <c r="B1478" s="153"/>
      <c r="C1478" s="284" t="s">
        <v>976</v>
      </c>
      <c r="D1478" s="125"/>
      <c r="E1478" s="125"/>
      <c r="F1478" s="125"/>
      <c r="G1478" s="153"/>
      <c r="H1478" s="153"/>
      <c r="I1478" s="153"/>
      <c r="J1478" s="153"/>
      <c r="K1478" s="153"/>
      <c r="L1478" s="153"/>
      <c r="M1478" s="153"/>
    </row>
    <row r="1479" spans="1:13" s="284" customFormat="1" ht="15">
      <c r="A1479" s="125"/>
      <c r="B1479" s="153"/>
      <c r="C1479" s="133" t="s">
        <v>412</v>
      </c>
      <c r="D1479" s="228" t="e">
        <f>(PI())^2*29000*pilearea/(0.65*D1476/pilegyration)^2</f>
        <v>#DIV/0!</v>
      </c>
      <c r="E1479" s="125" t="s">
        <v>495</v>
      </c>
      <c r="F1479" s="125"/>
      <c r="G1479" s="153"/>
      <c r="H1479" s="153"/>
      <c r="I1479" s="153"/>
      <c r="J1479" s="153"/>
      <c r="K1479" s="153"/>
      <c r="L1479" s="153"/>
      <c r="M1479" s="153"/>
    </row>
    <row r="1480" spans="1:13" s="284" customFormat="1">
      <c r="A1480" s="125"/>
      <c r="B1480" s="260"/>
      <c r="C1480" s="153"/>
      <c r="D1480" s="153"/>
      <c r="E1480" s="153"/>
      <c r="F1480" s="153"/>
      <c r="G1480" s="153"/>
      <c r="H1480" s="153"/>
      <c r="I1480" s="153"/>
      <c r="J1480" s="153"/>
      <c r="K1480" s="153"/>
      <c r="L1480" s="153"/>
      <c r="M1480" s="153"/>
    </row>
    <row r="1481" spans="1:13" s="284" customFormat="1">
      <c r="A1481" s="125"/>
      <c r="B1481" s="153"/>
      <c r="C1481" s="260" t="s">
        <v>497</v>
      </c>
      <c r="D1481" s="153"/>
      <c r="E1481" s="153"/>
      <c r="F1481" s="153"/>
      <c r="G1481" s="153"/>
      <c r="H1481" s="153"/>
      <c r="I1481" s="153"/>
      <c r="J1481" s="153"/>
      <c r="K1481" s="153"/>
      <c r="L1481" s="153"/>
      <c r="M1481" s="153"/>
    </row>
    <row r="1482" spans="1:13" s="284" customFormat="1" ht="15">
      <c r="A1482" s="125"/>
      <c r="B1482" s="153"/>
      <c r="C1482" s="125" t="s">
        <v>493</v>
      </c>
      <c r="D1482" s="125"/>
      <c r="E1482" s="125"/>
      <c r="F1482" s="153"/>
      <c r="G1482" s="153"/>
      <c r="H1482" s="153"/>
      <c r="I1482" s="153"/>
      <c r="J1482" s="153"/>
      <c r="K1482" s="153"/>
      <c r="L1482" s="153"/>
      <c r="M1482" s="153"/>
    </row>
    <row r="1483" spans="1:13" s="284" customFormat="1" ht="15">
      <c r="A1483" s="125"/>
      <c r="B1483" s="153"/>
      <c r="C1483" s="133" t="s">
        <v>494</v>
      </c>
      <c r="D1483" s="228" t="e">
        <f>D1051</f>
        <v>#DIV/0!</v>
      </c>
      <c r="E1483" s="125" t="s">
        <v>151</v>
      </c>
      <c r="F1483" s="153"/>
      <c r="G1483" s="153"/>
      <c r="H1483" s="153"/>
      <c r="I1483" s="153"/>
      <c r="J1483" s="153"/>
      <c r="K1483" s="153"/>
      <c r="L1483" s="153"/>
      <c r="M1483" s="153"/>
    </row>
    <row r="1484" spans="1:13" s="284" customFormat="1">
      <c r="A1484" s="125"/>
      <c r="B1484" s="153"/>
      <c r="C1484" s="125"/>
      <c r="D1484" s="125"/>
      <c r="E1484" s="125"/>
      <c r="F1484" s="125"/>
      <c r="G1484" s="153"/>
      <c r="H1484" s="153"/>
      <c r="I1484" s="153"/>
      <c r="J1484" s="153"/>
      <c r="K1484" s="153"/>
      <c r="L1484" s="153"/>
      <c r="M1484" s="153"/>
    </row>
    <row r="1485" spans="1:13" s="284" customFormat="1" ht="15.4">
      <c r="A1485" s="125"/>
      <c r="B1485" s="153"/>
      <c r="C1485" s="125" t="s">
        <v>413</v>
      </c>
      <c r="D1485" s="125"/>
      <c r="E1485" s="125"/>
      <c r="F1485" s="125"/>
      <c r="G1485" s="153"/>
      <c r="H1485" s="153"/>
      <c r="I1485" s="153"/>
      <c r="J1485" s="153"/>
      <c r="K1485" s="153"/>
      <c r="L1485" s="153"/>
      <c r="M1485" s="153"/>
    </row>
    <row r="1486" spans="1:13" s="284" customFormat="1" ht="15">
      <c r="A1486" s="125"/>
      <c r="B1486" s="153"/>
      <c r="C1486" s="125" t="s">
        <v>414</v>
      </c>
      <c r="D1486" s="153"/>
      <c r="E1486" s="153"/>
      <c r="F1486" s="153"/>
      <c r="G1486" s="153"/>
      <c r="H1486" s="153"/>
      <c r="I1486" s="153"/>
      <c r="J1486" s="153"/>
      <c r="K1486" s="153"/>
      <c r="L1486" s="153"/>
      <c r="M1486" s="153"/>
    </row>
    <row r="1487" spans="1:13" s="284" customFormat="1" ht="15">
      <c r="A1487" s="125"/>
      <c r="B1487" s="153"/>
      <c r="C1487" s="125"/>
      <c r="D1487" s="133" t="s">
        <v>415</v>
      </c>
      <c r="E1487" s="323" t="str">
        <f>IF(pilearea="","",D1479/D1483)</f>
        <v/>
      </c>
      <c r="F1487" s="139" t="str">
        <f>IF(E1487&lt;0.44, "Use AASHTO Equation 6.9.4.1.1-2.","Use AASHTO Equation 6.9.4.1.1-1.")</f>
        <v>Use AASHTO Equation 6.9.4.1.1-1.</v>
      </c>
      <c r="G1487" s="153"/>
      <c r="H1487" s="153"/>
      <c r="I1487" s="153"/>
      <c r="J1487" s="153"/>
      <c r="K1487" s="153"/>
      <c r="L1487" s="153"/>
      <c r="M1487" s="153"/>
    </row>
    <row r="1488" spans="1:13" s="284" customFormat="1">
      <c r="A1488" s="125"/>
      <c r="B1488" s="153"/>
      <c r="C1488" s="139"/>
      <c r="D1488" s="153"/>
      <c r="E1488" s="153"/>
      <c r="F1488" s="153"/>
      <c r="G1488" s="153"/>
      <c r="H1488" s="153"/>
      <c r="I1488" s="153"/>
      <c r="J1488" s="153"/>
      <c r="K1488" s="153"/>
      <c r="L1488" s="153"/>
      <c r="M1488" s="153"/>
    </row>
    <row r="1489" spans="1:13" s="284" customFormat="1" ht="15.4">
      <c r="A1489" s="131"/>
      <c r="B1489" s="153"/>
      <c r="C1489" s="284" t="s">
        <v>929</v>
      </c>
      <c r="D1489" s="125"/>
      <c r="E1489" s="125"/>
      <c r="F1489" s="153"/>
      <c r="G1489" s="153"/>
      <c r="H1489" s="153"/>
      <c r="I1489" s="153"/>
      <c r="J1489" s="153"/>
      <c r="K1489" s="153"/>
      <c r="L1489" s="153"/>
      <c r="M1489" s="153"/>
    </row>
    <row r="1490" spans="1:13" s="284" customFormat="1" ht="15">
      <c r="A1490" s="131"/>
      <c r="B1490" s="153"/>
      <c r="C1490" s="284" t="s">
        <v>930</v>
      </c>
      <c r="D1490" s="153"/>
      <c r="E1490" s="153"/>
      <c r="F1490" s="153"/>
      <c r="G1490" s="153"/>
      <c r="H1490" s="153"/>
      <c r="I1490" s="153"/>
      <c r="J1490" s="153"/>
      <c r="K1490" s="153"/>
      <c r="L1490" s="153"/>
      <c r="M1490" s="153"/>
    </row>
    <row r="1491" spans="1:13" s="284" customFormat="1" ht="15">
      <c r="A1491" s="125"/>
      <c r="B1491" s="153"/>
      <c r="C1491" s="133" t="s">
        <v>496</v>
      </c>
      <c r="D1491" s="228" t="e">
        <f>IF(D1479/D1483&lt;0.44,MIN(0.877*D1479,0.66*pileyield*pilearea),MIN((0.658^(D1483/D1479))*D1483,0.66*pileyield*pilearea))</f>
        <v>#DIV/0!</v>
      </c>
      <c r="E1491" s="125" t="e">
        <f>"kips"&amp;IF(D1491=0.66*pileyield*pilearea,", Limited by DM-4 6.15.3","")</f>
        <v>#DIV/0!</v>
      </c>
      <c r="F1491" s="153"/>
      <c r="G1491" s="153"/>
      <c r="H1491" s="153"/>
      <c r="I1491" s="153"/>
      <c r="J1491" s="153"/>
      <c r="K1491" s="153"/>
      <c r="L1491" s="153"/>
      <c r="M1491" s="153"/>
    </row>
    <row r="1492" spans="1:13" s="284" customFormat="1">
      <c r="A1492" s="125"/>
      <c r="B1492" s="153"/>
      <c r="C1492" s="153"/>
      <c r="D1492" s="153"/>
      <c r="E1492" s="153"/>
      <c r="F1492" s="153"/>
      <c r="G1492" s="153"/>
      <c r="H1492" s="153"/>
      <c r="I1492" s="153"/>
      <c r="J1492" s="153"/>
      <c r="K1492" s="153"/>
      <c r="L1492" s="153"/>
      <c r="M1492" s="153"/>
    </row>
    <row r="1493" spans="1:13" s="284" customFormat="1">
      <c r="A1493" s="125"/>
      <c r="B1493" s="153"/>
      <c r="C1493" s="260" t="s">
        <v>499</v>
      </c>
      <c r="D1493" s="153"/>
      <c r="E1493" s="153"/>
      <c r="F1493" s="153"/>
      <c r="G1493" s="153"/>
      <c r="H1493" s="153"/>
      <c r="I1493" s="153"/>
      <c r="J1493" s="153"/>
      <c r="K1493" s="153"/>
      <c r="L1493" s="153"/>
      <c r="M1493" s="153"/>
    </row>
    <row r="1494" spans="1:13" s="284" customFormat="1">
      <c r="B1494" s="354"/>
      <c r="C1494" s="284" t="s">
        <v>152</v>
      </c>
      <c r="D1494" s="354"/>
      <c r="E1494" s="354"/>
      <c r="F1494" s="354"/>
      <c r="G1494" s="354"/>
      <c r="H1494" s="354"/>
      <c r="I1494" s="354"/>
      <c r="J1494" s="354"/>
      <c r="K1494" s="354"/>
      <c r="L1494" s="354"/>
      <c r="M1494" s="354"/>
    </row>
    <row r="1495" spans="1:13" s="284" customFormat="1" ht="15">
      <c r="A1495" s="125"/>
      <c r="B1495" s="153"/>
      <c r="C1495" s="125" t="s">
        <v>667</v>
      </c>
      <c r="D1495" s="125"/>
      <c r="E1495" s="125"/>
      <c r="F1495" s="153"/>
      <c r="G1495" s="153"/>
      <c r="H1495" s="125"/>
      <c r="I1495" s="139" t="e">
        <f>"(1.0)("&amp;FIXED(D1491,2,TRUE)&amp;") "</f>
        <v>#DIV/0!</v>
      </c>
      <c r="J1495" s="153"/>
      <c r="K1495" s="153"/>
      <c r="L1495" s="153"/>
      <c r="M1495" s="153"/>
    </row>
    <row r="1496" spans="1:13" s="284" customFormat="1" ht="15">
      <c r="A1496" s="125"/>
      <c r="B1496" s="153"/>
      <c r="C1496" s="133" t="s">
        <v>501</v>
      </c>
      <c r="D1496" s="228" t="e">
        <f>1*D1491</f>
        <v>#DIV/0!</v>
      </c>
      <c r="E1496" s="125" t="s">
        <v>338</v>
      </c>
      <c r="F1496" s="153"/>
      <c r="G1496" s="153"/>
      <c r="H1496" s="153"/>
      <c r="I1496" s="153"/>
      <c r="J1496" s="153"/>
      <c r="K1496" s="153"/>
      <c r="L1496" s="153"/>
      <c r="M1496" s="153"/>
    </row>
    <row r="1497" spans="1:13" s="284" customFormat="1">
      <c r="A1497" s="125"/>
      <c r="B1497" s="153"/>
      <c r="C1497" s="153"/>
      <c r="D1497" s="153"/>
      <c r="E1497" s="153"/>
      <c r="F1497" s="153"/>
      <c r="G1497" s="153"/>
      <c r="H1497" s="153"/>
      <c r="I1497" s="153"/>
      <c r="J1497" s="153"/>
      <c r="K1497" s="153"/>
      <c r="L1497" s="153"/>
      <c r="M1497" s="153"/>
    </row>
    <row r="1498" spans="1:13" s="284" customFormat="1">
      <c r="A1498" s="125"/>
      <c r="B1498" s="260" t="s">
        <v>416</v>
      </c>
      <c r="C1498" s="153"/>
      <c r="D1498" s="153"/>
      <c r="E1498" s="153"/>
      <c r="F1498" s="153"/>
      <c r="G1498" s="153"/>
      <c r="H1498" s="153"/>
      <c r="I1498" s="153"/>
      <c r="J1498" s="153"/>
      <c r="K1498" s="153"/>
      <c r="L1498" s="153"/>
      <c r="M1498" s="153"/>
    </row>
    <row r="1499" spans="1:13" s="284" customFormat="1">
      <c r="A1499" s="125"/>
      <c r="B1499" s="153"/>
      <c r="C1499" s="153"/>
      <c r="D1499" s="153"/>
      <c r="E1499" s="153"/>
      <c r="F1499" s="153"/>
      <c r="G1499" s="153"/>
      <c r="H1499" s="153"/>
      <c r="I1499" s="153"/>
      <c r="J1499" s="153"/>
      <c r="K1499" s="153"/>
      <c r="L1499" s="153"/>
      <c r="M1499" s="153"/>
    </row>
    <row r="1500" spans="1:13" s="284" customFormat="1">
      <c r="A1500" s="125"/>
      <c r="B1500" s="153"/>
      <c r="C1500" s="260" t="s">
        <v>209</v>
      </c>
      <c r="D1500" s="153"/>
      <c r="E1500" s="153"/>
      <c r="F1500" s="153"/>
      <c r="G1500" s="153"/>
      <c r="H1500" s="153"/>
      <c r="I1500" s="153"/>
      <c r="J1500" s="153"/>
      <c r="K1500" s="153"/>
      <c r="L1500" s="153"/>
      <c r="M1500" s="153"/>
    </row>
    <row r="1501" spans="1:13" s="284" customFormat="1">
      <c r="B1501" s="354"/>
      <c r="C1501" s="284" t="s">
        <v>153</v>
      </c>
      <c r="D1501" s="354"/>
      <c r="E1501" s="354"/>
      <c r="F1501" s="354"/>
      <c r="G1501" s="354"/>
      <c r="H1501" s="354"/>
      <c r="I1501" s="354"/>
      <c r="J1501" s="354"/>
      <c r="K1501" s="354"/>
      <c r="L1501" s="354"/>
      <c r="M1501" s="354"/>
    </row>
    <row r="1502" spans="1:13" s="284" customFormat="1">
      <c r="A1502" s="125"/>
      <c r="B1502" s="153"/>
      <c r="C1502" s="139" t="e">
        <f>C1078</f>
        <v>#DIV/0!</v>
      </c>
      <c r="D1502" s="153"/>
      <c r="E1502" s="153"/>
      <c r="F1502" s="153"/>
      <c r="G1502" s="153"/>
      <c r="H1502" s="153"/>
      <c r="I1502" s="153"/>
      <c r="J1502" s="153"/>
      <c r="K1502" s="153"/>
      <c r="L1502" s="153"/>
      <c r="M1502" s="153"/>
    </row>
    <row r="1503" spans="1:13" s="284" customFormat="1" ht="15">
      <c r="A1503" s="125"/>
      <c r="B1503" s="153"/>
      <c r="C1503" s="264" t="s">
        <v>407</v>
      </c>
      <c r="D1503" s="328" t="e">
        <f>D1084</f>
        <v>#DIV/0!</v>
      </c>
      <c r="E1503" s="139" t="e">
        <f>"k-in = "&amp;FIXED(D1503/12,2)&amp;" k-ft"</f>
        <v>#DIV/0!</v>
      </c>
      <c r="F1503" s="327"/>
      <c r="G1503" s="153"/>
      <c r="H1503" s="153"/>
      <c r="I1503" s="153"/>
      <c r="J1503" s="153"/>
      <c r="K1503" s="153"/>
      <c r="L1503" s="153"/>
      <c r="M1503" s="153"/>
    </row>
    <row r="1504" spans="1:13" s="284" customFormat="1">
      <c r="A1504" s="125"/>
      <c r="B1504" s="153"/>
      <c r="C1504" s="153"/>
      <c r="D1504" s="329"/>
      <c r="E1504" s="153"/>
      <c r="F1504" s="153"/>
      <c r="G1504" s="153"/>
      <c r="H1504" s="153"/>
      <c r="I1504" s="153"/>
      <c r="J1504" s="153"/>
      <c r="K1504" s="153"/>
      <c r="L1504" s="153"/>
      <c r="M1504" s="153"/>
    </row>
    <row r="1505" spans="1:19" s="284" customFormat="1">
      <c r="A1505" s="125"/>
      <c r="B1505" s="153"/>
      <c r="C1505" s="260" t="s">
        <v>210</v>
      </c>
      <c r="D1505" s="153"/>
      <c r="E1505" s="153"/>
      <c r="F1505" s="153"/>
      <c r="G1505" s="153"/>
      <c r="H1505" s="153"/>
      <c r="I1505" s="153"/>
      <c r="J1505" s="153"/>
      <c r="K1505" s="153"/>
      <c r="L1505" s="153"/>
      <c r="M1505" s="153"/>
    </row>
    <row r="1506" spans="1:19" s="284" customFormat="1">
      <c r="A1506" s="125"/>
      <c r="B1506" s="153"/>
      <c r="C1506" s="284" t="s">
        <v>152</v>
      </c>
      <c r="D1506" s="153"/>
      <c r="E1506" s="153"/>
      <c r="F1506" s="153"/>
      <c r="G1506" s="153"/>
      <c r="H1506" s="153"/>
      <c r="I1506" s="153"/>
      <c r="J1506" s="153"/>
      <c r="K1506" s="153"/>
      <c r="L1506" s="153"/>
      <c r="M1506" s="153"/>
    </row>
    <row r="1507" spans="1:19" s="284" customFormat="1" ht="15">
      <c r="A1507" s="125"/>
      <c r="B1507" s="153"/>
      <c r="C1507" s="125" t="s">
        <v>668</v>
      </c>
      <c r="D1507" s="125"/>
      <c r="E1507" s="125"/>
      <c r="F1507" s="153"/>
      <c r="G1507" s="125"/>
      <c r="H1507" s="125"/>
      <c r="I1507" s="139" t="e">
        <f>"(1.00)("&amp;FIXED(D1503,1,TRUE)&amp;") "</f>
        <v>#DIV/0!</v>
      </c>
      <c r="J1507" s="153"/>
      <c r="K1507" s="153"/>
      <c r="L1507" s="153"/>
      <c r="M1507" s="153"/>
    </row>
    <row r="1508" spans="1:19" s="284" customFormat="1" ht="15">
      <c r="A1508" s="125"/>
      <c r="B1508" s="153"/>
      <c r="C1508" s="133" t="s">
        <v>211</v>
      </c>
      <c r="D1508" s="336" t="e">
        <f>1*D1503</f>
        <v>#DIV/0!</v>
      </c>
      <c r="E1508" s="125" t="s">
        <v>255</v>
      </c>
      <c r="F1508" s="153"/>
      <c r="G1508" s="153"/>
      <c r="H1508" s="153"/>
      <c r="I1508" s="153"/>
      <c r="J1508" s="153"/>
      <c r="K1508" s="153"/>
      <c r="L1508" s="153"/>
      <c r="M1508" s="153"/>
    </row>
    <row r="1509" spans="1:19" s="284" customFormat="1" ht="15">
      <c r="A1509" s="125"/>
      <c r="B1509" s="153"/>
      <c r="C1509" s="133" t="s">
        <v>211</v>
      </c>
      <c r="D1509" s="336" t="e">
        <f>D1508/12</f>
        <v>#DIV/0!</v>
      </c>
      <c r="E1509" s="125" t="s">
        <v>830</v>
      </c>
      <c r="F1509" s="153"/>
      <c r="G1509" s="153"/>
      <c r="H1509" s="153"/>
      <c r="I1509" s="153"/>
      <c r="J1509" s="153"/>
      <c r="K1509" s="153"/>
      <c r="L1509" s="153"/>
      <c r="M1509" s="153"/>
    </row>
    <row r="1510" spans="1:19" s="284" customFormat="1">
      <c r="A1510" s="125"/>
      <c r="B1510" s="153"/>
      <c r="C1510" s="153"/>
      <c r="D1510" s="153"/>
      <c r="E1510" s="153"/>
      <c r="F1510" s="153"/>
      <c r="G1510" s="153"/>
      <c r="H1510" s="153"/>
      <c r="I1510" s="153"/>
      <c r="J1510" s="153"/>
      <c r="K1510" s="153"/>
      <c r="L1510" s="153"/>
      <c r="M1510" s="153"/>
    </row>
    <row r="1511" spans="1:19" s="284" customFormat="1">
      <c r="A1511" s="125"/>
      <c r="B1511" s="260" t="s">
        <v>410</v>
      </c>
      <c r="C1511" s="153"/>
      <c r="D1511" s="153"/>
      <c r="E1511" s="153"/>
      <c r="F1511" s="153"/>
      <c r="G1511" s="153"/>
      <c r="H1511" s="153"/>
      <c r="I1511" s="153"/>
      <c r="J1511" s="153"/>
      <c r="K1511" s="153"/>
      <c r="L1511" s="153"/>
      <c r="M1511" s="153"/>
    </row>
    <row r="1512" spans="1:19" s="284" customFormat="1">
      <c r="A1512" s="125"/>
      <c r="B1512" s="578" t="s">
        <v>409</v>
      </c>
      <c r="C1512" s="578"/>
      <c r="D1512" s="578"/>
      <c r="E1512" s="578"/>
      <c r="F1512" s="578"/>
      <c r="G1512" s="578"/>
      <c r="H1512" s="578"/>
      <c r="I1512" s="578"/>
      <c r="J1512" s="578"/>
      <c r="K1512" s="578"/>
      <c r="L1512" s="578"/>
      <c r="M1512" s="578"/>
    </row>
    <row r="1513" spans="1:19" s="284" customFormat="1" ht="15">
      <c r="A1513" s="125"/>
      <c r="B1513" s="125" t="s">
        <v>207</v>
      </c>
      <c r="C1513" s="153"/>
      <c r="D1513" s="153"/>
      <c r="E1513" s="153"/>
      <c r="F1513" s="153"/>
      <c r="G1513" s="153"/>
      <c r="H1513" s="153"/>
      <c r="I1513" s="153"/>
      <c r="J1513" s="153"/>
      <c r="K1513" s="153"/>
      <c r="L1513" s="153"/>
      <c r="M1513" s="153"/>
    </row>
    <row r="1514" spans="1:19" s="284" customFormat="1" ht="15">
      <c r="A1514" s="125"/>
      <c r="B1514" s="125" t="s">
        <v>208</v>
      </c>
      <c r="C1514" s="153"/>
      <c r="D1514" s="153"/>
      <c r="E1514" s="153"/>
      <c r="F1514" s="153"/>
      <c r="G1514" s="153"/>
      <c r="H1514" s="153"/>
      <c r="I1514" s="153"/>
      <c r="J1514" s="153"/>
      <c r="K1514" s="153"/>
      <c r="L1514" s="153"/>
      <c r="M1514" s="153"/>
    </row>
    <row r="1515" spans="1:19" s="284" customFormat="1">
      <c r="A1515" s="125"/>
      <c r="B1515" s="125"/>
      <c r="C1515" s="153"/>
      <c r="D1515" s="153"/>
      <c r="E1515" s="153"/>
      <c r="F1515" s="153"/>
      <c r="G1515" s="153"/>
      <c r="H1515" s="153"/>
      <c r="I1515" s="153"/>
      <c r="J1515" s="153"/>
      <c r="K1515" s="153"/>
      <c r="L1515" s="153"/>
      <c r="M1515" s="153"/>
    </row>
    <row r="1516" spans="1:19" s="284" customFormat="1" ht="15">
      <c r="A1516" s="125"/>
      <c r="B1516" s="174" t="s">
        <v>90</v>
      </c>
      <c r="C1516" s="125"/>
      <c r="D1516" s="179" t="e">
        <f>FIXED(H1354,1,TRUE)&amp;"/"&amp;FIXED(D1496,1,TRUE)&amp;" ="</f>
        <v>#DIV/0!</v>
      </c>
      <c r="E1516" s="186" t="e">
        <f>H1354/D1496</f>
        <v>#DIV/0!</v>
      </c>
      <c r="F1516" s="153"/>
      <c r="G1516" s="153"/>
      <c r="H1516" s="153"/>
      <c r="I1516" s="153"/>
      <c r="J1516" s="153"/>
      <c r="K1516" s="153"/>
      <c r="L1516" s="153"/>
      <c r="M1516" s="153"/>
    </row>
    <row r="1517" spans="1:19" s="284" customFormat="1">
      <c r="A1517" s="125"/>
      <c r="B1517" s="125" t="s">
        <v>91</v>
      </c>
      <c r="C1517" s="153"/>
      <c r="D1517" s="153"/>
      <c r="E1517" s="125"/>
      <c r="F1517" s="222" t="e">
        <f>IF(E1516&lt;0.2,FIXED(H1354,1,TRUE)&amp;"/(2*"&amp;FIXED(D1496,1,TRUE)&amp;") + "&amp;ScourMomServ&amp;"/"&amp;FIXED(D1509,2,TRUE)&amp;" =",FIXED(H1354,1,TRUE)&amp;"/"&amp;FIXED(D1496,1,TRUE)&amp;" + (8.0/9.0)("&amp;ScourMomServ&amp;"/"&amp;FIXED(D1509,2,TRUE)&amp;") =")</f>
        <v>#DIV/0!</v>
      </c>
      <c r="G1517" s="162"/>
      <c r="H1517" s="153"/>
      <c r="I1517" s="167" t="e">
        <f>IF(E1516&lt;0.2,H1354/(2*D1496)+ScourMomServ/D1509,H1354/D1496+(8/9)*(ScourMomServ/D1509))</f>
        <v>#DIV/0!</v>
      </c>
      <c r="J1517" s="187" t="e">
        <f>IF(I1517&gt;1.0049,"&gt; 1.0 NG","&lt; 1.00 OK")</f>
        <v>#DIV/0!</v>
      </c>
      <c r="K1517" s="153"/>
      <c r="L1517" s="153"/>
      <c r="M1517" s="153"/>
    </row>
    <row r="1518" spans="1:19" s="284" customFormat="1">
      <c r="A1518" s="125"/>
      <c r="B1518" s="125"/>
      <c r="C1518" s="418"/>
      <c r="D1518" s="418"/>
      <c r="E1518" s="125"/>
      <c r="F1518" s="412"/>
      <c r="G1518" s="414"/>
      <c r="H1518" s="418"/>
      <c r="I1518" s="167"/>
      <c r="J1518" s="417"/>
      <c r="K1518" s="418"/>
      <c r="L1518" s="418"/>
      <c r="M1518" s="418"/>
    </row>
    <row r="1519" spans="1:19" s="284" customFormat="1">
      <c r="A1519" s="125"/>
      <c r="B1519" s="153"/>
      <c r="C1519" s="330" t="e">
        <f>IF(I1517&gt;1.0049,"Error - "&amp;FIXED(I1517,2,TRUE)&amp;" &gt; 1.00  - Increase the number of piles or change the pile section - push ctrl-a","")</f>
        <v>#DIV/0!</v>
      </c>
      <c r="D1519" s="163"/>
      <c r="E1519" s="153"/>
      <c r="F1519" s="153"/>
      <c r="G1519" s="153"/>
      <c r="H1519" s="153"/>
      <c r="I1519" s="153"/>
      <c r="J1519" s="153"/>
      <c r="K1519" s="153"/>
      <c r="L1519" s="153"/>
      <c r="M1519" s="153"/>
      <c r="R1519" s="157" t="e">
        <f>IF(ScourReqd="N",0,IF(piletype="P",0,IF(LEFT(C1519,5)="Error",1,0)))</f>
        <v>#DIV/0!</v>
      </c>
      <c r="S1519" s="157" t="e">
        <f>IF(ScourReqd="N",0,IF(piletype="P",0,IF(LEFT(C1519,5)="Warni",1,0)))</f>
        <v>#DIV/0!</v>
      </c>
    </row>
    <row r="1520" spans="1:19" s="284" customFormat="1">
      <c r="A1520" s="125"/>
      <c r="B1520" s="125"/>
      <c r="C1520" s="418"/>
      <c r="D1520" s="418"/>
      <c r="E1520" s="125"/>
      <c r="F1520" s="412"/>
      <c r="G1520" s="414"/>
      <c r="H1520" s="418"/>
      <c r="I1520" s="167"/>
      <c r="J1520" s="417"/>
      <c r="K1520" s="418"/>
      <c r="L1520" s="418"/>
      <c r="M1520" s="418"/>
    </row>
    <row r="1521" spans="1:13" s="284" customFormat="1" ht="13.15">
      <c r="A1521" s="253" t="s">
        <v>879</v>
      </c>
      <c r="E1521" s="416"/>
      <c r="G1521" s="353"/>
    </row>
    <row r="1522" spans="1:13" s="284" customFormat="1">
      <c r="E1522" s="416"/>
      <c r="G1522" s="353"/>
    </row>
    <row r="1523" spans="1:13" s="284" customFormat="1">
      <c r="A1523" s="125"/>
      <c r="B1523" s="260" t="s">
        <v>587</v>
      </c>
      <c r="C1523" s="225"/>
      <c r="D1523" s="125"/>
      <c r="E1523" s="125"/>
      <c r="F1523" s="125"/>
      <c r="G1523" s="167"/>
      <c r="H1523" s="125"/>
      <c r="I1523" s="176"/>
      <c r="J1523" s="125"/>
      <c r="K1523" s="168"/>
      <c r="L1523" s="125"/>
      <c r="M1523" s="125"/>
    </row>
    <row r="1524" spans="1:13" s="284" customFormat="1">
      <c r="B1524" s="139" t="s">
        <v>586</v>
      </c>
      <c r="C1524" s="318"/>
      <c r="D1524" s="319"/>
      <c r="E1524" s="319"/>
      <c r="F1524" s="319"/>
      <c r="G1524" s="320"/>
      <c r="H1524" s="319"/>
      <c r="I1524" s="321"/>
      <c r="J1524" s="319"/>
      <c r="K1524" s="322"/>
      <c r="L1524" s="286"/>
      <c r="M1524" s="286"/>
    </row>
    <row r="1525" spans="1:13" s="284" customFormat="1">
      <c r="A1525" s="286"/>
      <c r="B1525" s="286"/>
      <c r="C1525" s="318"/>
      <c r="D1525" s="319"/>
      <c r="E1525" s="319"/>
      <c r="F1525" s="319"/>
      <c r="G1525" s="320"/>
      <c r="H1525" s="319"/>
      <c r="I1525" s="321"/>
      <c r="J1525" s="319"/>
      <c r="K1525" s="322"/>
      <c r="L1525" s="286"/>
      <c r="M1525" s="286"/>
    </row>
    <row r="1526" spans="1:13" s="284" customFormat="1">
      <c r="A1526" s="125"/>
      <c r="B1526" s="418"/>
      <c r="C1526" s="281" t="s">
        <v>588</v>
      </c>
      <c r="D1526" s="418"/>
      <c r="E1526" s="418"/>
      <c r="F1526" s="418"/>
      <c r="G1526" s="418"/>
      <c r="H1526" s="418"/>
      <c r="I1526" s="418"/>
      <c r="J1526" s="418"/>
      <c r="K1526" s="418"/>
      <c r="L1526" s="418"/>
      <c r="M1526" s="418"/>
    </row>
    <row r="1527" spans="1:13" s="284" customFormat="1">
      <c r="A1527" s="125"/>
      <c r="B1527" s="418"/>
      <c r="C1527" s="577" t="s">
        <v>868</v>
      </c>
      <c r="D1527" s="577"/>
      <c r="E1527" s="577"/>
      <c r="F1527" s="577"/>
      <c r="G1527" s="577"/>
      <c r="H1527" s="577"/>
      <c r="I1527" s="577"/>
      <c r="J1527" s="577"/>
      <c r="K1527" s="577"/>
      <c r="L1527" s="577"/>
      <c r="M1527" s="577"/>
    </row>
    <row r="1528" spans="1:13" s="284" customFormat="1">
      <c r="A1528" s="125"/>
      <c r="B1528" s="418"/>
      <c r="C1528" s="577"/>
      <c r="D1528" s="577"/>
      <c r="E1528" s="577"/>
      <c r="F1528" s="577"/>
      <c r="G1528" s="577"/>
      <c r="H1528" s="577"/>
      <c r="I1528" s="577"/>
      <c r="J1528" s="577"/>
      <c r="K1528" s="577"/>
      <c r="L1528" s="577"/>
      <c r="M1528" s="577"/>
    </row>
    <row r="1529" spans="1:13" s="284" customFormat="1">
      <c r="B1529" s="354"/>
      <c r="C1529" s="355"/>
      <c r="D1529" s="354"/>
      <c r="E1529" s="354"/>
      <c r="F1529" s="354"/>
      <c r="G1529" s="354"/>
      <c r="H1529" s="354"/>
      <c r="I1529" s="354"/>
      <c r="J1529" s="354"/>
      <c r="K1529" s="354"/>
      <c r="L1529" s="354"/>
      <c r="M1529" s="354"/>
    </row>
    <row r="1530" spans="1:13" s="284" customFormat="1" ht="15">
      <c r="A1530" s="125"/>
      <c r="B1530" s="418"/>
      <c r="C1530" s="413" t="s">
        <v>150</v>
      </c>
      <c r="D1530" s="418"/>
      <c r="E1530" s="125"/>
      <c r="J1530" s="418"/>
      <c r="K1530" s="418"/>
      <c r="L1530" s="418"/>
      <c r="M1530" s="418"/>
    </row>
    <row r="1531" spans="1:13" s="284" customFormat="1">
      <c r="A1531" s="125"/>
      <c r="B1531" s="418"/>
      <c r="C1531" s="419" t="s">
        <v>149</v>
      </c>
      <c r="D1531" s="356">
        <f>ScourFixitySuper</f>
        <v>0</v>
      </c>
      <c r="E1531" s="125" t="str">
        <f>"in = "&amp;FIXED(D1531/12,2)&amp;" ft"</f>
        <v>in = 0.00 ft</v>
      </c>
      <c r="F1531" s="165"/>
      <c r="G1531" s="131"/>
      <c r="H1531" s="418"/>
      <c r="I1531" s="418"/>
      <c r="J1531" s="418"/>
      <c r="K1531" s="418"/>
      <c r="L1531" s="418"/>
      <c r="M1531" s="418"/>
    </row>
    <row r="1532" spans="1:13" s="284" customFormat="1">
      <c r="A1532" s="125"/>
      <c r="B1532" s="418"/>
      <c r="C1532" s="419"/>
      <c r="D1532" s="177"/>
      <c r="E1532" s="125"/>
      <c r="F1532" s="165"/>
      <c r="G1532" s="131"/>
      <c r="H1532" s="418"/>
      <c r="I1532" s="418"/>
      <c r="J1532" s="418"/>
      <c r="K1532" s="418"/>
      <c r="L1532" s="418"/>
      <c r="M1532" s="418"/>
    </row>
    <row r="1533" spans="1:13" s="284" customFormat="1" ht="15.4">
      <c r="A1533" s="125"/>
      <c r="B1533" s="418"/>
      <c r="C1533" s="284" t="s">
        <v>976</v>
      </c>
      <c r="D1533" s="125"/>
      <c r="E1533" s="125"/>
      <c r="F1533" s="125"/>
      <c r="G1533" s="418"/>
      <c r="H1533" s="418"/>
      <c r="I1533" s="418"/>
      <c r="J1533" s="418"/>
      <c r="K1533" s="418"/>
      <c r="L1533" s="418"/>
      <c r="M1533" s="418"/>
    </row>
    <row r="1534" spans="1:13" s="284" customFormat="1" ht="15">
      <c r="A1534" s="125"/>
      <c r="B1534" s="418"/>
      <c r="C1534" s="419" t="s">
        <v>412</v>
      </c>
      <c r="D1534" s="228" t="e">
        <f>(PI())^2*29000*pilearea/(0.65*D1531/pilegyration)^2</f>
        <v>#DIV/0!</v>
      </c>
      <c r="E1534" s="125" t="s">
        <v>495</v>
      </c>
      <c r="F1534" s="125"/>
      <c r="G1534" s="418"/>
      <c r="H1534" s="418"/>
      <c r="I1534" s="418"/>
      <c r="J1534" s="418"/>
      <c r="K1534" s="418"/>
      <c r="L1534" s="418"/>
      <c r="M1534" s="418"/>
    </row>
    <row r="1535" spans="1:13" s="284" customFormat="1">
      <c r="A1535" s="125"/>
      <c r="B1535" s="260"/>
      <c r="C1535" s="418"/>
      <c r="D1535" s="418"/>
      <c r="E1535" s="418"/>
      <c r="F1535" s="418"/>
      <c r="G1535" s="418"/>
      <c r="H1535" s="418"/>
      <c r="I1535" s="418"/>
      <c r="J1535" s="418"/>
      <c r="K1535" s="418"/>
      <c r="L1535" s="418"/>
      <c r="M1535" s="418"/>
    </row>
    <row r="1536" spans="1:13" s="284" customFormat="1">
      <c r="A1536" s="125"/>
      <c r="B1536" s="418"/>
      <c r="C1536" s="260" t="s">
        <v>497</v>
      </c>
      <c r="D1536" s="418"/>
      <c r="E1536" s="418"/>
      <c r="F1536" s="418"/>
      <c r="G1536" s="418"/>
      <c r="H1536" s="418"/>
      <c r="I1536" s="418"/>
      <c r="J1536" s="418"/>
      <c r="K1536" s="418"/>
      <c r="L1536" s="418"/>
      <c r="M1536" s="418"/>
    </row>
    <row r="1537" spans="1:13" s="284" customFormat="1" ht="15">
      <c r="A1537" s="125"/>
      <c r="B1537" s="418"/>
      <c r="C1537" s="125" t="s">
        <v>493</v>
      </c>
      <c r="D1537" s="125"/>
      <c r="E1537" s="125"/>
      <c r="F1537" s="418"/>
      <c r="G1537" s="418"/>
      <c r="H1537" s="418"/>
      <c r="I1537" s="418"/>
      <c r="J1537" s="418"/>
      <c r="K1537" s="418"/>
      <c r="L1537" s="418"/>
      <c r="M1537" s="418"/>
    </row>
    <row r="1538" spans="1:13" s="284" customFormat="1" ht="15">
      <c r="A1538" s="125"/>
      <c r="B1538" s="418"/>
      <c r="C1538" s="419" t="s">
        <v>494</v>
      </c>
      <c r="D1538" s="228" t="e">
        <f>D1051</f>
        <v>#DIV/0!</v>
      </c>
      <c r="E1538" s="125" t="s">
        <v>151</v>
      </c>
      <c r="F1538" s="418"/>
      <c r="G1538" s="418"/>
      <c r="H1538" s="418"/>
      <c r="I1538" s="418"/>
      <c r="J1538" s="418"/>
      <c r="K1538" s="418"/>
      <c r="L1538" s="418"/>
      <c r="M1538" s="418"/>
    </row>
    <row r="1539" spans="1:13" s="284" customFormat="1">
      <c r="A1539" s="125"/>
      <c r="B1539" s="418"/>
      <c r="C1539" s="125"/>
      <c r="D1539" s="125"/>
      <c r="E1539" s="125"/>
      <c r="F1539" s="125"/>
      <c r="G1539" s="418"/>
      <c r="H1539" s="418"/>
      <c r="I1539" s="418"/>
      <c r="J1539" s="418"/>
      <c r="K1539" s="418"/>
      <c r="L1539" s="418"/>
      <c r="M1539" s="418"/>
    </row>
    <row r="1540" spans="1:13" s="284" customFormat="1" ht="15.4">
      <c r="A1540" s="125"/>
      <c r="B1540" s="418"/>
      <c r="C1540" s="125" t="s">
        <v>413</v>
      </c>
      <c r="D1540" s="125"/>
      <c r="E1540" s="125"/>
      <c r="F1540" s="125"/>
      <c r="G1540" s="418"/>
      <c r="H1540" s="418"/>
      <c r="I1540" s="418"/>
      <c r="J1540" s="418"/>
      <c r="K1540" s="418"/>
      <c r="L1540" s="418"/>
      <c r="M1540" s="418"/>
    </row>
    <row r="1541" spans="1:13" s="284" customFormat="1" ht="15">
      <c r="A1541" s="125"/>
      <c r="B1541" s="418"/>
      <c r="C1541" s="125" t="s">
        <v>414</v>
      </c>
      <c r="D1541" s="418"/>
      <c r="E1541" s="418"/>
      <c r="F1541" s="418"/>
      <c r="G1541" s="418"/>
      <c r="H1541" s="418"/>
      <c r="I1541" s="418"/>
      <c r="J1541" s="418"/>
      <c r="K1541" s="418"/>
      <c r="L1541" s="418"/>
      <c r="M1541" s="418"/>
    </row>
    <row r="1542" spans="1:13" s="284" customFormat="1" ht="15">
      <c r="A1542" s="125"/>
      <c r="B1542" s="418"/>
      <c r="C1542" s="125"/>
      <c r="D1542" s="419" t="s">
        <v>415</v>
      </c>
      <c r="E1542" s="323" t="str">
        <f>IF(pilearea="","",D1534/D1538)</f>
        <v/>
      </c>
      <c r="F1542" s="139" t="str">
        <f>IF(E1542&lt;0.44, "Use AASHTO Equation 6.9.4.1.1-2.","Use AASHTO Equation 6.9.4.1.1-1.")</f>
        <v>Use AASHTO Equation 6.9.4.1.1-1.</v>
      </c>
      <c r="G1542" s="418"/>
      <c r="H1542" s="418"/>
      <c r="I1542" s="418"/>
      <c r="J1542" s="418"/>
      <c r="K1542" s="418"/>
      <c r="L1542" s="418"/>
      <c r="M1542" s="418"/>
    </row>
    <row r="1543" spans="1:13" s="284" customFormat="1">
      <c r="A1543" s="125"/>
      <c r="B1543" s="418"/>
      <c r="C1543" s="139"/>
      <c r="D1543" s="418"/>
      <c r="E1543" s="418"/>
      <c r="F1543" s="418"/>
      <c r="G1543" s="418"/>
      <c r="H1543" s="418"/>
      <c r="I1543" s="418"/>
      <c r="J1543" s="418"/>
      <c r="K1543" s="418"/>
      <c r="L1543" s="418"/>
      <c r="M1543" s="418"/>
    </row>
    <row r="1544" spans="1:13" s="284" customFormat="1" ht="15.4">
      <c r="A1544" s="131"/>
      <c r="B1544" s="418"/>
      <c r="C1544" s="284" t="s">
        <v>929</v>
      </c>
      <c r="D1544" s="125"/>
      <c r="E1544" s="125"/>
      <c r="F1544" s="418"/>
      <c r="G1544" s="418"/>
      <c r="H1544" s="418"/>
      <c r="I1544" s="418"/>
      <c r="J1544" s="418"/>
      <c r="K1544" s="418"/>
      <c r="L1544" s="418"/>
      <c r="M1544" s="418"/>
    </row>
    <row r="1545" spans="1:13" s="284" customFormat="1" ht="15">
      <c r="A1545" s="131"/>
      <c r="B1545" s="418"/>
      <c r="C1545" s="284" t="s">
        <v>930</v>
      </c>
      <c r="D1545" s="418"/>
      <c r="E1545" s="418"/>
      <c r="F1545" s="418"/>
      <c r="G1545" s="418"/>
      <c r="H1545" s="418"/>
      <c r="I1545" s="418"/>
      <c r="J1545" s="418"/>
      <c r="K1545" s="418"/>
      <c r="L1545" s="418"/>
      <c r="M1545" s="418"/>
    </row>
    <row r="1546" spans="1:13" s="284" customFormat="1" ht="15">
      <c r="A1546" s="125"/>
      <c r="B1546" s="418"/>
      <c r="C1546" s="419" t="s">
        <v>496</v>
      </c>
      <c r="D1546" s="228" t="e">
        <f>IF(D1534/D1538&lt;0.44,0.877*D1534,(0.658^(D1538/D1534))*D1538)</f>
        <v>#DIV/0!</v>
      </c>
      <c r="E1546" s="125" t="s">
        <v>495</v>
      </c>
      <c r="F1546" s="418"/>
      <c r="G1546" s="418"/>
      <c r="H1546" s="418"/>
      <c r="I1546" s="418"/>
      <c r="J1546" s="418"/>
      <c r="K1546" s="418"/>
      <c r="L1546" s="418"/>
      <c r="M1546" s="418"/>
    </row>
    <row r="1547" spans="1:13" s="284" customFormat="1">
      <c r="A1547" s="125"/>
      <c r="B1547" s="418"/>
      <c r="C1547" s="418"/>
      <c r="D1547" s="418"/>
      <c r="E1547" s="418"/>
      <c r="F1547" s="418"/>
      <c r="G1547" s="418"/>
      <c r="H1547" s="418"/>
      <c r="I1547" s="418"/>
      <c r="J1547" s="418"/>
      <c r="K1547" s="418"/>
      <c r="L1547" s="418"/>
      <c r="M1547" s="418"/>
    </row>
    <row r="1548" spans="1:13" s="284" customFormat="1">
      <c r="A1548" s="125"/>
      <c r="B1548" s="418"/>
      <c r="C1548" s="260" t="s">
        <v>499</v>
      </c>
      <c r="D1548" s="418"/>
      <c r="E1548" s="418"/>
      <c r="F1548" s="418"/>
      <c r="G1548" s="418"/>
      <c r="H1548" s="418"/>
      <c r="I1548" s="418"/>
      <c r="J1548" s="418"/>
      <c r="K1548" s="418"/>
      <c r="L1548" s="418"/>
      <c r="M1548" s="418"/>
    </row>
    <row r="1549" spans="1:13" s="284" customFormat="1">
      <c r="B1549" s="354"/>
      <c r="C1549" s="284" t="s">
        <v>152</v>
      </c>
      <c r="D1549" s="354"/>
      <c r="E1549" s="354"/>
      <c r="F1549" s="354"/>
      <c r="G1549" s="354"/>
      <c r="H1549" s="354"/>
      <c r="I1549" s="354"/>
      <c r="J1549" s="354"/>
      <c r="K1549" s="354"/>
      <c r="L1549" s="354"/>
      <c r="M1549" s="354"/>
    </row>
    <row r="1550" spans="1:13" s="284" customFormat="1" ht="15">
      <c r="A1550" s="125"/>
      <c r="B1550" s="418"/>
      <c r="C1550" s="125" t="s">
        <v>667</v>
      </c>
      <c r="D1550" s="125"/>
      <c r="E1550" s="125"/>
      <c r="F1550" s="418"/>
      <c r="G1550" s="418"/>
      <c r="H1550" s="125"/>
      <c r="I1550" s="139" t="e">
        <f>"(1.0)("&amp;FIXED(D1546,2,TRUE)&amp;") "</f>
        <v>#DIV/0!</v>
      </c>
      <c r="J1550" s="418"/>
      <c r="K1550" s="418"/>
      <c r="L1550" s="418"/>
      <c r="M1550" s="418"/>
    </row>
    <row r="1551" spans="1:13" s="284" customFormat="1" ht="15">
      <c r="A1551" s="125"/>
      <c r="B1551" s="418"/>
      <c r="C1551" s="419" t="s">
        <v>501</v>
      </c>
      <c r="D1551" s="228" t="e">
        <f>1*D1546</f>
        <v>#DIV/0!</v>
      </c>
      <c r="E1551" s="125" t="s">
        <v>338</v>
      </c>
      <c r="F1551" s="418"/>
      <c r="G1551" s="418"/>
      <c r="H1551" s="418"/>
      <c r="I1551" s="418"/>
      <c r="J1551" s="418"/>
      <c r="K1551" s="418"/>
      <c r="L1551" s="418"/>
      <c r="M1551" s="418"/>
    </row>
    <row r="1552" spans="1:13" s="284" customFormat="1">
      <c r="A1552" s="125"/>
      <c r="B1552" s="418"/>
      <c r="C1552" s="418"/>
      <c r="D1552" s="418"/>
      <c r="E1552" s="418"/>
      <c r="F1552" s="418"/>
      <c r="G1552" s="418"/>
      <c r="H1552" s="418"/>
      <c r="I1552" s="418"/>
      <c r="J1552" s="418"/>
      <c r="K1552" s="418"/>
      <c r="L1552" s="418"/>
      <c r="M1552" s="418"/>
    </row>
    <row r="1553" spans="1:13" s="284" customFormat="1">
      <c r="A1553" s="125"/>
      <c r="B1553" s="260" t="s">
        <v>416</v>
      </c>
      <c r="C1553" s="418"/>
      <c r="D1553" s="418"/>
      <c r="E1553" s="418"/>
      <c r="F1553" s="418"/>
      <c r="G1553" s="418"/>
      <c r="H1553" s="418"/>
      <c r="I1553" s="418"/>
      <c r="J1553" s="418"/>
      <c r="K1553" s="418"/>
      <c r="L1553" s="418"/>
      <c r="M1553" s="418"/>
    </row>
    <row r="1554" spans="1:13" s="284" customFormat="1">
      <c r="A1554" s="125"/>
      <c r="B1554" s="418"/>
      <c r="C1554" s="418"/>
      <c r="D1554" s="418"/>
      <c r="E1554" s="418"/>
      <c r="F1554" s="418"/>
      <c r="G1554" s="418"/>
      <c r="H1554" s="418"/>
      <c r="I1554" s="418"/>
      <c r="J1554" s="418"/>
      <c r="K1554" s="418"/>
      <c r="L1554" s="418"/>
      <c r="M1554" s="418"/>
    </row>
    <row r="1555" spans="1:13" s="284" customFormat="1">
      <c r="A1555" s="125"/>
      <c r="B1555" s="418"/>
      <c r="C1555" s="260" t="s">
        <v>209</v>
      </c>
      <c r="D1555" s="418"/>
      <c r="E1555" s="418"/>
      <c r="F1555" s="418"/>
      <c r="G1555" s="418"/>
      <c r="H1555" s="418"/>
      <c r="I1555" s="418"/>
      <c r="J1555" s="418"/>
      <c r="K1555" s="418"/>
      <c r="L1555" s="418"/>
      <c r="M1555" s="418"/>
    </row>
    <row r="1556" spans="1:13" s="284" customFormat="1">
      <c r="B1556" s="354"/>
      <c r="C1556" s="284" t="s">
        <v>153</v>
      </c>
      <c r="D1556" s="354"/>
      <c r="E1556" s="354"/>
      <c r="F1556" s="354"/>
      <c r="G1556" s="354"/>
      <c r="H1556" s="354"/>
      <c r="I1556" s="354"/>
      <c r="J1556" s="354"/>
      <c r="K1556" s="354"/>
      <c r="L1556" s="354"/>
      <c r="M1556" s="354"/>
    </row>
    <row r="1557" spans="1:13" s="284" customFormat="1">
      <c r="A1557" s="125"/>
      <c r="B1557" s="418"/>
      <c r="C1557" s="139" t="e">
        <f>C1078</f>
        <v>#DIV/0!</v>
      </c>
      <c r="D1557" s="418"/>
      <c r="E1557" s="418"/>
      <c r="F1557" s="418"/>
      <c r="G1557" s="418"/>
      <c r="H1557" s="418"/>
      <c r="I1557" s="418"/>
      <c r="J1557" s="418"/>
      <c r="K1557" s="418"/>
      <c r="L1557" s="418"/>
      <c r="M1557" s="418"/>
    </row>
    <row r="1558" spans="1:13" s="284" customFormat="1" ht="15">
      <c r="A1558" s="125"/>
      <c r="B1558" s="418"/>
      <c r="C1558" s="264" t="s">
        <v>407</v>
      </c>
      <c r="D1558" s="328" t="e">
        <f>D1084</f>
        <v>#DIV/0!</v>
      </c>
      <c r="E1558" s="139" t="e">
        <f>"k-in = "&amp;FIXED(D1558/12,2)&amp;" k-ft"</f>
        <v>#DIV/0!</v>
      </c>
      <c r="F1558" s="327"/>
      <c r="G1558" s="418"/>
      <c r="H1558" s="418"/>
      <c r="I1558" s="418"/>
      <c r="J1558" s="418"/>
      <c r="K1558" s="418"/>
      <c r="L1558" s="418"/>
      <c r="M1558" s="418"/>
    </row>
    <row r="1559" spans="1:13" s="284" customFormat="1">
      <c r="A1559" s="125"/>
      <c r="B1559" s="418"/>
      <c r="C1559" s="418"/>
      <c r="D1559" s="329"/>
      <c r="E1559" s="418"/>
      <c r="F1559" s="418"/>
      <c r="G1559" s="418"/>
      <c r="H1559" s="418"/>
      <c r="I1559" s="418"/>
      <c r="J1559" s="418"/>
      <c r="K1559" s="418"/>
      <c r="L1559" s="418"/>
      <c r="M1559" s="418"/>
    </row>
    <row r="1560" spans="1:13" s="284" customFormat="1">
      <c r="A1560" s="125"/>
      <c r="B1560" s="418"/>
      <c r="C1560" s="260" t="s">
        <v>210</v>
      </c>
      <c r="D1560" s="418"/>
      <c r="E1560" s="418"/>
      <c r="F1560" s="418"/>
      <c r="G1560" s="418"/>
      <c r="H1560" s="418"/>
      <c r="I1560" s="418"/>
      <c r="J1560" s="418"/>
      <c r="K1560" s="418"/>
      <c r="L1560" s="418"/>
      <c r="M1560" s="418"/>
    </row>
    <row r="1561" spans="1:13" s="284" customFormat="1">
      <c r="A1561" s="125"/>
      <c r="B1561" s="418"/>
      <c r="C1561" s="284" t="s">
        <v>152</v>
      </c>
      <c r="D1561" s="418"/>
      <c r="E1561" s="418"/>
      <c r="F1561" s="418"/>
      <c r="G1561" s="418"/>
      <c r="H1561" s="418"/>
      <c r="I1561" s="418"/>
      <c r="J1561" s="418"/>
      <c r="K1561" s="418"/>
      <c r="L1561" s="418"/>
      <c r="M1561" s="418"/>
    </row>
    <row r="1562" spans="1:13" s="284" customFormat="1" ht="15">
      <c r="A1562" s="125"/>
      <c r="B1562" s="418"/>
      <c r="C1562" s="125" t="s">
        <v>668</v>
      </c>
      <c r="D1562" s="125"/>
      <c r="E1562" s="125"/>
      <c r="F1562" s="418"/>
      <c r="G1562" s="125"/>
      <c r="H1562" s="125"/>
      <c r="I1562" s="139" t="e">
        <f>"(1.00)("&amp;FIXED(D1558,1,TRUE)&amp;") "</f>
        <v>#DIV/0!</v>
      </c>
      <c r="J1562" s="418"/>
      <c r="K1562" s="418"/>
      <c r="L1562" s="418"/>
      <c r="M1562" s="418"/>
    </row>
    <row r="1563" spans="1:13" s="284" customFormat="1" ht="15">
      <c r="A1563" s="125"/>
      <c r="B1563" s="418"/>
      <c r="C1563" s="419" t="s">
        <v>211</v>
      </c>
      <c r="D1563" s="336" t="e">
        <f>1*D1558</f>
        <v>#DIV/0!</v>
      </c>
      <c r="E1563" s="125" t="s">
        <v>255</v>
      </c>
      <c r="F1563" s="418"/>
      <c r="G1563" s="418"/>
      <c r="H1563" s="418"/>
      <c r="I1563" s="418"/>
      <c r="J1563" s="418"/>
      <c r="K1563" s="418"/>
      <c r="L1563" s="418"/>
      <c r="M1563" s="418"/>
    </row>
    <row r="1564" spans="1:13" s="284" customFormat="1" ht="15">
      <c r="A1564" s="125"/>
      <c r="B1564" s="418"/>
      <c r="C1564" s="419" t="s">
        <v>211</v>
      </c>
      <c r="D1564" s="336" t="e">
        <f>D1563/12</f>
        <v>#DIV/0!</v>
      </c>
      <c r="E1564" s="125" t="s">
        <v>830</v>
      </c>
      <c r="F1564" s="418"/>
      <c r="G1564" s="418"/>
      <c r="H1564" s="418"/>
      <c r="I1564" s="418"/>
      <c r="J1564" s="418"/>
      <c r="K1564" s="418"/>
      <c r="L1564" s="418"/>
      <c r="M1564" s="418"/>
    </row>
    <row r="1565" spans="1:13" s="284" customFormat="1">
      <c r="A1565" s="125"/>
      <c r="B1565" s="418"/>
      <c r="C1565" s="418"/>
      <c r="D1565" s="418"/>
      <c r="E1565" s="418"/>
      <c r="F1565" s="418"/>
      <c r="G1565" s="418"/>
      <c r="H1565" s="418"/>
      <c r="I1565" s="418"/>
      <c r="J1565" s="418"/>
      <c r="K1565" s="418"/>
      <c r="L1565" s="418"/>
      <c r="M1565" s="418"/>
    </row>
    <row r="1566" spans="1:13" s="284" customFormat="1">
      <c r="A1566" s="125"/>
      <c r="B1566" s="260" t="s">
        <v>410</v>
      </c>
      <c r="C1566" s="418"/>
      <c r="D1566" s="418"/>
      <c r="E1566" s="418"/>
      <c r="F1566" s="418"/>
      <c r="G1566" s="418"/>
      <c r="H1566" s="418"/>
      <c r="I1566" s="418"/>
      <c r="J1566" s="418"/>
      <c r="K1566" s="418"/>
      <c r="L1566" s="418"/>
      <c r="M1566" s="418"/>
    </row>
    <row r="1567" spans="1:13" s="284" customFormat="1">
      <c r="A1567" s="125"/>
      <c r="B1567" s="578" t="s">
        <v>409</v>
      </c>
      <c r="C1567" s="578"/>
      <c r="D1567" s="578"/>
      <c r="E1567" s="578"/>
      <c r="F1567" s="578"/>
      <c r="G1567" s="578"/>
      <c r="H1567" s="578"/>
      <c r="I1567" s="578"/>
      <c r="J1567" s="578"/>
      <c r="K1567" s="578"/>
      <c r="L1567" s="578"/>
      <c r="M1567" s="578"/>
    </row>
    <row r="1568" spans="1:13" s="284" customFormat="1" ht="15">
      <c r="A1568" s="125"/>
      <c r="B1568" s="125" t="s">
        <v>207</v>
      </c>
      <c r="C1568" s="418"/>
      <c r="D1568" s="418"/>
      <c r="E1568" s="418"/>
      <c r="F1568" s="418"/>
      <c r="G1568" s="418"/>
      <c r="H1568" s="418"/>
      <c r="I1568" s="418"/>
      <c r="J1568" s="418"/>
      <c r="K1568" s="418"/>
      <c r="L1568" s="418"/>
      <c r="M1568" s="418"/>
    </row>
    <row r="1569" spans="1:19" s="284" customFormat="1" ht="15">
      <c r="A1569" s="125"/>
      <c r="B1569" s="125" t="s">
        <v>208</v>
      </c>
      <c r="C1569" s="418"/>
      <c r="D1569" s="418"/>
      <c r="E1569" s="418"/>
      <c r="F1569" s="418"/>
      <c r="G1569" s="418"/>
      <c r="H1569" s="418"/>
      <c r="I1569" s="418"/>
      <c r="J1569" s="418"/>
      <c r="K1569" s="418"/>
      <c r="L1569" s="418"/>
      <c r="M1569" s="418"/>
    </row>
    <row r="1570" spans="1:19" s="284" customFormat="1">
      <c r="A1570" s="125"/>
      <c r="B1570" s="125"/>
      <c r="C1570" s="418"/>
      <c r="D1570" s="418"/>
      <c r="E1570" s="418"/>
      <c r="F1570" s="418"/>
      <c r="G1570" s="418"/>
      <c r="H1570" s="418"/>
      <c r="I1570" s="418"/>
      <c r="J1570" s="418"/>
      <c r="K1570" s="418"/>
      <c r="L1570" s="418"/>
      <c r="M1570" s="418"/>
    </row>
    <row r="1571" spans="1:19" s="284" customFormat="1" ht="15">
      <c r="A1571" s="125"/>
      <c r="B1571" s="413" t="s">
        <v>90</v>
      </c>
      <c r="C1571" s="125"/>
      <c r="D1571" s="179" t="e">
        <f>FIXED(J1354,1,TRUE)&amp;"/"&amp;FIXED(D1551,1,TRUE)&amp;" ="</f>
        <v>#DIV/0!</v>
      </c>
      <c r="E1571" s="186" t="e">
        <f>J1354/D1551</f>
        <v>#DIV/0!</v>
      </c>
      <c r="F1571" s="418"/>
      <c r="G1571" s="418"/>
      <c r="H1571" s="418"/>
      <c r="I1571" s="418"/>
      <c r="J1571" s="418"/>
      <c r="K1571" s="418"/>
      <c r="L1571" s="418"/>
      <c r="M1571" s="418"/>
    </row>
    <row r="1572" spans="1:19" s="284" customFormat="1">
      <c r="A1572" s="125"/>
      <c r="B1572" s="125" t="s">
        <v>91</v>
      </c>
      <c r="C1572" s="418"/>
      <c r="D1572" s="418"/>
      <c r="E1572" s="125"/>
      <c r="F1572" s="412" t="e">
        <f>IF(E1571&lt;0.2,FIXED(J1354,1,TRUE)&amp;"/(2*"&amp;FIXED(D1551,1,TRUE)&amp;") + "&amp;ScourMomSuper&amp;"/"&amp;FIXED(D1564,2,TRUE)&amp;" =",FIXED(J1354,1,TRUE)&amp;"/"&amp;FIXED(D1551,1,TRUE)&amp;" + (8.0/9.0)("&amp;ScourMomSuper&amp;"/"&amp;FIXED(D1564,2,TRUE)&amp;") =")</f>
        <v>#DIV/0!</v>
      </c>
      <c r="G1572" s="414"/>
      <c r="H1572" s="418"/>
      <c r="I1572" s="167" t="e">
        <f>IF(E1571&lt;0.2,J1354/(2*D1551)+ScourMomSuper/D1564,J1354/D1551+(8/9)*(ScourMomSuper/D1564))</f>
        <v>#DIV/0!</v>
      </c>
      <c r="J1572" s="417" t="e">
        <f>IF(I1572&gt;1.0049,"&gt; 1.0 NG","&lt; 1.00 OK")</f>
        <v>#DIV/0!</v>
      </c>
      <c r="K1572" s="418"/>
      <c r="L1572" s="418"/>
      <c r="M1572" s="418"/>
    </row>
    <row r="1573" spans="1:19" s="284" customFormat="1">
      <c r="A1573" s="125"/>
      <c r="B1573" s="125"/>
      <c r="C1573" s="418"/>
      <c r="D1573" s="418"/>
      <c r="E1573" s="125"/>
      <c r="F1573" s="412"/>
      <c r="G1573" s="414"/>
      <c r="H1573" s="418"/>
      <c r="I1573" s="167"/>
      <c r="J1573" s="417"/>
      <c r="K1573" s="418"/>
      <c r="L1573" s="418"/>
      <c r="M1573" s="418"/>
    </row>
    <row r="1574" spans="1:19" s="284" customFormat="1">
      <c r="A1574" s="125"/>
      <c r="B1574" s="418"/>
      <c r="C1574" s="330" t="e">
        <f>IF(I1572&gt;1.0049,"Error - "&amp;FIXED(I1572,2,TRUE)&amp;" &gt; 1.00  - Increase the number of piles or change the pile section - push ctrl-a","")</f>
        <v>#DIV/0!</v>
      </c>
      <c r="D1574" s="163"/>
      <c r="E1574" s="418"/>
      <c r="F1574" s="418"/>
      <c r="G1574" s="418"/>
      <c r="H1574" s="418"/>
      <c r="I1574" s="418"/>
      <c r="J1574" s="418"/>
      <c r="K1574" s="418"/>
      <c r="L1574" s="418"/>
      <c r="M1574" s="418"/>
      <c r="R1574" s="157" t="e">
        <f>IF(ScourReqd="N",0,IF(piletype="P",0,IF(LEFT(C1574,5)="Error",1,0)))</f>
        <v>#DIV/0!</v>
      </c>
      <c r="S1574" s="157" t="e">
        <f>IF(ScourReqd="N",0,IF(piletype="P",0,IF(LEFT(C1574,5)="Warni",1,0)))</f>
        <v>#DIV/0!</v>
      </c>
    </row>
    <row r="1575" spans="1:19" s="284" customFormat="1">
      <c r="A1575" s="125"/>
      <c r="B1575" s="418"/>
      <c r="C1575" s="330"/>
      <c r="D1575" s="163"/>
      <c r="E1575" s="418"/>
      <c r="F1575" s="418"/>
      <c r="G1575" s="418"/>
      <c r="H1575" s="418"/>
      <c r="I1575" s="418"/>
      <c r="J1575" s="418"/>
      <c r="K1575" s="418"/>
      <c r="L1575" s="418"/>
      <c r="M1575" s="418"/>
      <c r="R1575" s="157"/>
      <c r="S1575" s="157"/>
    </row>
    <row r="1576" spans="1:19" ht="13.15">
      <c r="A1576" s="253" t="s">
        <v>881</v>
      </c>
      <c r="E1576" s="216"/>
      <c r="R1576" s="157"/>
      <c r="S1576" s="157"/>
    </row>
    <row r="1577" spans="1:19">
      <c r="E1577" s="216"/>
      <c r="R1577" s="157"/>
      <c r="S1577" s="157"/>
    </row>
    <row r="1578" spans="1:19">
      <c r="B1578" s="260" t="s">
        <v>653</v>
      </c>
      <c r="C1578" s="153"/>
      <c r="D1578" s="153"/>
      <c r="E1578" s="153"/>
      <c r="F1578" s="153"/>
      <c r="G1578" s="153"/>
      <c r="H1578" s="153"/>
      <c r="I1578" s="153"/>
      <c r="J1578" s="153"/>
      <c r="K1578" s="153"/>
      <c r="L1578" s="153"/>
      <c r="M1578" s="153"/>
      <c r="R1578" s="157"/>
      <c r="S1578" s="157"/>
    </row>
    <row r="1579" spans="1:19">
      <c r="B1579" s="512" t="s">
        <v>917</v>
      </c>
      <c r="C1579" s="153"/>
      <c r="D1579" s="153"/>
      <c r="E1579" s="153"/>
      <c r="F1579" s="153"/>
      <c r="G1579" s="153"/>
      <c r="H1579" s="153"/>
      <c r="I1579" s="153"/>
      <c r="J1579" s="153"/>
      <c r="K1579" s="153"/>
      <c r="L1579" s="153"/>
      <c r="M1579" s="153"/>
      <c r="R1579" s="157"/>
      <c r="S1579" s="157"/>
    </row>
    <row r="1580" spans="1:19">
      <c r="B1580" s="153"/>
      <c r="C1580" s="260"/>
      <c r="D1580" s="153"/>
      <c r="E1580" s="153"/>
      <c r="F1580" s="153"/>
      <c r="G1580" s="153"/>
      <c r="H1580" s="153"/>
      <c r="I1580" s="153"/>
      <c r="J1580" s="153"/>
      <c r="K1580" s="153"/>
      <c r="L1580" s="153"/>
      <c r="M1580" s="153"/>
      <c r="R1580" s="157"/>
      <c r="S1580" s="157"/>
    </row>
    <row r="1581" spans="1:19">
      <c r="B1581" s="153"/>
      <c r="C1581" s="260" t="s">
        <v>497</v>
      </c>
      <c r="D1581" s="153"/>
      <c r="E1581" s="153"/>
      <c r="F1581" s="153"/>
      <c r="G1581" s="153"/>
      <c r="H1581" s="153"/>
      <c r="I1581" s="153"/>
      <c r="J1581" s="153"/>
      <c r="K1581" s="153"/>
      <c r="L1581" s="153"/>
      <c r="M1581" s="153"/>
      <c r="R1581" s="157"/>
      <c r="S1581" s="157"/>
    </row>
    <row r="1582" spans="1:19">
      <c r="B1582" s="153"/>
      <c r="C1582" s="316" t="s">
        <v>656</v>
      </c>
      <c r="D1582" s="153"/>
      <c r="E1582" s="153"/>
      <c r="F1582" s="153"/>
      <c r="G1582" s="153"/>
      <c r="H1582" s="153"/>
      <c r="I1582" s="153"/>
      <c r="J1582" s="153"/>
      <c r="K1582" s="153"/>
      <c r="L1582" s="153"/>
      <c r="M1582" s="153"/>
      <c r="R1582" s="157"/>
      <c r="S1582" s="157"/>
    </row>
    <row r="1583" spans="1:19" ht="15.4">
      <c r="B1583" s="153"/>
      <c r="C1583" s="13" t="s">
        <v>664</v>
      </c>
      <c r="D1583" s="153"/>
      <c r="E1583" s="153"/>
      <c r="F1583" s="153"/>
      <c r="G1583" s="153"/>
      <c r="H1583" s="153"/>
      <c r="I1583" s="153"/>
      <c r="J1583" s="153"/>
      <c r="K1583" s="153"/>
      <c r="L1583" s="153"/>
      <c r="M1583" s="153"/>
      <c r="R1583" s="157"/>
      <c r="S1583" s="157"/>
    </row>
    <row r="1584" spans="1:19" ht="15">
      <c r="B1584" s="153"/>
      <c r="C1584" s="13" t="s">
        <v>665</v>
      </c>
      <c r="D1584" s="153"/>
      <c r="E1584" s="153"/>
      <c r="F1584" s="153"/>
      <c r="G1584" s="153"/>
      <c r="H1584" s="153"/>
      <c r="I1584" s="153"/>
      <c r="J1584" s="153"/>
      <c r="K1584" s="153"/>
      <c r="L1584" s="153"/>
      <c r="M1584" s="153"/>
      <c r="R1584" s="157"/>
      <c r="S1584" s="157"/>
    </row>
    <row r="1585" spans="2:19">
      <c r="B1585" s="153"/>
      <c r="C1585" s="153"/>
      <c r="D1585" s="153"/>
      <c r="E1585" s="153"/>
      <c r="F1585" s="153"/>
      <c r="G1585" s="153"/>
      <c r="H1585" s="153"/>
      <c r="I1585" s="153"/>
      <c r="J1585" s="153"/>
      <c r="K1585" s="153"/>
      <c r="L1585" s="153"/>
      <c r="M1585" s="153"/>
      <c r="R1585" s="157"/>
      <c r="S1585" s="157"/>
    </row>
    <row r="1586" spans="2:19">
      <c r="B1586" s="153"/>
      <c r="C1586" s="577" t="s">
        <v>875</v>
      </c>
      <c r="D1586" s="577"/>
      <c r="E1586" s="577"/>
      <c r="F1586" s="577"/>
      <c r="G1586" s="577"/>
      <c r="H1586" s="577"/>
      <c r="I1586" s="577"/>
      <c r="J1586" s="577"/>
      <c r="K1586" s="577"/>
      <c r="L1586" s="577"/>
      <c r="M1586" s="577"/>
      <c r="R1586" s="157"/>
      <c r="S1586" s="157"/>
    </row>
    <row r="1587" spans="2:19">
      <c r="B1587" s="153"/>
      <c r="C1587" s="577"/>
      <c r="D1587" s="577"/>
      <c r="E1587" s="577"/>
      <c r="F1587" s="577"/>
      <c r="G1587" s="577"/>
      <c r="H1587" s="577"/>
      <c r="I1587" s="577"/>
      <c r="J1587" s="577"/>
      <c r="K1587" s="577"/>
      <c r="L1587" s="577"/>
      <c r="M1587" s="577"/>
      <c r="R1587" s="157"/>
      <c r="S1587" s="157"/>
    </row>
    <row r="1588" spans="2:19">
      <c r="B1588" s="153"/>
      <c r="C1588" s="254"/>
      <c r="D1588" s="254"/>
      <c r="E1588" s="254"/>
      <c r="F1588" s="254"/>
      <c r="G1588" s="254"/>
      <c r="H1588" s="254"/>
      <c r="I1588" s="254"/>
      <c r="J1588" s="254"/>
      <c r="K1588" s="254"/>
      <c r="L1588" s="254"/>
      <c r="M1588" s="254"/>
      <c r="R1588" s="157"/>
      <c r="S1588" s="157"/>
    </row>
    <row r="1589" spans="2:19" ht="15">
      <c r="B1589" s="153"/>
      <c r="C1589" s="174" t="s">
        <v>150</v>
      </c>
      <c r="E1589" s="153"/>
      <c r="F1589" s="153"/>
      <c r="I1589" s="153"/>
      <c r="J1589" s="153"/>
      <c r="K1589" s="153"/>
      <c r="L1589" s="153"/>
      <c r="M1589" s="153"/>
      <c r="R1589" s="157"/>
      <c r="S1589" s="157"/>
    </row>
    <row r="1590" spans="2:19">
      <c r="B1590" s="153"/>
      <c r="C1590" s="133" t="s">
        <v>149</v>
      </c>
      <c r="D1590" s="356">
        <f>ScourFixityStr</f>
        <v>0</v>
      </c>
      <c r="E1590" s="125" t="str">
        <f>"in = "&amp;FIXED(D1590/12,2)&amp;" ft"</f>
        <v>in = 0.00 ft</v>
      </c>
      <c r="F1590" s="153"/>
      <c r="G1590" s="177"/>
      <c r="I1590" s="153"/>
      <c r="J1590" s="153"/>
      <c r="K1590" s="153"/>
      <c r="L1590" s="153"/>
      <c r="M1590" s="153"/>
      <c r="R1590" s="157"/>
      <c r="S1590" s="157"/>
    </row>
    <row r="1591" spans="2:19">
      <c r="B1591" s="153"/>
      <c r="D1591" s="153"/>
      <c r="E1591" s="153"/>
      <c r="F1591" s="153"/>
      <c r="G1591" s="153"/>
      <c r="I1591" s="153"/>
      <c r="J1591" s="153"/>
      <c r="K1591" s="153"/>
      <c r="L1591" s="153"/>
      <c r="M1591" s="153"/>
      <c r="R1591" s="157"/>
      <c r="S1591" s="157"/>
    </row>
    <row r="1592" spans="2:19" ht="15">
      <c r="B1592" s="153"/>
      <c r="C1592" s="187" t="s">
        <v>661</v>
      </c>
      <c r="J1592" s="153"/>
      <c r="K1592" s="153"/>
      <c r="L1592" s="153"/>
      <c r="M1592" s="153"/>
      <c r="R1592" s="157"/>
      <c r="S1592" s="157"/>
    </row>
    <row r="1593" spans="2:19" ht="15">
      <c r="B1593" s="153"/>
      <c r="C1593" s="183" t="s">
        <v>659</v>
      </c>
      <c r="D1593" s="228" t="e">
        <f>D1136</f>
        <v>#DIV/0!</v>
      </c>
      <c r="E1593" s="125" t="s">
        <v>418</v>
      </c>
      <c r="G1593" s="131"/>
      <c r="I1593" s="153"/>
      <c r="J1593" s="153"/>
      <c r="K1593" s="153"/>
      <c r="L1593" s="153"/>
      <c r="M1593" s="153"/>
      <c r="R1593" s="157"/>
      <c r="S1593" s="157"/>
    </row>
    <row r="1594" spans="2:19">
      <c r="B1594" s="153"/>
      <c r="C1594" s="228"/>
      <c r="D1594" s="317"/>
      <c r="G1594" s="131"/>
      <c r="I1594" s="153"/>
      <c r="J1594" s="153"/>
      <c r="K1594" s="153"/>
      <c r="L1594" s="153"/>
      <c r="M1594" s="153"/>
      <c r="R1594" s="157"/>
      <c r="S1594" s="157"/>
    </row>
    <row r="1595" spans="2:19" ht="15">
      <c r="B1595" s="153"/>
      <c r="C1595" s="187" t="s">
        <v>662</v>
      </c>
      <c r="D1595" s="131"/>
      <c r="E1595" s="153"/>
      <c r="F1595" s="153"/>
      <c r="I1595" s="153"/>
      <c r="K1595" s="153"/>
      <c r="L1595" s="153"/>
      <c r="M1595" s="153"/>
      <c r="R1595" s="157"/>
      <c r="S1595" s="157"/>
    </row>
    <row r="1596" spans="2:19" ht="15">
      <c r="B1596" s="153"/>
      <c r="C1596" s="183" t="s">
        <v>660</v>
      </c>
      <c r="D1596" s="336" t="e">
        <f>29000*(1+(0.4/n)*(Ac/As))</f>
        <v>#DIV/0!</v>
      </c>
      <c r="E1596" s="125" t="s">
        <v>418</v>
      </c>
      <c r="I1596" s="153"/>
      <c r="J1596" s="334"/>
      <c r="K1596" s="153"/>
      <c r="L1596" s="153"/>
      <c r="M1596" s="153"/>
      <c r="R1596" s="157"/>
      <c r="S1596" s="157"/>
    </row>
    <row r="1597" spans="2:19">
      <c r="J1597" s="189"/>
      <c r="R1597" s="157"/>
      <c r="S1597" s="157"/>
    </row>
    <row r="1598" spans="2:19" ht="15.4">
      <c r="C1598" s="335" t="s">
        <v>663</v>
      </c>
      <c r="H1598" s="334" t="e">
        <f>"[(0.65*"&amp;FIXED(D1590,0)&amp;")/("&amp;FIXED(pilegyration,2,TRUE)&amp;"*"&amp;FIXED(PI(),3,TRUE)&amp;")]^2 ("&amp;FIXED(D1593,2,TRUE)&amp;"/"&amp;FIXED(D1596,2,TRUE)&amp;") ="</f>
        <v>#DIV/0!</v>
      </c>
      <c r="I1598" s="288" t="e">
        <f>((0.65*D1590/(pilegyration*PI()))^2)*(D1593/D1596)</f>
        <v>#DIV/0!</v>
      </c>
      <c r="J1598" s="189"/>
      <c r="R1598" s="157"/>
      <c r="S1598" s="157"/>
    </row>
    <row r="1599" spans="2:19">
      <c r="J1599" s="189"/>
      <c r="R1599" s="157"/>
      <c r="S1599" s="157"/>
    </row>
    <row r="1600" spans="2:19" ht="15">
      <c r="C1600" s="125" t="s">
        <v>666</v>
      </c>
      <c r="G1600" s="125" t="e">
        <f>IF(I1598&gt;2.25,"(0.88)("&amp;FIXED(D1593,2,TRUE)&amp;")("&amp;FIXED(As,2,TRUE)&amp;")/("&amp;FIXED(I1598,3,TRUE)&amp;")","(0.66^"&amp;FIXED(I1598,3,TRUE)&amp;")("&amp;FIXED(D1593,2,TRUE)&amp;")("&amp;FIXED(As,2,TRUE)&amp;")")&amp;IF(I1598&gt;2.25," per AASHTO Equation 6.9.5.1-2"," per AASHTO Equation 6.9.5.1-1")</f>
        <v>#DIV/0!</v>
      </c>
      <c r="R1600" s="157"/>
      <c r="S1600" s="157"/>
    </row>
    <row r="1601" spans="2:19" ht="15">
      <c r="C1601" s="133" t="s">
        <v>496</v>
      </c>
      <c r="D1601" s="228" t="e">
        <f>IF(I1598&gt;2.25,0.88*D1593*As/I1598,(0.66^I1598)*D1593*As)</f>
        <v>#DIV/0!</v>
      </c>
      <c r="E1601" s="125" t="s">
        <v>338</v>
      </c>
      <c r="R1601" s="157"/>
      <c r="S1601" s="157"/>
    </row>
    <row r="1602" spans="2:19">
      <c r="C1602" s="133"/>
      <c r="D1602" s="336"/>
      <c r="R1602" s="157"/>
      <c r="S1602" s="157"/>
    </row>
    <row r="1603" spans="2:19">
      <c r="C1603" s="260" t="s">
        <v>499</v>
      </c>
      <c r="D1603" s="153"/>
      <c r="E1603" s="153"/>
      <c r="F1603" s="153"/>
      <c r="G1603" s="153"/>
      <c r="H1603" s="153"/>
      <c r="I1603" s="153"/>
      <c r="R1603" s="157"/>
      <c r="S1603" s="157"/>
    </row>
    <row r="1604" spans="2:19" ht="15">
      <c r="C1604" s="125" t="s">
        <v>667</v>
      </c>
      <c r="F1604" s="153"/>
      <c r="G1604" s="513" t="e">
        <f>"per AASHTO 6.9.2.1 = ("&amp;comp2resfact&amp;")("&amp;FIXED(D1601,2,TRUE)&amp;") = "&amp;FIXED(comp2resfact*D1601,2,TRUE)&amp;" k"</f>
        <v>#DIV/0!</v>
      </c>
      <c r="I1604" s="222"/>
      <c r="R1604" s="157"/>
      <c r="S1604" s="157"/>
    </row>
    <row r="1605" spans="2:19" ht="15">
      <c r="C1605" s="516" t="s">
        <v>932</v>
      </c>
      <c r="F1605" s="519"/>
      <c r="G1605" s="520"/>
      <c r="I1605" s="520"/>
      <c r="R1605" s="157"/>
      <c r="S1605" s="157"/>
    </row>
    <row r="1606" spans="2:19" ht="15">
      <c r="C1606" s="133" t="s">
        <v>501</v>
      </c>
      <c r="D1606" s="228" t="e">
        <f>MIN(comp2resfact*D1601,D1118)</f>
        <v>#DIV/0!</v>
      </c>
      <c r="E1606" s="131" t="e">
        <f>"kips"&amp;IF(D1606=D1118,", Limited by DM-4 5.13.4.7.1P","")</f>
        <v>#DIV/0!</v>
      </c>
      <c r="F1606" s="153"/>
      <c r="G1606" s="153"/>
      <c r="H1606" s="153"/>
      <c r="I1606" s="153"/>
      <c r="R1606" s="157"/>
      <c r="S1606" s="157"/>
    </row>
    <row r="1607" spans="2:19">
      <c r="I1607" s="180"/>
      <c r="J1607" s="131"/>
      <c r="R1607" s="157"/>
      <c r="S1607" s="157"/>
    </row>
    <row r="1608" spans="2:19">
      <c r="B1608" s="260" t="s">
        <v>669</v>
      </c>
      <c r="I1608" s="180"/>
      <c r="J1608" s="131"/>
      <c r="R1608" s="157"/>
      <c r="S1608" s="157"/>
    </row>
    <row r="1609" spans="2:19">
      <c r="B1609" s="578" t="s">
        <v>419</v>
      </c>
      <c r="C1609" s="578"/>
      <c r="D1609" s="578"/>
      <c r="E1609" s="578"/>
      <c r="F1609" s="578"/>
      <c r="G1609" s="578"/>
      <c r="H1609" s="578"/>
      <c r="I1609" s="578"/>
      <c r="J1609" s="578"/>
      <c r="K1609" s="578"/>
      <c r="L1609" s="578"/>
      <c r="M1609" s="578"/>
      <c r="R1609" s="157"/>
      <c r="S1609" s="157"/>
    </row>
    <row r="1610" spans="2:19">
      <c r="B1610" s="162"/>
      <c r="C1610" s="162"/>
      <c r="D1610" s="162"/>
      <c r="E1610" s="162"/>
      <c r="F1610" s="162"/>
      <c r="G1610" s="162"/>
      <c r="H1610" s="162"/>
      <c r="I1610" s="162"/>
      <c r="J1610" s="162"/>
      <c r="K1610" s="162"/>
      <c r="L1610" s="162"/>
      <c r="M1610" s="162"/>
      <c r="R1610" s="157"/>
      <c r="S1610" s="157"/>
    </row>
    <row r="1611" spans="2:19">
      <c r="C1611" s="260" t="s">
        <v>209</v>
      </c>
      <c r="G1611" s="167"/>
      <c r="I1611" s="167"/>
      <c r="R1611" s="157"/>
      <c r="S1611" s="157"/>
    </row>
    <row r="1612" spans="2:19">
      <c r="C1612" s="579" t="s">
        <v>420</v>
      </c>
      <c r="D1612" s="579"/>
      <c r="E1612" s="579"/>
      <c r="F1612" s="579"/>
      <c r="G1612" s="579"/>
      <c r="H1612" s="579"/>
      <c r="I1612" s="579"/>
      <c r="J1612" s="579"/>
      <c r="K1612" s="579"/>
      <c r="L1612" s="579"/>
      <c r="M1612" s="579"/>
      <c r="R1612" s="157"/>
      <c r="S1612" s="157"/>
    </row>
    <row r="1613" spans="2:19" ht="15">
      <c r="C1613" s="125" t="s">
        <v>477</v>
      </c>
      <c r="H1613" s="338" t="e">
        <f>H1183</f>
        <v>#DIV/0!</v>
      </c>
      <c r="I1613" s="133" t="s">
        <v>71</v>
      </c>
      <c r="J1613" s="336" t="e">
        <f>J1183</f>
        <v>#DIV/0!</v>
      </c>
      <c r="K1613" s="176" t="e">
        <f>"k-in = "&amp;FIXED(J1613/12,2)&amp;" k-ft"</f>
        <v>#DIV/0!</v>
      </c>
      <c r="R1613" s="157"/>
      <c r="S1613" s="157"/>
    </row>
    <row r="1614" spans="2:19">
      <c r="H1614" s="181"/>
      <c r="I1614" s="167"/>
      <c r="L1614" s="580"/>
      <c r="M1614" s="580"/>
      <c r="R1614" s="157"/>
      <c r="S1614" s="157"/>
    </row>
    <row r="1615" spans="2:19">
      <c r="C1615" s="260" t="s">
        <v>210</v>
      </c>
      <c r="D1615" s="153"/>
      <c r="E1615" s="153"/>
      <c r="F1615" s="334"/>
      <c r="G1615" s="176"/>
      <c r="H1615" s="176"/>
      <c r="I1615" s="176"/>
      <c r="R1615" s="157"/>
      <c r="S1615" s="157"/>
    </row>
    <row r="1616" spans="2:19" ht="15">
      <c r="C1616" s="125" t="s">
        <v>668</v>
      </c>
      <c r="I1616" s="176" t="e">
        <f>"("&amp;G930&amp;")("&amp;FIXED(J1613,1,TRUE)&amp;")"</f>
        <v>#DIV/0!</v>
      </c>
      <c r="R1616" s="157"/>
      <c r="S1616" s="157"/>
    </row>
    <row r="1617" spans="1:19" ht="15">
      <c r="C1617" s="133" t="s">
        <v>211</v>
      </c>
      <c r="D1617" s="336" t="e">
        <f>G930*J1613</f>
        <v>#DIV/0!</v>
      </c>
      <c r="E1617" s="176" t="s">
        <v>164</v>
      </c>
      <c r="I1617" s="167"/>
      <c r="R1617" s="157"/>
      <c r="S1617" s="157"/>
    </row>
    <row r="1618" spans="1:19" ht="15">
      <c r="C1618" s="133" t="s">
        <v>211</v>
      </c>
      <c r="D1618" s="228" t="e">
        <f>D1617/12</f>
        <v>#DIV/0!</v>
      </c>
      <c r="E1618" s="125" t="s">
        <v>830</v>
      </c>
      <c r="I1618" s="167"/>
      <c r="R1618" s="157"/>
      <c r="S1618" s="157"/>
    </row>
    <row r="1619" spans="1:19">
      <c r="I1619" s="167"/>
      <c r="R1619" s="157"/>
      <c r="S1619" s="157"/>
    </row>
    <row r="1620" spans="1:19">
      <c r="B1620" s="260" t="s">
        <v>786</v>
      </c>
      <c r="C1620" s="153"/>
      <c r="D1620" s="153"/>
      <c r="E1620" s="153"/>
      <c r="F1620" s="153"/>
      <c r="G1620" s="153"/>
      <c r="H1620" s="153"/>
      <c r="I1620" s="153"/>
      <c r="J1620" s="153"/>
      <c r="K1620" s="153"/>
      <c r="L1620" s="153"/>
      <c r="M1620" s="153"/>
      <c r="R1620" s="157"/>
      <c r="S1620" s="157"/>
    </row>
    <row r="1621" spans="1:19">
      <c r="B1621" s="578" t="s">
        <v>409</v>
      </c>
      <c r="C1621" s="578"/>
      <c r="D1621" s="578"/>
      <c r="E1621" s="578"/>
      <c r="F1621" s="578"/>
      <c r="G1621" s="578"/>
      <c r="H1621" s="578"/>
      <c r="I1621" s="578"/>
      <c r="J1621" s="578"/>
      <c r="K1621" s="578"/>
      <c r="L1621" s="578"/>
      <c r="M1621" s="578"/>
      <c r="R1621" s="157"/>
      <c r="S1621" s="157"/>
    </row>
    <row r="1622" spans="1:19" ht="15">
      <c r="B1622" s="125" t="s">
        <v>207</v>
      </c>
      <c r="C1622" s="153"/>
      <c r="D1622" s="153"/>
      <c r="E1622" s="153"/>
      <c r="F1622" s="153"/>
      <c r="G1622" s="153"/>
      <c r="H1622" s="153"/>
      <c r="I1622" s="153"/>
      <c r="J1622" s="153"/>
      <c r="K1622" s="153"/>
      <c r="L1622" s="153"/>
      <c r="M1622" s="153"/>
      <c r="R1622" s="157"/>
      <c r="S1622" s="157"/>
    </row>
    <row r="1623" spans="1:19" ht="15">
      <c r="B1623" s="125" t="s">
        <v>208</v>
      </c>
      <c r="C1623" s="153"/>
      <c r="D1623" s="153"/>
      <c r="E1623" s="153"/>
      <c r="F1623" s="153"/>
      <c r="G1623" s="153"/>
      <c r="H1623" s="153"/>
      <c r="I1623" s="153"/>
      <c r="J1623" s="153"/>
      <c r="K1623" s="153"/>
      <c r="L1623" s="153"/>
      <c r="M1623" s="153"/>
      <c r="R1623" s="157"/>
      <c r="S1623" s="157"/>
    </row>
    <row r="1624" spans="1:19" ht="15">
      <c r="B1624" s="174" t="s">
        <v>90</v>
      </c>
      <c r="D1624" s="167" t="e">
        <f>FIXED(G799,1,TRUE)&amp;"/"&amp;FIXED(+D1606,1,TRUE)&amp;" = "</f>
        <v>#DIV/0!</v>
      </c>
      <c r="F1624" s="186" t="e">
        <f>G799/D1606</f>
        <v>#DIV/0!</v>
      </c>
      <c r="G1624" s="153"/>
      <c r="H1624" s="153"/>
      <c r="I1624" s="153"/>
      <c r="J1624" s="153"/>
      <c r="K1624" s="153"/>
      <c r="L1624" s="153"/>
      <c r="M1624" s="153"/>
      <c r="R1624" s="157"/>
      <c r="S1624" s="157"/>
    </row>
    <row r="1625" spans="1:19">
      <c r="B1625" s="125" t="s">
        <v>91</v>
      </c>
      <c r="C1625" s="153"/>
      <c r="D1625" s="153"/>
      <c r="F1625" s="174" t="e">
        <f>IF(F1624&lt;0.2,FIXED(G799,1,TRUE)&amp;"/(2*"&amp;FIXED(D1606,1,TRUE)&amp;") + "&amp;ScourMomStr&amp;"/"&amp;FIXED(D1618,2,TRUE)&amp;" =",FIXED(G799,1,TRUE)&amp;"/"&amp;FIXED(D1606,1,TRUE)&amp;" + (8.0/9.0)("&amp;ScourMomStr&amp;"/"&amp;FIXED(D1618,2,TRUE)&amp;") =")</f>
        <v>#DIV/0!</v>
      </c>
      <c r="G1625" s="162"/>
      <c r="H1625" s="153"/>
      <c r="I1625" s="167" t="e">
        <f>IF(F1624&lt;0.2,G799/D1606/2+ScourMomStr/D1618,G799/D1606+(8/9)*(ScourMomStr/D1618))</f>
        <v>#DIV/0!</v>
      </c>
      <c r="J1625" s="187" t="e">
        <f>IF(I1625&gt;1.0049,"&gt; 1.0 NG","&lt; 1.00 OK")</f>
        <v>#DIV/0!</v>
      </c>
      <c r="K1625" s="153"/>
      <c r="L1625" s="153"/>
      <c r="M1625" s="153"/>
      <c r="R1625" s="157"/>
      <c r="S1625" s="157"/>
    </row>
    <row r="1626" spans="1:19">
      <c r="C1626" s="473"/>
      <c r="D1626" s="473"/>
      <c r="F1626" s="474"/>
      <c r="G1626" s="472"/>
      <c r="H1626" s="473"/>
      <c r="I1626" s="167"/>
      <c r="J1626" s="475"/>
      <c r="K1626" s="473"/>
      <c r="L1626" s="473"/>
      <c r="M1626" s="473"/>
      <c r="R1626" s="157"/>
      <c r="S1626" s="157"/>
    </row>
    <row r="1627" spans="1:19">
      <c r="C1627" s="330" t="e">
        <f>IF(I1625&gt;1.0049,"Error - "&amp;FIXED(I1625,2,TRUE)&amp;" &gt; 1.00  - Increase the number of piles or change the pile section - push ctrl-a","")</f>
        <v>#DIV/0!</v>
      </c>
      <c r="R1627" s="157" t="e">
        <f>IF(ScourReqd="N",0,IF(piletype="H",0,IF(LEFT(C1627,5)="Error",1,0)))</f>
        <v>#DIV/0!</v>
      </c>
      <c r="S1627" s="157" t="e">
        <f>IF(ScourReqd="N",0,IF(piletype="H",0,IF(LEFT(C1627,5)="Warni",1,0)))</f>
        <v>#DIV/0!</v>
      </c>
    </row>
    <row r="1628" spans="1:19">
      <c r="E1628" s="216"/>
      <c r="R1628" s="157"/>
      <c r="S1628" s="157"/>
    </row>
    <row r="1629" spans="1:19" ht="13.15">
      <c r="A1629" s="253" t="s">
        <v>882</v>
      </c>
      <c r="E1629" s="216"/>
      <c r="R1629" s="157"/>
      <c r="S1629" s="157"/>
    </row>
    <row r="1630" spans="1:19" s="170" customFormat="1">
      <c r="E1630" s="360"/>
      <c r="R1630" s="157"/>
      <c r="S1630" s="157"/>
    </row>
    <row r="1631" spans="1:19">
      <c r="B1631" s="260" t="s">
        <v>653</v>
      </c>
      <c r="C1631" s="153"/>
      <c r="D1631" s="153"/>
      <c r="E1631" s="153"/>
      <c r="F1631" s="153"/>
      <c r="G1631" s="153"/>
      <c r="H1631" s="153"/>
      <c r="I1631" s="153"/>
      <c r="J1631" s="153"/>
      <c r="K1631" s="153"/>
      <c r="L1631" s="153"/>
      <c r="M1631" s="153"/>
      <c r="R1631" s="157"/>
      <c r="S1631" s="157"/>
    </row>
    <row r="1632" spans="1:19">
      <c r="B1632" s="316" t="s">
        <v>655</v>
      </c>
      <c r="C1632" s="153"/>
      <c r="D1632" s="153"/>
      <c r="E1632" s="153"/>
      <c r="F1632" s="153"/>
      <c r="G1632" s="153"/>
      <c r="H1632" s="153"/>
      <c r="I1632" s="153"/>
      <c r="J1632" s="153"/>
      <c r="K1632" s="153"/>
      <c r="L1632" s="153"/>
      <c r="M1632" s="153"/>
      <c r="R1632" s="157"/>
      <c r="S1632" s="157"/>
    </row>
    <row r="1633" spans="2:19">
      <c r="B1633" s="153"/>
      <c r="C1633" s="260"/>
      <c r="D1633" s="153"/>
      <c r="E1633" s="153"/>
      <c r="F1633" s="153"/>
      <c r="G1633" s="153"/>
      <c r="H1633" s="153"/>
      <c r="I1633" s="153"/>
      <c r="J1633" s="153"/>
      <c r="K1633" s="153"/>
      <c r="L1633" s="153"/>
      <c r="M1633" s="153"/>
      <c r="R1633" s="157"/>
      <c r="S1633" s="157"/>
    </row>
    <row r="1634" spans="2:19">
      <c r="B1634" s="153"/>
      <c r="C1634" s="260" t="s">
        <v>497</v>
      </c>
      <c r="D1634" s="153"/>
      <c r="E1634" s="153"/>
      <c r="F1634" s="153"/>
      <c r="G1634" s="153"/>
      <c r="H1634" s="153"/>
      <c r="I1634" s="153"/>
      <c r="J1634" s="153"/>
      <c r="K1634" s="153"/>
      <c r="L1634" s="153"/>
      <c r="M1634" s="153"/>
      <c r="R1634" s="157"/>
      <c r="S1634" s="157"/>
    </row>
    <row r="1635" spans="2:19">
      <c r="B1635" s="153"/>
      <c r="C1635" s="316" t="s">
        <v>656</v>
      </c>
      <c r="D1635" s="153"/>
      <c r="E1635" s="153"/>
      <c r="F1635" s="153"/>
      <c r="G1635" s="153"/>
      <c r="H1635" s="153"/>
      <c r="I1635" s="153"/>
      <c r="J1635" s="153"/>
      <c r="K1635" s="153"/>
      <c r="L1635" s="153"/>
      <c r="M1635" s="153"/>
      <c r="R1635" s="157"/>
      <c r="S1635" s="157"/>
    </row>
    <row r="1636" spans="2:19" ht="15.4">
      <c r="B1636" s="153"/>
      <c r="C1636" s="13" t="s">
        <v>664</v>
      </c>
      <c r="D1636" s="153"/>
      <c r="E1636" s="153"/>
      <c r="F1636" s="153"/>
      <c r="G1636" s="153"/>
      <c r="H1636" s="153"/>
      <c r="I1636" s="153"/>
      <c r="J1636" s="153"/>
      <c r="K1636" s="153"/>
      <c r="L1636" s="153"/>
      <c r="M1636" s="153"/>
      <c r="R1636" s="157"/>
      <c r="S1636" s="157"/>
    </row>
    <row r="1637" spans="2:19" ht="15">
      <c r="B1637" s="153"/>
      <c r="C1637" s="13" t="s">
        <v>665</v>
      </c>
      <c r="D1637" s="153"/>
      <c r="E1637" s="153"/>
      <c r="F1637" s="153"/>
      <c r="G1637" s="153"/>
      <c r="H1637" s="153"/>
      <c r="I1637" s="153"/>
      <c r="J1637" s="153"/>
      <c r="K1637" s="153"/>
      <c r="L1637" s="153"/>
      <c r="M1637" s="153"/>
      <c r="R1637" s="157"/>
      <c r="S1637" s="157"/>
    </row>
    <row r="1638" spans="2:19">
      <c r="B1638" s="153"/>
      <c r="C1638" s="153"/>
      <c r="D1638" s="153"/>
      <c r="E1638" s="153"/>
      <c r="F1638" s="153"/>
      <c r="G1638" s="153"/>
      <c r="H1638" s="153"/>
      <c r="I1638" s="153"/>
      <c r="J1638" s="153"/>
      <c r="K1638" s="153"/>
      <c r="L1638" s="153"/>
      <c r="M1638" s="153"/>
      <c r="R1638" s="157"/>
      <c r="S1638" s="157"/>
    </row>
    <row r="1639" spans="2:19">
      <c r="B1639" s="153"/>
      <c r="C1639" s="588" t="s">
        <v>944</v>
      </c>
      <c r="D1639" s="577"/>
      <c r="E1639" s="577"/>
      <c r="F1639" s="577"/>
      <c r="G1639" s="577"/>
      <c r="H1639" s="577"/>
      <c r="I1639" s="577"/>
      <c r="J1639" s="577"/>
      <c r="K1639" s="577"/>
      <c r="L1639" s="577"/>
      <c r="M1639" s="577"/>
      <c r="R1639" s="157"/>
      <c r="S1639" s="157"/>
    </row>
    <row r="1640" spans="2:19">
      <c r="B1640" s="153"/>
      <c r="C1640" s="577"/>
      <c r="D1640" s="577"/>
      <c r="E1640" s="577"/>
      <c r="F1640" s="577"/>
      <c r="G1640" s="577"/>
      <c r="H1640" s="577"/>
      <c r="I1640" s="577"/>
      <c r="J1640" s="577"/>
      <c r="K1640" s="577"/>
      <c r="L1640" s="577"/>
      <c r="M1640" s="577"/>
      <c r="R1640" s="157"/>
      <c r="S1640" s="157"/>
    </row>
    <row r="1641" spans="2:19">
      <c r="B1641" s="153"/>
      <c r="C1641" s="254"/>
      <c r="D1641" s="254"/>
      <c r="E1641" s="254"/>
      <c r="F1641" s="254"/>
      <c r="G1641" s="254"/>
      <c r="H1641" s="254"/>
      <c r="I1641" s="254"/>
      <c r="J1641" s="254"/>
      <c r="K1641" s="254"/>
      <c r="L1641" s="254"/>
      <c r="M1641" s="254"/>
      <c r="R1641" s="157"/>
      <c r="S1641" s="157"/>
    </row>
    <row r="1642" spans="2:19" ht="15">
      <c r="B1642" s="153"/>
      <c r="C1642" s="174" t="s">
        <v>150</v>
      </c>
      <c r="E1642" s="153"/>
      <c r="F1642" s="153"/>
      <c r="I1642" s="153"/>
      <c r="J1642" s="153"/>
      <c r="K1642" s="153"/>
      <c r="L1642" s="153"/>
      <c r="M1642" s="153"/>
      <c r="R1642" s="157"/>
      <c r="S1642" s="157"/>
    </row>
    <row r="1643" spans="2:19">
      <c r="B1643" s="153"/>
      <c r="C1643" s="133" t="s">
        <v>149</v>
      </c>
      <c r="D1643" s="356">
        <f>ScourFixityServ</f>
        <v>0</v>
      </c>
      <c r="E1643" s="125" t="str">
        <f>"in = "&amp;FIXED(D1643/12,2)&amp;" ft"</f>
        <v>in = 0.00 ft</v>
      </c>
      <c r="F1643" s="153"/>
      <c r="G1643" s="177"/>
      <c r="I1643" s="153"/>
      <c r="J1643" s="153"/>
      <c r="K1643" s="153"/>
      <c r="L1643" s="153"/>
      <c r="M1643" s="153"/>
      <c r="R1643" s="157"/>
      <c r="S1643" s="157"/>
    </row>
    <row r="1644" spans="2:19">
      <c r="B1644" s="153"/>
      <c r="D1644" s="153"/>
      <c r="E1644" s="153"/>
      <c r="F1644" s="153"/>
      <c r="G1644" s="153"/>
      <c r="I1644" s="153"/>
      <c r="J1644" s="153"/>
      <c r="K1644" s="153"/>
      <c r="L1644" s="153"/>
      <c r="M1644" s="153"/>
      <c r="R1644" s="157"/>
      <c r="S1644" s="157"/>
    </row>
    <row r="1645" spans="2:19" ht="15">
      <c r="B1645" s="153"/>
      <c r="C1645" s="187" t="s">
        <v>661</v>
      </c>
      <c r="J1645" s="153"/>
      <c r="K1645" s="153"/>
      <c r="L1645" s="153"/>
      <c r="M1645" s="153"/>
      <c r="R1645" s="157"/>
      <c r="S1645" s="157"/>
    </row>
    <row r="1646" spans="2:19" ht="15">
      <c r="B1646" s="153"/>
      <c r="C1646" s="183" t="s">
        <v>659</v>
      </c>
      <c r="D1646" s="228" t="e">
        <f>D1593</f>
        <v>#DIV/0!</v>
      </c>
      <c r="E1646" s="125" t="s">
        <v>418</v>
      </c>
      <c r="G1646" s="131"/>
      <c r="I1646" s="153"/>
      <c r="J1646" s="153"/>
      <c r="K1646" s="153"/>
      <c r="L1646" s="153"/>
      <c r="M1646" s="153"/>
      <c r="R1646" s="157"/>
      <c r="S1646" s="157"/>
    </row>
    <row r="1647" spans="2:19">
      <c r="B1647" s="153"/>
      <c r="C1647" s="228"/>
      <c r="D1647" s="317"/>
      <c r="G1647" s="131"/>
      <c r="I1647" s="153"/>
      <c r="J1647" s="153"/>
      <c r="K1647" s="153"/>
      <c r="L1647" s="153"/>
      <c r="M1647" s="153"/>
      <c r="R1647" s="157"/>
      <c r="S1647" s="157"/>
    </row>
    <row r="1648" spans="2:19" ht="15">
      <c r="B1648" s="153"/>
      <c r="C1648" s="187" t="s">
        <v>662</v>
      </c>
      <c r="D1648" s="131"/>
      <c r="E1648" s="153"/>
      <c r="F1648" s="153"/>
      <c r="I1648" s="153"/>
      <c r="K1648" s="153"/>
      <c r="L1648" s="153"/>
      <c r="M1648" s="153"/>
      <c r="R1648" s="157"/>
      <c r="S1648" s="157"/>
    </row>
    <row r="1649" spans="2:19" ht="15">
      <c r="B1649" s="153"/>
      <c r="C1649" s="183" t="s">
        <v>660</v>
      </c>
      <c r="D1649" s="336" t="e">
        <f>29000*(1+(0.4/n)*(Ac/As))</f>
        <v>#DIV/0!</v>
      </c>
      <c r="E1649" s="125" t="s">
        <v>418</v>
      </c>
      <c r="I1649" s="153"/>
      <c r="J1649" s="334"/>
      <c r="K1649" s="153"/>
      <c r="L1649" s="153"/>
      <c r="M1649" s="153"/>
      <c r="R1649" s="157"/>
      <c r="S1649" s="157"/>
    </row>
    <row r="1650" spans="2:19">
      <c r="J1650" s="189"/>
      <c r="R1650" s="157"/>
      <c r="S1650" s="157"/>
    </row>
    <row r="1651" spans="2:19" ht="15.4">
      <c r="C1651" s="335" t="s">
        <v>663</v>
      </c>
      <c r="H1651" s="334" t="e">
        <f>"[(0.65*"&amp;FIXED(D1643,0)&amp;")/("&amp;FIXED(pilegyration,2,TRUE)&amp;"*"&amp;FIXED(PI(),3,TRUE)&amp;")]^2 ("&amp;FIXED(D1646,2,TRUE)&amp;"/"&amp;FIXED(D1649,2,TRUE)&amp;") ="</f>
        <v>#DIV/0!</v>
      </c>
      <c r="I1651" s="288" t="e">
        <f>((0.65*D1643/(pilegyration*PI()))^2)*(D1646/D1649)</f>
        <v>#DIV/0!</v>
      </c>
      <c r="J1651" s="189"/>
      <c r="R1651" s="157"/>
      <c r="S1651" s="157"/>
    </row>
    <row r="1652" spans="2:19">
      <c r="J1652" s="189"/>
      <c r="R1652" s="157"/>
      <c r="S1652" s="157"/>
    </row>
    <row r="1653" spans="2:19" ht="15">
      <c r="C1653" s="125" t="s">
        <v>666</v>
      </c>
      <c r="G1653" s="125" t="e">
        <f>IF(I1651&gt;2.25,"(0.88)("&amp;FIXED(D1646,2,TRUE)&amp;")("&amp;FIXED(As,2,TRUE)&amp;")/("&amp;FIXED(I1651,3,TRUE)&amp;")","(0.66^"&amp;FIXED(I1651,3,TRUE)&amp;")("&amp;FIXED(D1646,2,TRUE)&amp;")("&amp;FIXED(As,2,TRUE)&amp;")")&amp;IF(I1651&gt;2.25," per AASHTO Equation 6.9.5.1-2"," per AASHTO Equation 6.9.5.1-1")</f>
        <v>#DIV/0!</v>
      </c>
      <c r="R1653" s="157"/>
      <c r="S1653" s="157"/>
    </row>
    <row r="1654" spans="2:19" ht="15">
      <c r="C1654" s="133" t="s">
        <v>496</v>
      </c>
      <c r="D1654" s="228" t="e">
        <f>IF(I1651&gt;2.25,0.88*D1646*As/I1651,(0.66^I1651)*D1646*As)</f>
        <v>#DIV/0!</v>
      </c>
      <c r="E1654" s="125" t="s">
        <v>338</v>
      </c>
      <c r="R1654" s="157"/>
      <c r="S1654" s="157"/>
    </row>
    <row r="1655" spans="2:19">
      <c r="C1655" s="133"/>
      <c r="D1655" s="336"/>
      <c r="R1655" s="157"/>
      <c r="S1655" s="157"/>
    </row>
    <row r="1656" spans="2:19">
      <c r="C1656" s="260" t="s">
        <v>499</v>
      </c>
      <c r="D1656" s="153"/>
      <c r="E1656" s="153"/>
      <c r="F1656" s="153"/>
      <c r="G1656" s="153"/>
      <c r="H1656" s="153"/>
      <c r="I1656" s="153"/>
      <c r="R1656" s="157"/>
      <c r="S1656" s="157"/>
    </row>
    <row r="1657" spans="2:19">
      <c r="C1657" s="284" t="s">
        <v>152</v>
      </c>
      <c r="D1657" s="153"/>
      <c r="E1657" s="153"/>
      <c r="F1657" s="153"/>
      <c r="G1657" s="153"/>
      <c r="H1657" s="153"/>
      <c r="I1657" s="153"/>
      <c r="R1657" s="157"/>
      <c r="S1657" s="157"/>
    </row>
    <row r="1658" spans="2:19" ht="15">
      <c r="C1658" s="125" t="s">
        <v>667</v>
      </c>
      <c r="F1658" s="153"/>
      <c r="G1658" s="153"/>
      <c r="I1658" s="222" t="e">
        <f>"(1.0)("&amp;FIXED(D1654,2,TRUE)&amp;") "</f>
        <v>#DIV/0!</v>
      </c>
      <c r="R1658" s="157"/>
      <c r="S1658" s="157"/>
    </row>
    <row r="1659" spans="2:19" ht="15">
      <c r="C1659" s="516" t="s">
        <v>932</v>
      </c>
      <c r="F1659" s="519"/>
      <c r="G1659" s="519"/>
      <c r="I1659" s="520"/>
      <c r="R1659" s="157"/>
      <c r="S1659" s="157"/>
    </row>
    <row r="1660" spans="2:19" ht="15">
      <c r="C1660" s="133" t="s">
        <v>501</v>
      </c>
      <c r="D1660" s="228" t="e">
        <f>1*D1654</f>
        <v>#DIV/0!</v>
      </c>
      <c r="E1660" s="125" t="s">
        <v>338</v>
      </c>
      <c r="F1660" s="153"/>
      <c r="G1660" s="153"/>
      <c r="H1660" s="153"/>
      <c r="I1660" s="153"/>
      <c r="R1660" s="157"/>
      <c r="S1660" s="157"/>
    </row>
    <row r="1661" spans="2:19">
      <c r="I1661" s="180"/>
      <c r="J1661" s="131"/>
      <c r="R1661" s="157"/>
      <c r="S1661" s="157"/>
    </row>
    <row r="1662" spans="2:19">
      <c r="B1662" s="260" t="s">
        <v>669</v>
      </c>
      <c r="I1662" s="180"/>
      <c r="J1662" s="131"/>
      <c r="R1662" s="157"/>
      <c r="S1662" s="157"/>
    </row>
    <row r="1663" spans="2:19">
      <c r="B1663" s="578" t="s">
        <v>419</v>
      </c>
      <c r="C1663" s="578"/>
      <c r="D1663" s="578"/>
      <c r="E1663" s="578"/>
      <c r="F1663" s="578"/>
      <c r="G1663" s="578"/>
      <c r="H1663" s="578"/>
      <c r="I1663" s="578"/>
      <c r="J1663" s="578"/>
      <c r="K1663" s="578"/>
      <c r="L1663" s="578"/>
      <c r="M1663" s="578"/>
      <c r="R1663" s="157"/>
      <c r="S1663" s="157"/>
    </row>
    <row r="1664" spans="2:19">
      <c r="B1664" s="162"/>
      <c r="C1664" s="162"/>
      <c r="D1664" s="162"/>
      <c r="E1664" s="162"/>
      <c r="F1664" s="162"/>
      <c r="G1664" s="162"/>
      <c r="H1664" s="162"/>
      <c r="I1664" s="162"/>
      <c r="J1664" s="162"/>
      <c r="K1664" s="162"/>
      <c r="L1664" s="162"/>
      <c r="M1664" s="162"/>
      <c r="R1664" s="157"/>
      <c r="S1664" s="157"/>
    </row>
    <row r="1665" spans="2:19">
      <c r="C1665" s="260" t="s">
        <v>209</v>
      </c>
      <c r="G1665" s="167"/>
      <c r="I1665" s="167"/>
      <c r="R1665" s="157"/>
      <c r="S1665" s="157"/>
    </row>
    <row r="1666" spans="2:19">
      <c r="C1666" s="579" t="s">
        <v>420</v>
      </c>
      <c r="D1666" s="579"/>
      <c r="E1666" s="579"/>
      <c r="F1666" s="579"/>
      <c r="G1666" s="579"/>
      <c r="H1666" s="579"/>
      <c r="I1666" s="579"/>
      <c r="J1666" s="579"/>
      <c r="K1666" s="579"/>
      <c r="L1666" s="579"/>
      <c r="M1666" s="579"/>
      <c r="R1666" s="157"/>
      <c r="S1666" s="157"/>
    </row>
    <row r="1667" spans="2:19" ht="15">
      <c r="C1667" s="125" t="s">
        <v>477</v>
      </c>
      <c r="H1667" s="338" t="e">
        <f>H1183</f>
        <v>#DIV/0!</v>
      </c>
      <c r="I1667" s="133" t="s">
        <v>71</v>
      </c>
      <c r="J1667" s="336" t="e">
        <f>J1613</f>
        <v>#DIV/0!</v>
      </c>
      <c r="K1667" s="176" t="e">
        <f>"k-in = "&amp;FIXED(J1667/12,2)&amp;" k-ft"</f>
        <v>#DIV/0!</v>
      </c>
      <c r="R1667" s="157"/>
      <c r="S1667" s="157"/>
    </row>
    <row r="1668" spans="2:19">
      <c r="H1668" s="181"/>
      <c r="I1668" s="167"/>
      <c r="L1668" s="580"/>
      <c r="M1668" s="580"/>
      <c r="R1668" s="157"/>
      <c r="S1668" s="157"/>
    </row>
    <row r="1669" spans="2:19">
      <c r="C1669" s="260" t="s">
        <v>210</v>
      </c>
      <c r="D1669" s="153"/>
      <c r="E1669" s="153"/>
      <c r="F1669" s="334"/>
      <c r="G1669" s="176"/>
      <c r="H1669" s="176"/>
      <c r="I1669" s="176"/>
      <c r="R1669" s="157"/>
      <c r="S1669" s="157"/>
    </row>
    <row r="1670" spans="2:19">
      <c r="C1670" s="284" t="s">
        <v>152</v>
      </c>
      <c r="D1670" s="153"/>
      <c r="E1670" s="153"/>
      <c r="F1670" s="334"/>
      <c r="G1670" s="176"/>
      <c r="H1670" s="176"/>
      <c r="I1670" s="176"/>
      <c r="R1670" s="157"/>
      <c r="S1670" s="157"/>
    </row>
    <row r="1671" spans="2:19" ht="15">
      <c r="C1671" s="125" t="s">
        <v>668</v>
      </c>
      <c r="I1671" s="176" t="e">
        <f>"(1.0)("&amp;FIXED(J1667,1,TRUE)&amp;")"</f>
        <v>#DIV/0!</v>
      </c>
      <c r="R1671" s="157"/>
      <c r="S1671" s="157"/>
    </row>
    <row r="1672" spans="2:19" ht="15">
      <c r="C1672" s="133" t="s">
        <v>211</v>
      </c>
      <c r="D1672" s="336" t="e">
        <f>1*J1667</f>
        <v>#DIV/0!</v>
      </c>
      <c r="E1672" s="176" t="s">
        <v>255</v>
      </c>
      <c r="I1672" s="167"/>
      <c r="R1672" s="157"/>
      <c r="S1672" s="157"/>
    </row>
    <row r="1673" spans="2:19" ht="15">
      <c r="C1673" s="133" t="s">
        <v>211</v>
      </c>
      <c r="D1673" s="228" t="e">
        <f>D1672/12</f>
        <v>#DIV/0!</v>
      </c>
      <c r="E1673" s="125" t="s">
        <v>830</v>
      </c>
      <c r="I1673" s="167"/>
      <c r="R1673" s="157"/>
      <c r="S1673" s="157"/>
    </row>
    <row r="1674" spans="2:19">
      <c r="I1674" s="167"/>
      <c r="R1674" s="157"/>
      <c r="S1674" s="157"/>
    </row>
    <row r="1675" spans="2:19">
      <c r="B1675" s="260" t="s">
        <v>786</v>
      </c>
      <c r="C1675" s="153"/>
      <c r="D1675" s="153"/>
      <c r="E1675" s="153"/>
      <c r="F1675" s="153"/>
      <c r="G1675" s="153"/>
      <c r="H1675" s="153"/>
      <c r="I1675" s="153"/>
      <c r="J1675" s="153"/>
      <c r="K1675" s="153"/>
      <c r="L1675" s="153"/>
      <c r="M1675" s="153"/>
      <c r="R1675" s="157"/>
      <c r="S1675" s="157"/>
    </row>
    <row r="1676" spans="2:19">
      <c r="B1676" s="578" t="s">
        <v>409</v>
      </c>
      <c r="C1676" s="578"/>
      <c r="D1676" s="578"/>
      <c r="E1676" s="578"/>
      <c r="F1676" s="578"/>
      <c r="G1676" s="578"/>
      <c r="H1676" s="578"/>
      <c r="I1676" s="578"/>
      <c r="J1676" s="578"/>
      <c r="K1676" s="578"/>
      <c r="L1676" s="578"/>
      <c r="M1676" s="578"/>
      <c r="R1676" s="157"/>
      <c r="S1676" s="157"/>
    </row>
    <row r="1677" spans="2:19" ht="15">
      <c r="B1677" s="125" t="s">
        <v>207</v>
      </c>
      <c r="C1677" s="153"/>
      <c r="D1677" s="153"/>
      <c r="E1677" s="153"/>
      <c r="F1677" s="153"/>
      <c r="G1677" s="153"/>
      <c r="H1677" s="153"/>
      <c r="I1677" s="153"/>
      <c r="J1677" s="153"/>
      <c r="K1677" s="153"/>
      <c r="L1677" s="153"/>
      <c r="M1677" s="153"/>
      <c r="R1677" s="157"/>
      <c r="S1677" s="157"/>
    </row>
    <row r="1678" spans="2:19" ht="15">
      <c r="B1678" s="125" t="s">
        <v>208</v>
      </c>
      <c r="C1678" s="153"/>
      <c r="D1678" s="153"/>
      <c r="E1678" s="153"/>
      <c r="F1678" s="153"/>
      <c r="G1678" s="153"/>
      <c r="H1678" s="153"/>
      <c r="I1678" s="153"/>
      <c r="J1678" s="153"/>
      <c r="K1678" s="153"/>
      <c r="L1678" s="153"/>
      <c r="M1678" s="153"/>
      <c r="R1678" s="157"/>
      <c r="S1678" s="157"/>
    </row>
    <row r="1679" spans="2:19" ht="15">
      <c r="B1679" s="174" t="s">
        <v>90</v>
      </c>
      <c r="D1679" s="167" t="e">
        <f>FIXED(H1354,1,TRUE)&amp;"/"&amp;FIXED(+D1660,1,TRUE)&amp;" = "</f>
        <v>#DIV/0!</v>
      </c>
      <c r="F1679" s="186" t="e">
        <f>H1354/D1660</f>
        <v>#DIV/0!</v>
      </c>
      <c r="G1679" s="153"/>
      <c r="H1679" s="153"/>
      <c r="I1679" s="153"/>
      <c r="J1679" s="153"/>
      <c r="K1679" s="153"/>
      <c r="L1679" s="153"/>
      <c r="M1679" s="153"/>
      <c r="R1679" s="157"/>
      <c r="S1679" s="157"/>
    </row>
    <row r="1680" spans="2:19">
      <c r="B1680" s="125" t="s">
        <v>91</v>
      </c>
      <c r="C1680" s="153"/>
      <c r="D1680" s="153"/>
      <c r="F1680" s="174" t="e">
        <f>IF(F1679&lt;0.2,FIXED(H1354,1,TRUE)&amp;"/(2*"&amp;FIXED(D1660,1,TRUE)&amp;") + "&amp;ScourMomServ&amp;"/"&amp;FIXED(D1673,2,TRUE)&amp;" =",FIXED(H1354,1,TRUE)&amp;"/"&amp;FIXED(D1660,1,TRUE)&amp;" + (8.0/9.0)("&amp;ScourMomServ&amp;"/"&amp;FIXED(D1673,2,TRUE)&amp;") =")</f>
        <v>#DIV/0!</v>
      </c>
      <c r="G1680" s="162"/>
      <c r="H1680" s="153"/>
      <c r="I1680" s="167" t="e">
        <f>IF(F1679&lt;0.2,H1354/D1660/2+ScourMomServ/D1673,H1354/D1660+(8/9)*(ScourMomServ/D1673))</f>
        <v>#DIV/0!</v>
      </c>
      <c r="J1680" s="187" t="e">
        <f>IF(I1680&gt;1.0049,"&gt; 1.0 NG","&lt; 1.00 OK")</f>
        <v>#DIV/0!</v>
      </c>
      <c r="K1680" s="153"/>
      <c r="L1680" s="153"/>
      <c r="M1680" s="153"/>
      <c r="R1680" s="157"/>
      <c r="S1680" s="157"/>
    </row>
    <row r="1681" spans="1:19">
      <c r="C1681" s="418"/>
      <c r="D1681" s="418"/>
      <c r="F1681" s="413"/>
      <c r="G1681" s="414"/>
      <c r="H1681" s="418"/>
      <c r="I1681" s="167"/>
      <c r="J1681" s="417"/>
      <c r="K1681" s="418"/>
      <c r="L1681" s="418"/>
      <c r="M1681" s="418"/>
      <c r="R1681" s="157"/>
      <c r="S1681" s="157"/>
    </row>
    <row r="1682" spans="1:19">
      <c r="C1682" s="330" t="e">
        <f>IF(I1680&gt;1.0049,"Error - "&amp;FIXED(I1680,2,TRUE)&amp;" &gt; 1.00  - Increase the number of piles or change the pile section - push ctrl-a","")</f>
        <v>#DIV/0!</v>
      </c>
      <c r="R1682" s="157" t="e">
        <f>IF(piletype="H",0,IF(LEFT(C1682,5)="Error",1,0))</f>
        <v>#DIV/0!</v>
      </c>
      <c r="S1682" s="157" t="e">
        <f>IF(piletype="H",0,IF(LEFT(C1682,5)="Warni",1,0))</f>
        <v>#DIV/0!</v>
      </c>
    </row>
    <row r="1683" spans="1:19">
      <c r="C1683" s="418"/>
      <c r="D1683" s="418"/>
      <c r="F1683" s="413"/>
      <c r="G1683" s="414"/>
      <c r="H1683" s="418"/>
      <c r="I1683" s="167"/>
      <c r="J1683" s="417"/>
      <c r="K1683" s="418"/>
      <c r="L1683" s="418"/>
      <c r="M1683" s="418"/>
      <c r="R1683" s="157"/>
      <c r="S1683" s="157"/>
    </row>
    <row r="1684" spans="1:19">
      <c r="E1684" s="216"/>
      <c r="R1684" s="157"/>
      <c r="S1684" s="157"/>
    </row>
    <row r="1685" spans="1:19" ht="13.15">
      <c r="A1685" s="253" t="s">
        <v>879</v>
      </c>
      <c r="E1685" s="216"/>
      <c r="R1685" s="157"/>
      <c r="S1685" s="157"/>
    </row>
    <row r="1686" spans="1:19" s="170" customFormat="1">
      <c r="E1686" s="360"/>
      <c r="R1686" s="157"/>
      <c r="S1686" s="157"/>
    </row>
    <row r="1687" spans="1:19">
      <c r="B1687" s="260" t="s">
        <v>653</v>
      </c>
      <c r="C1687" s="418"/>
      <c r="D1687" s="418"/>
      <c r="E1687" s="418"/>
      <c r="F1687" s="418"/>
      <c r="G1687" s="418"/>
      <c r="H1687" s="418"/>
      <c r="I1687" s="418"/>
      <c r="J1687" s="418"/>
      <c r="K1687" s="418"/>
      <c r="L1687" s="418"/>
      <c r="M1687" s="418"/>
      <c r="R1687" s="157"/>
      <c r="S1687" s="157"/>
    </row>
    <row r="1688" spans="1:19">
      <c r="B1688" s="316" t="s">
        <v>655</v>
      </c>
      <c r="C1688" s="418"/>
      <c r="D1688" s="418"/>
      <c r="E1688" s="418"/>
      <c r="F1688" s="418"/>
      <c r="G1688" s="418"/>
      <c r="H1688" s="418"/>
      <c r="I1688" s="418"/>
      <c r="J1688" s="418"/>
      <c r="K1688" s="418"/>
      <c r="L1688" s="418"/>
      <c r="M1688" s="418"/>
      <c r="R1688" s="157"/>
      <c r="S1688" s="157"/>
    </row>
    <row r="1689" spans="1:19">
      <c r="B1689" s="418"/>
      <c r="C1689" s="260"/>
      <c r="D1689" s="418"/>
      <c r="E1689" s="418"/>
      <c r="F1689" s="418"/>
      <c r="G1689" s="418"/>
      <c r="H1689" s="418"/>
      <c r="I1689" s="418"/>
      <c r="J1689" s="418"/>
      <c r="K1689" s="418"/>
      <c r="L1689" s="418"/>
      <c r="M1689" s="418"/>
      <c r="R1689" s="157"/>
      <c r="S1689" s="157"/>
    </row>
    <row r="1690" spans="1:19">
      <c r="B1690" s="418"/>
      <c r="C1690" s="260" t="s">
        <v>497</v>
      </c>
      <c r="D1690" s="418"/>
      <c r="E1690" s="418"/>
      <c r="F1690" s="418"/>
      <c r="G1690" s="418"/>
      <c r="H1690" s="418"/>
      <c r="I1690" s="418"/>
      <c r="J1690" s="418"/>
      <c r="K1690" s="418"/>
      <c r="L1690" s="418"/>
      <c r="M1690" s="418"/>
      <c r="R1690" s="157"/>
      <c r="S1690" s="157"/>
    </row>
    <row r="1691" spans="1:19">
      <c r="B1691" s="418"/>
      <c r="C1691" s="316" t="s">
        <v>656</v>
      </c>
      <c r="D1691" s="418"/>
      <c r="E1691" s="418"/>
      <c r="F1691" s="418"/>
      <c r="G1691" s="418"/>
      <c r="H1691" s="418"/>
      <c r="I1691" s="418"/>
      <c r="J1691" s="418"/>
      <c r="K1691" s="418"/>
      <c r="L1691" s="418"/>
      <c r="M1691" s="418"/>
      <c r="R1691" s="157"/>
      <c r="S1691" s="157"/>
    </row>
    <row r="1692" spans="1:19" ht="15.4">
      <c r="B1692" s="418"/>
      <c r="C1692" s="13" t="s">
        <v>664</v>
      </c>
      <c r="D1692" s="418"/>
      <c r="E1692" s="418"/>
      <c r="F1692" s="418"/>
      <c r="G1692" s="418"/>
      <c r="H1692" s="418"/>
      <c r="I1692" s="418"/>
      <c r="J1692" s="418"/>
      <c r="K1692" s="418"/>
      <c r="L1692" s="418"/>
      <c r="M1692" s="418"/>
      <c r="R1692" s="157"/>
      <c r="S1692" s="157"/>
    </row>
    <row r="1693" spans="1:19" ht="15">
      <c r="B1693" s="418"/>
      <c r="C1693" s="13" t="s">
        <v>665</v>
      </c>
      <c r="D1693" s="418"/>
      <c r="E1693" s="418"/>
      <c r="F1693" s="418"/>
      <c r="G1693" s="418"/>
      <c r="H1693" s="418"/>
      <c r="I1693" s="418"/>
      <c r="J1693" s="418"/>
      <c r="K1693" s="418"/>
      <c r="L1693" s="418"/>
      <c r="M1693" s="418"/>
      <c r="R1693" s="157"/>
      <c r="S1693" s="157"/>
    </row>
    <row r="1694" spans="1:19">
      <c r="B1694" s="418"/>
      <c r="C1694" s="418"/>
      <c r="D1694" s="418"/>
      <c r="E1694" s="418"/>
      <c r="F1694" s="418"/>
      <c r="G1694" s="418"/>
      <c r="H1694" s="418"/>
      <c r="I1694" s="418"/>
      <c r="J1694" s="418"/>
      <c r="K1694" s="418"/>
      <c r="L1694" s="418"/>
      <c r="M1694" s="418"/>
      <c r="R1694" s="157"/>
      <c r="S1694" s="157"/>
    </row>
    <row r="1695" spans="1:19">
      <c r="B1695" s="418"/>
      <c r="C1695" s="577" t="s">
        <v>868</v>
      </c>
      <c r="D1695" s="577"/>
      <c r="E1695" s="577"/>
      <c r="F1695" s="577"/>
      <c r="G1695" s="577"/>
      <c r="H1695" s="577"/>
      <c r="I1695" s="577"/>
      <c r="J1695" s="577"/>
      <c r="K1695" s="577"/>
      <c r="L1695" s="577"/>
      <c r="M1695" s="577"/>
      <c r="R1695" s="157"/>
      <c r="S1695" s="157"/>
    </row>
    <row r="1696" spans="1:19">
      <c r="B1696" s="418"/>
      <c r="C1696" s="577"/>
      <c r="D1696" s="577"/>
      <c r="E1696" s="577"/>
      <c r="F1696" s="577"/>
      <c r="G1696" s="577"/>
      <c r="H1696" s="577"/>
      <c r="I1696" s="577"/>
      <c r="J1696" s="577"/>
      <c r="K1696" s="577"/>
      <c r="L1696" s="577"/>
      <c r="M1696" s="577"/>
      <c r="R1696" s="157"/>
      <c r="S1696" s="157"/>
    </row>
    <row r="1697" spans="2:19">
      <c r="B1697" s="418"/>
      <c r="C1697" s="415"/>
      <c r="D1697" s="415"/>
      <c r="E1697" s="415"/>
      <c r="F1697" s="415"/>
      <c r="G1697" s="415"/>
      <c r="H1697" s="415"/>
      <c r="I1697" s="415"/>
      <c r="J1697" s="415"/>
      <c r="K1697" s="415"/>
      <c r="L1697" s="415"/>
      <c r="M1697" s="415"/>
      <c r="R1697" s="157"/>
      <c r="S1697" s="157"/>
    </row>
    <row r="1698" spans="2:19" ht="15">
      <c r="B1698" s="418"/>
      <c r="C1698" s="413" t="s">
        <v>150</v>
      </c>
      <c r="E1698" s="418"/>
      <c r="F1698" s="418"/>
      <c r="I1698" s="418"/>
      <c r="J1698" s="418"/>
      <c r="K1698" s="418"/>
      <c r="L1698" s="418"/>
      <c r="M1698" s="418"/>
      <c r="R1698" s="157"/>
      <c r="S1698" s="157"/>
    </row>
    <row r="1699" spans="2:19">
      <c r="B1699" s="418"/>
      <c r="C1699" s="419" t="s">
        <v>149</v>
      </c>
      <c r="D1699" s="356">
        <f>ScourFixitySuper</f>
        <v>0</v>
      </c>
      <c r="E1699" s="125" t="str">
        <f>"in = "&amp;FIXED(D1699/12,2)&amp;" ft"</f>
        <v>in = 0.00 ft</v>
      </c>
      <c r="F1699" s="418"/>
      <c r="G1699" s="177"/>
      <c r="I1699" s="418"/>
      <c r="J1699" s="418"/>
      <c r="K1699" s="418"/>
      <c r="L1699" s="418"/>
      <c r="M1699" s="418"/>
      <c r="R1699" s="157"/>
      <c r="S1699" s="157"/>
    </row>
    <row r="1700" spans="2:19">
      <c r="B1700" s="418"/>
      <c r="D1700" s="418"/>
      <c r="E1700" s="418"/>
      <c r="F1700" s="418"/>
      <c r="G1700" s="418"/>
      <c r="I1700" s="418"/>
      <c r="J1700" s="418"/>
      <c r="K1700" s="418"/>
      <c r="L1700" s="418"/>
      <c r="M1700" s="418"/>
      <c r="R1700" s="157"/>
      <c r="S1700" s="157"/>
    </row>
    <row r="1701" spans="2:19" ht="15">
      <c r="B1701" s="418"/>
      <c r="C1701" s="417" t="s">
        <v>661</v>
      </c>
      <c r="J1701" s="418"/>
      <c r="K1701" s="418"/>
      <c r="L1701" s="418"/>
      <c r="M1701" s="418"/>
      <c r="R1701" s="157"/>
      <c r="S1701" s="157"/>
    </row>
    <row r="1702" spans="2:19" ht="15">
      <c r="B1702" s="418"/>
      <c r="C1702" s="183" t="s">
        <v>659</v>
      </c>
      <c r="D1702" s="228" t="e">
        <f>D1136</f>
        <v>#DIV/0!</v>
      </c>
      <c r="E1702" s="125" t="s">
        <v>418</v>
      </c>
      <c r="G1702" s="131"/>
      <c r="I1702" s="418"/>
      <c r="J1702" s="418"/>
      <c r="K1702" s="418"/>
      <c r="L1702" s="418"/>
      <c r="M1702" s="418"/>
      <c r="R1702" s="157"/>
      <c r="S1702" s="157"/>
    </row>
    <row r="1703" spans="2:19">
      <c r="B1703" s="418"/>
      <c r="C1703" s="228"/>
      <c r="D1703" s="420"/>
      <c r="G1703" s="131"/>
      <c r="I1703" s="418"/>
      <c r="J1703" s="418"/>
      <c r="K1703" s="418"/>
      <c r="L1703" s="418"/>
      <c r="M1703" s="418"/>
      <c r="R1703" s="157"/>
      <c r="S1703" s="157"/>
    </row>
    <row r="1704" spans="2:19" ht="15">
      <c r="B1704" s="418"/>
      <c r="C1704" s="417" t="s">
        <v>662</v>
      </c>
      <c r="D1704" s="131"/>
      <c r="E1704" s="418"/>
      <c r="F1704" s="418"/>
      <c r="I1704" s="418"/>
      <c r="K1704" s="418"/>
      <c r="L1704" s="418"/>
      <c r="M1704" s="418"/>
      <c r="R1704" s="157"/>
      <c r="S1704" s="157"/>
    </row>
    <row r="1705" spans="2:19" ht="15">
      <c r="B1705" s="418"/>
      <c r="C1705" s="183" t="s">
        <v>660</v>
      </c>
      <c r="D1705" s="336" t="e">
        <f>29000*(1+(0.4/n)*(Ac/As))</f>
        <v>#DIV/0!</v>
      </c>
      <c r="E1705" s="125" t="s">
        <v>418</v>
      </c>
      <c r="I1705" s="418"/>
      <c r="J1705" s="334"/>
      <c r="K1705" s="418"/>
      <c r="L1705" s="418"/>
      <c r="M1705" s="418"/>
      <c r="R1705" s="157"/>
      <c r="S1705" s="157"/>
    </row>
    <row r="1706" spans="2:19">
      <c r="J1706" s="189"/>
      <c r="R1706" s="157"/>
      <c r="S1706" s="157"/>
    </row>
    <row r="1707" spans="2:19" ht="15.4">
      <c r="C1707" s="335" t="s">
        <v>663</v>
      </c>
      <c r="H1707" s="334" t="e">
        <f>"[(0.65*"&amp;FIXED(D1699,0)&amp;")/("&amp;FIXED(pilegyration,2,TRUE)&amp;"*"&amp;FIXED(PI(),3,TRUE)&amp;")]^2 ("&amp;FIXED(D1702,2,TRUE)&amp;"/"&amp;FIXED(D1705,2,TRUE)&amp;") ="</f>
        <v>#DIV/0!</v>
      </c>
      <c r="I1707" s="288" t="e">
        <f>((0.65*D1699/(pilegyration*PI()))^2)*(D1702/D1705)</f>
        <v>#DIV/0!</v>
      </c>
      <c r="J1707" s="189"/>
      <c r="R1707" s="157"/>
      <c r="S1707" s="157"/>
    </row>
    <row r="1708" spans="2:19">
      <c r="J1708" s="189"/>
      <c r="R1708" s="157"/>
      <c r="S1708" s="157"/>
    </row>
    <row r="1709" spans="2:19" ht="15">
      <c r="C1709" s="125" t="s">
        <v>666</v>
      </c>
      <c r="G1709" s="125" t="e">
        <f>IF(I1707&gt;2.25,"(0.88)("&amp;FIXED(D1702,2,TRUE)&amp;")("&amp;FIXED(As,2,TRUE)&amp;")/("&amp;FIXED(I1707,3,TRUE)&amp;")","(0.66^"&amp;FIXED(I1707,3,TRUE)&amp;")("&amp;FIXED(D1702,2,TRUE)&amp;")("&amp;FIXED(As,2,TRUE)&amp;")")&amp;IF(I1707&gt;2.25," per AASHTO Equation 6.9.5.1-2"," per AASHTO Equation 6.9.5.1-1")</f>
        <v>#DIV/0!</v>
      </c>
      <c r="R1709" s="157"/>
      <c r="S1709" s="157"/>
    </row>
    <row r="1710" spans="2:19" ht="15">
      <c r="C1710" s="419" t="s">
        <v>496</v>
      </c>
      <c r="D1710" s="228" t="e">
        <f>IF(I1707&gt;2.25,0.88*D1702*As/I1707,(0.66^I1707)*D1702*As)</f>
        <v>#DIV/0!</v>
      </c>
      <c r="E1710" s="125" t="s">
        <v>338</v>
      </c>
      <c r="R1710" s="157"/>
      <c r="S1710" s="157"/>
    </row>
    <row r="1711" spans="2:19">
      <c r="C1711" s="419"/>
      <c r="D1711" s="336"/>
      <c r="R1711" s="157"/>
      <c r="S1711" s="157"/>
    </row>
    <row r="1712" spans="2:19">
      <c r="C1712" s="260" t="s">
        <v>499</v>
      </c>
      <c r="D1712" s="418"/>
      <c r="E1712" s="418"/>
      <c r="F1712" s="418"/>
      <c r="G1712" s="418"/>
      <c r="H1712" s="418"/>
      <c r="I1712" s="418"/>
      <c r="R1712" s="157"/>
      <c r="S1712" s="157"/>
    </row>
    <row r="1713" spans="2:19">
      <c r="C1713" s="284" t="s">
        <v>152</v>
      </c>
      <c r="D1713" s="418"/>
      <c r="E1713" s="418"/>
      <c r="F1713" s="418"/>
      <c r="G1713" s="418"/>
      <c r="H1713" s="418"/>
      <c r="I1713" s="418"/>
      <c r="R1713" s="157"/>
      <c r="S1713" s="157"/>
    </row>
    <row r="1714" spans="2:19" ht="15">
      <c r="C1714" s="125" t="s">
        <v>667</v>
      </c>
      <c r="F1714" s="418"/>
      <c r="G1714" s="418"/>
      <c r="I1714" s="412" t="e">
        <f>"(1.0)("&amp;FIXED(D1710,2,TRUE)&amp;") "</f>
        <v>#DIV/0!</v>
      </c>
      <c r="R1714" s="157"/>
      <c r="S1714" s="157"/>
    </row>
    <row r="1715" spans="2:19" ht="15">
      <c r="C1715" s="516" t="s">
        <v>932</v>
      </c>
      <c r="F1715" s="519"/>
      <c r="G1715" s="519"/>
      <c r="I1715" s="520"/>
      <c r="R1715" s="157"/>
      <c r="S1715" s="157"/>
    </row>
    <row r="1716" spans="2:19" ht="15">
      <c r="C1716" s="419" t="s">
        <v>501</v>
      </c>
      <c r="D1716" s="228" t="e">
        <f>1*D1710</f>
        <v>#DIV/0!</v>
      </c>
      <c r="E1716" s="125" t="s">
        <v>338</v>
      </c>
      <c r="F1716" s="418"/>
      <c r="G1716" s="418"/>
      <c r="H1716" s="418"/>
      <c r="I1716" s="418"/>
      <c r="R1716" s="157"/>
      <c r="S1716" s="157"/>
    </row>
    <row r="1717" spans="2:19">
      <c r="I1717" s="180"/>
      <c r="J1717" s="131"/>
      <c r="R1717" s="157"/>
      <c r="S1717" s="157"/>
    </row>
    <row r="1718" spans="2:19">
      <c r="B1718" s="260" t="s">
        <v>669</v>
      </c>
      <c r="I1718" s="180"/>
      <c r="J1718" s="131"/>
      <c r="R1718" s="157"/>
      <c r="S1718" s="157"/>
    </row>
    <row r="1719" spans="2:19">
      <c r="B1719" s="578" t="s">
        <v>419</v>
      </c>
      <c r="C1719" s="578"/>
      <c r="D1719" s="578"/>
      <c r="E1719" s="578"/>
      <c r="F1719" s="578"/>
      <c r="G1719" s="578"/>
      <c r="H1719" s="578"/>
      <c r="I1719" s="578"/>
      <c r="J1719" s="578"/>
      <c r="K1719" s="578"/>
      <c r="L1719" s="578"/>
      <c r="M1719" s="578"/>
      <c r="R1719" s="157"/>
      <c r="S1719" s="157"/>
    </row>
    <row r="1720" spans="2:19">
      <c r="B1720" s="414"/>
      <c r="C1720" s="414"/>
      <c r="D1720" s="414"/>
      <c r="E1720" s="414"/>
      <c r="F1720" s="414"/>
      <c r="G1720" s="414"/>
      <c r="H1720" s="414"/>
      <c r="I1720" s="414"/>
      <c r="J1720" s="414"/>
      <c r="K1720" s="414"/>
      <c r="L1720" s="414"/>
      <c r="M1720" s="414"/>
      <c r="R1720" s="157"/>
      <c r="S1720" s="157"/>
    </row>
    <row r="1721" spans="2:19">
      <c r="C1721" s="260" t="s">
        <v>209</v>
      </c>
      <c r="G1721" s="167"/>
      <c r="I1721" s="167"/>
      <c r="R1721" s="157"/>
      <c r="S1721" s="157"/>
    </row>
    <row r="1722" spans="2:19">
      <c r="C1722" s="579" t="s">
        <v>420</v>
      </c>
      <c r="D1722" s="579"/>
      <c r="E1722" s="579"/>
      <c r="F1722" s="579"/>
      <c r="G1722" s="579"/>
      <c r="H1722" s="579"/>
      <c r="I1722" s="579"/>
      <c r="J1722" s="579"/>
      <c r="K1722" s="579"/>
      <c r="L1722" s="579"/>
      <c r="M1722" s="579"/>
      <c r="R1722" s="157"/>
      <c r="S1722" s="157"/>
    </row>
    <row r="1723" spans="2:19" ht="15">
      <c r="C1723" s="125" t="s">
        <v>477</v>
      </c>
      <c r="H1723" s="338" t="e">
        <f>H1667</f>
        <v>#DIV/0!</v>
      </c>
      <c r="I1723" s="419" t="s">
        <v>71</v>
      </c>
      <c r="J1723" s="336" t="e">
        <f>J1667</f>
        <v>#DIV/0!</v>
      </c>
      <c r="K1723" s="176" t="e">
        <f>"k-in = "&amp;FIXED(J1723/12,2)&amp;" k-ft"</f>
        <v>#DIV/0!</v>
      </c>
      <c r="R1723" s="157"/>
      <c r="S1723" s="157"/>
    </row>
    <row r="1724" spans="2:19">
      <c r="H1724" s="181"/>
      <c r="I1724" s="167"/>
      <c r="L1724" s="580"/>
      <c r="M1724" s="580"/>
      <c r="R1724" s="157"/>
      <c r="S1724" s="157"/>
    </row>
    <row r="1725" spans="2:19">
      <c r="C1725" s="260" t="s">
        <v>210</v>
      </c>
      <c r="D1725" s="418"/>
      <c r="E1725" s="418"/>
      <c r="F1725" s="334"/>
      <c r="G1725" s="176"/>
      <c r="H1725" s="176"/>
      <c r="I1725" s="176"/>
      <c r="R1725" s="157"/>
      <c r="S1725" s="157"/>
    </row>
    <row r="1726" spans="2:19">
      <c r="C1726" s="284" t="s">
        <v>152</v>
      </c>
      <c r="D1726" s="418"/>
      <c r="E1726" s="418"/>
      <c r="F1726" s="334"/>
      <c r="G1726" s="176"/>
      <c r="H1726" s="176"/>
      <c r="I1726" s="176"/>
      <c r="R1726" s="157"/>
      <c r="S1726" s="157"/>
    </row>
    <row r="1727" spans="2:19" ht="15">
      <c r="C1727" s="125" t="s">
        <v>668</v>
      </c>
      <c r="I1727" s="176" t="e">
        <f>"(1.0)("&amp;FIXED(J1723,1,TRUE)&amp;")"</f>
        <v>#DIV/0!</v>
      </c>
      <c r="R1727" s="157"/>
      <c r="S1727" s="157"/>
    </row>
    <row r="1728" spans="2:19" ht="15">
      <c r="C1728" s="419" t="s">
        <v>211</v>
      </c>
      <c r="D1728" s="336" t="e">
        <f>1*J1723</f>
        <v>#DIV/0!</v>
      </c>
      <c r="E1728" s="176" t="s">
        <v>255</v>
      </c>
      <c r="I1728" s="167"/>
      <c r="R1728" s="157"/>
      <c r="S1728" s="157"/>
    </row>
    <row r="1729" spans="1:19" ht="15">
      <c r="C1729" s="419" t="s">
        <v>211</v>
      </c>
      <c r="D1729" s="228" t="e">
        <f>D1728/12</f>
        <v>#DIV/0!</v>
      </c>
      <c r="E1729" s="125" t="s">
        <v>830</v>
      </c>
      <c r="I1729" s="167"/>
      <c r="R1729" s="157"/>
      <c r="S1729" s="157"/>
    </row>
    <row r="1730" spans="1:19">
      <c r="I1730" s="167"/>
      <c r="R1730" s="157"/>
      <c r="S1730" s="157"/>
    </row>
    <row r="1731" spans="1:19">
      <c r="B1731" s="260" t="s">
        <v>786</v>
      </c>
      <c r="C1731" s="418"/>
      <c r="D1731" s="418"/>
      <c r="E1731" s="418"/>
      <c r="F1731" s="418"/>
      <c r="G1731" s="418"/>
      <c r="H1731" s="418"/>
      <c r="I1731" s="418"/>
      <c r="J1731" s="418"/>
      <c r="K1731" s="418"/>
      <c r="L1731" s="418"/>
      <c r="M1731" s="418"/>
      <c r="R1731" s="157"/>
      <c r="S1731" s="157"/>
    </row>
    <row r="1732" spans="1:19">
      <c r="B1732" s="578" t="s">
        <v>409</v>
      </c>
      <c r="C1732" s="578"/>
      <c r="D1732" s="578"/>
      <c r="E1732" s="578"/>
      <c r="F1732" s="578"/>
      <c r="G1732" s="578"/>
      <c r="H1732" s="578"/>
      <c r="I1732" s="578"/>
      <c r="J1732" s="578"/>
      <c r="K1732" s="578"/>
      <c r="L1732" s="578"/>
      <c r="M1732" s="578"/>
      <c r="R1732" s="157"/>
      <c r="S1732" s="157"/>
    </row>
    <row r="1733" spans="1:19" ht="15">
      <c r="B1733" s="125" t="s">
        <v>207</v>
      </c>
      <c r="C1733" s="418"/>
      <c r="D1733" s="418"/>
      <c r="E1733" s="418"/>
      <c r="F1733" s="418"/>
      <c r="G1733" s="418"/>
      <c r="H1733" s="418"/>
      <c r="I1733" s="418"/>
      <c r="J1733" s="418"/>
      <c r="K1733" s="418"/>
      <c r="L1733" s="418"/>
      <c r="M1733" s="418"/>
      <c r="R1733" s="157"/>
      <c r="S1733" s="157"/>
    </row>
    <row r="1734" spans="1:19" ht="15">
      <c r="B1734" s="125" t="s">
        <v>208</v>
      </c>
      <c r="C1734" s="418"/>
      <c r="D1734" s="418"/>
      <c r="E1734" s="418"/>
      <c r="F1734" s="418"/>
      <c r="G1734" s="418"/>
      <c r="H1734" s="418"/>
      <c r="I1734" s="418"/>
      <c r="J1734" s="418"/>
      <c r="K1734" s="418"/>
      <c r="L1734" s="418"/>
      <c r="M1734" s="418"/>
      <c r="R1734" s="157"/>
      <c r="S1734" s="157"/>
    </row>
    <row r="1735" spans="1:19" ht="15">
      <c r="B1735" s="413" t="s">
        <v>90</v>
      </c>
      <c r="D1735" s="167" t="e">
        <f>FIXED(J1354,1,TRUE)&amp;"/"&amp;FIXED(D1716,1,TRUE)&amp;" = "</f>
        <v>#DIV/0!</v>
      </c>
      <c r="F1735" s="186" t="e">
        <f>J1354/D1716</f>
        <v>#DIV/0!</v>
      </c>
      <c r="G1735" s="418"/>
      <c r="H1735" s="418"/>
      <c r="I1735" s="418"/>
      <c r="J1735" s="418"/>
      <c r="K1735" s="418"/>
      <c r="L1735" s="418"/>
      <c r="M1735" s="418"/>
      <c r="R1735" s="157"/>
      <c r="S1735" s="157"/>
    </row>
    <row r="1736" spans="1:19">
      <c r="B1736" s="125" t="s">
        <v>91</v>
      </c>
      <c r="C1736" s="418"/>
      <c r="D1736" s="418"/>
      <c r="F1736" s="413" t="e">
        <f>IF(F1735&lt;0.2,FIXED(J1354,1,TRUE)&amp;"/(2*"&amp;FIXED(D1716,1,TRUE)&amp;") + "&amp;ScourMomSuper&amp;"/"&amp;FIXED(D1729,2,TRUE)&amp;" =",FIXED(J1354,1,TRUE)&amp;"/"&amp;FIXED(D1716,1,TRUE)&amp;" + (8.0/9.0)("&amp;ScourMomSuper&amp;"/"&amp;FIXED(D1729,2,TRUE)&amp;") =")</f>
        <v>#DIV/0!</v>
      </c>
      <c r="G1736" s="414"/>
      <c r="H1736" s="418"/>
      <c r="I1736" s="167" t="e">
        <f>IF(F1735&lt;0.2,J1354/D1716/2+ScourMomSuper/D1729,J1354/D1716+(8/9)*(ScourMomSuper/D1729))</f>
        <v>#DIV/0!</v>
      </c>
      <c r="J1736" s="417" t="e">
        <f>IF(I1736&gt;1.0049,"&gt; 1.0 NG","&lt; 1.00 OK")</f>
        <v>#DIV/0!</v>
      </c>
      <c r="K1736" s="418"/>
      <c r="L1736" s="418"/>
      <c r="M1736" s="418"/>
      <c r="R1736" s="157"/>
      <c r="S1736" s="157"/>
    </row>
    <row r="1737" spans="1:19">
      <c r="C1737" s="418"/>
      <c r="D1737" s="418"/>
      <c r="F1737" s="413"/>
      <c r="G1737" s="414"/>
      <c r="H1737" s="418"/>
      <c r="I1737" s="167"/>
      <c r="J1737" s="417"/>
      <c r="K1737" s="418"/>
      <c r="L1737" s="418"/>
      <c r="M1737" s="418"/>
      <c r="R1737" s="157"/>
      <c r="S1737" s="157"/>
    </row>
    <row r="1738" spans="1:19">
      <c r="C1738" s="330" t="e">
        <f>IF(I1736&gt;1.0049,"Error - "&amp;FIXED(I1736,2,TRUE)&amp;" &gt; 1.00  - Increase the number of piles or change the pile section - push ctrl-a","")</f>
        <v>#DIV/0!</v>
      </c>
      <c r="R1738" s="157" t="e">
        <f>IF(piletype="H",0,IF(LEFT(C1738,5)="Error",1,0))</f>
        <v>#DIV/0!</v>
      </c>
      <c r="S1738" s="157" t="e">
        <f>IF(piletype="H",0,IF(LEFT(C1738,5)="Warni",1,0))</f>
        <v>#DIV/0!</v>
      </c>
    </row>
    <row r="1739" spans="1:19">
      <c r="C1739" s="418"/>
      <c r="D1739" s="418"/>
      <c r="F1739" s="413"/>
      <c r="G1739" s="414"/>
      <c r="H1739" s="418"/>
      <c r="I1739" s="167"/>
      <c r="J1739" s="417"/>
      <c r="K1739" s="418"/>
      <c r="L1739" s="418"/>
      <c r="M1739" s="418"/>
      <c r="R1739" s="157"/>
      <c r="S1739" s="157"/>
    </row>
    <row r="1740" spans="1:19">
      <c r="C1740" s="418"/>
      <c r="D1740" s="418"/>
      <c r="F1740" s="413"/>
      <c r="G1740" s="414"/>
      <c r="H1740" s="418"/>
      <c r="I1740" s="167"/>
      <c r="J1740" s="417"/>
      <c r="K1740" s="418"/>
      <c r="L1740" s="418"/>
      <c r="M1740" s="418"/>
      <c r="R1740" s="157"/>
      <c r="S1740" s="157"/>
    </row>
    <row r="1741" spans="1:19" ht="13.15">
      <c r="A1741" s="253" t="s">
        <v>267</v>
      </c>
      <c r="R1741" s="157" t="e">
        <f>SUM(R1:R1740)</f>
        <v>#DIV/0!</v>
      </c>
      <c r="S1741" s="157" t="e">
        <f>SUM(S1:S1740)</f>
        <v>#DIV/0!</v>
      </c>
    </row>
    <row r="1767" spans="1:1" s="377" customFormat="1" ht="10.15"/>
    <row r="1768" spans="1:1" ht="13.15">
      <c r="A1768" s="253" t="s">
        <v>271</v>
      </c>
    </row>
    <row r="1769" spans="1:1">
      <c r="A1769" s="170" t="str">
        <f>"Bridge length:  "&amp;length&amp;" ft "&amp;IF(length=G56,"simple ","continuous ")&amp;"span"</f>
        <v>Bridge length:   ft simple span</v>
      </c>
    </row>
    <row r="1770" spans="1:1">
      <c r="A1770" s="125" t="str">
        <f>"Skew:  "&amp;skew&amp;" degrees"</f>
        <v>Skew:   degrees</v>
      </c>
    </row>
    <row r="1771" spans="1:1">
      <c r="A1771" s="125" t="str">
        <f>"Maximum number of traffic lanes:  "&amp;nlane</f>
        <v>Maximum number of traffic lanes:  0</v>
      </c>
    </row>
    <row r="1772" spans="1:1">
      <c r="A1772" s="125" t="str">
        <f>"Curb-to-curb roadway width:  "&amp;curbwidth&amp;" ft"</f>
        <v>Curb-to-curb roadway width:   ft</v>
      </c>
    </row>
    <row r="1773" spans="1:1">
      <c r="A1773" s="125" t="str">
        <f>"Total width of sidewalk(s):  "&amp;G73&amp;" ft"</f>
        <v>Total width of sidewalk(s):   ft</v>
      </c>
    </row>
    <row r="1774" spans="1:1">
      <c r="A1774" s="125" t="str">
        <f>"Out-to-out superstructure width:  "&amp;width&amp;" ft"</f>
        <v>Out-to-out superstructure width:   ft</v>
      </c>
    </row>
    <row r="1775" spans="1:1">
      <c r="A1775" s="125" t="str">
        <f>"Maximum number of traffic lanes with no sidewalks:  "&amp;FIXED(nlane2,0,TRUE)</f>
        <v>Maximum number of traffic lanes with no sidewalks:  0</v>
      </c>
    </row>
    <row r="1776" spans="1:1">
      <c r="A1776" s="125" t="str">
        <f>"Number of girders:  "&amp;ngirder&amp;IF(G33="C"," prestressed concrete"," steel")&amp;IF(girdertype="I"," I-"," box ")&amp;"girders"</f>
        <v>Number of girders:   steel box girders</v>
      </c>
    </row>
    <row r="1777" spans="1:4">
      <c r="A1777" s="125" t="str">
        <f>"Girder spacing:  "&amp;FIXED(G117,3,TRUE)&amp;" ft"</f>
        <v>Girder spacing:  0.000 ft</v>
      </c>
    </row>
    <row r="1778" spans="1:4">
      <c r="A1778" s="125" t="str">
        <f>"Moment of inertia of the girders about the longitudinal axis of the bridge:  "&amp;FIXED(G157,0,TRUE)&amp;" ft^2"</f>
        <v>Moment of inertia of the girders about the longitudinal axis of the bridge:  0 ft^2</v>
      </c>
    </row>
    <row r="1779" spans="1:4">
      <c r="A1779" s="125" t="str">
        <f>"Girders depth:  "&amp;G122&amp;" ft"</f>
        <v>Girders depth:   ft</v>
      </c>
    </row>
    <row r="1780" spans="1:4">
      <c r="A1780" s="125" t="str">
        <f>"Girder width:  "&amp;G119&amp;" ft"</f>
        <v>Girder width:   ft</v>
      </c>
    </row>
    <row r="1781" spans="1:4">
      <c r="A1781" s="125" t="str">
        <f>"Bearing pad thickness  "&amp;G125&amp;" in"</f>
        <v>Bearing pad thickness   in</v>
      </c>
    </row>
    <row r="1782" spans="1:4">
      <c r="A1782" s="125" t="str">
        <f>"Average deck + haunch thickness:  "&amp;G128&amp;" in"</f>
        <v>Average deck + haunch thickness:   in</v>
      </c>
    </row>
    <row r="1783" spans="1:4">
      <c r="A1783" s="125" t="str">
        <f>"Barrier height:  "&amp;G130&amp;" ft"</f>
        <v>Barrier height:   ft</v>
      </c>
    </row>
    <row r="1785" spans="1:4" ht="13.15">
      <c r="A1785" s="467" t="s">
        <v>272</v>
      </c>
    </row>
    <row r="1786" spans="1:4">
      <c r="A1786" s="125" t="str">
        <f>"Abutment width:  "&amp;G173&amp;" ft"</f>
        <v>Abutment width:  4 ft</v>
      </c>
    </row>
    <row r="1787" spans="1:4">
      <c r="A1787" s="125" t="e">
        <f>"Abutment length:  "&amp;FIXED(G168,3,TRUE)&amp;" ft"</f>
        <v>#DIV/0!</v>
      </c>
    </row>
    <row r="1788" spans="1:4">
      <c r="A1788" s="125" t="str">
        <f>"Pile cap depth:  "</f>
        <v xml:space="preserve">Pile cap depth:  </v>
      </c>
      <c r="D1788" s="125" t="str">
        <f>G183&amp;" ft at the left end"</f>
        <v xml:space="preserve"> ft at the left end</v>
      </c>
    </row>
    <row r="1789" spans="1:4">
      <c r="D1789" s="125" t="str">
        <f>G186&amp;" ft at the center"</f>
        <v xml:space="preserve"> ft at the center</v>
      </c>
    </row>
    <row r="1790" spans="1:4">
      <c r="D1790" s="125" t="str">
        <f>G188&amp;" ft at the right end"</f>
        <v xml:space="preserve"> ft at the right end</v>
      </c>
    </row>
    <row r="1791" spans="1:4">
      <c r="A1791" s="125" t="str">
        <f>"Average pile cap depth:  "&amp;H204&amp;" ft"</f>
        <v>Average pile cap depth:  0 ft</v>
      </c>
    </row>
    <row r="1792" spans="1:4">
      <c r="A1792" s="125" t="e">
        <f>C1298</f>
        <v>#DIV/0!</v>
      </c>
    </row>
    <row r="1793" spans="1:1">
      <c r="A1793" s="125" t="str">
        <f>"End diaphragm height (equal to the deck + haunch + girder + bearing pad depth):  "&amp;FIXED(diaphragm,3)&amp;" ft"</f>
        <v>End diaphragm height (equal to the deck + haunch + girder + bearing pad depth):  0.000 ft</v>
      </c>
    </row>
    <row r="1794" spans="1:1">
      <c r="A1794" s="125" t="str">
        <f>"Total average abutment height:  "&amp;FIXED(H210,3)&amp;" ft"</f>
        <v>Total average abutment height:  0.000 ft</v>
      </c>
    </row>
    <row r="1795" spans="1:1">
      <c r="A1795" s="125" t="str">
        <f>"Wingwall length:  "&amp;H241&amp;" ft long "&amp;IF(H240="R","rectangular wingwalls",IF(H240="T","tapered wingwalls","stubs for detached wingwalls"))&amp;" at each end of the abutment"</f>
        <v>Wingwall length:   ft long stubs for detached wingwalls at each end of the abutment</v>
      </c>
    </row>
    <row r="1797" spans="1:1" s="284" customFormat="1"/>
    <row r="1798" spans="1:1" s="284" customFormat="1"/>
    <row r="1799" spans="1:1" s="284" customFormat="1"/>
    <row r="1800" spans="1:1" s="284" customFormat="1"/>
    <row r="1801" spans="1:1" s="284" customFormat="1"/>
    <row r="1802" spans="1:1" s="284" customFormat="1"/>
    <row r="1803" spans="1:1" ht="13.15">
      <c r="A1803" s="253" t="s">
        <v>267</v>
      </c>
    </row>
    <row r="1804" spans="1:1" s="284" customFormat="1"/>
    <row r="1805" spans="1:1" ht="13.15">
      <c r="A1805" s="253" t="s">
        <v>774</v>
      </c>
    </row>
    <row r="1806" spans="1:1">
      <c r="A1806" s="125" t="str">
        <f>"Number of piles:  "&amp;npiles&amp;" - "&amp;IF(piletype="H",piledesig&amp;" piles",FIXED(pilewidth,1,TRUE)&amp;" in diameter concrete-filled pipe piles")</f>
        <v>Number of piles:   - 0.0 in diameter concrete-filled pipe piles</v>
      </c>
    </row>
    <row r="1807" spans="1:1">
      <c r="A1807" s="125" t="str">
        <f>"Pile spacing:  "&amp;FIXED(G568,3)&amp;" ft in a single row along the centerline of bearing of the abutment"</f>
        <v>Pile spacing:  0.000 ft in a single row along the centerline of bearing of the abutment</v>
      </c>
    </row>
    <row r="1808" spans="1:1">
      <c r="A1808" s="125" t="str">
        <f>"Moment of inertia of the piles about the longitudinal axis of the bridge:  "&amp;FIXED(K597,0,TRUE)&amp;" ft^2"</f>
        <v>Moment of inertia of the piles about the longitudinal axis of the bridge:  0 ft^2</v>
      </c>
    </row>
    <row r="1809" spans="1:1">
      <c r="A1809" s="125" t="str">
        <f>"Design pile length:  "&amp;G569&amp;" ft"</f>
        <v>Design pile length:   ft</v>
      </c>
    </row>
    <row r="1810" spans="1:1">
      <c r="A1810" s="125" t="str">
        <f>"Depth to fixity:  "&amp;G835&amp;" in ("&amp;FIXED(I835,2,TRUE)&amp;" ft)"</f>
        <v>Depth to fixity:   in (0.00 ft)</v>
      </c>
    </row>
    <row r="1811" spans="1:1">
      <c r="A1811" s="125" t="str">
        <f>"Unbraced length:  "&amp;F1040&amp;" in ("&amp;FIXED(H1040,2,TRUE)&amp;" ft)"</f>
        <v>Unbraced length:  0 in (0.00 ft)</v>
      </c>
    </row>
    <row r="1812" spans="1:1">
      <c r="A1812" s="125" t="str">
        <f>"Depth to the first point of inflection:  "&amp;G840&amp;" in ("&amp;FIXED(I840,2,TRUE)&amp;" ft)"</f>
        <v>Depth to the first point of inflection:   in (0.00 ft)</v>
      </c>
    </row>
    <row r="1813" spans="1:1">
      <c r="A1813" s="125" t="str">
        <f>"Depth to the point where the lateral deflection is 2% of the pile width (friction engaged):  "&amp;G853&amp;" in ("&amp;FIXED(I853,2,TRUE)&amp;" ft)"</f>
        <v>Depth to the point where the lateral deflection is 2% of the pile width (friction engaged):   in (0.00 ft)</v>
      </c>
    </row>
    <row r="1814" spans="1:1">
      <c r="A1814" s="125" t="str">
        <f>"Pile yield moment, My:  "&amp;IF(piletype="P",FIXED(G1181,1,TRUE),FIXED(pileyield*pilesecmod,1,TRUE))&amp;" k-in ("&amp;IF(piletype="P",FIXED(G1181/12,1,TRUE),FIXED(pileyield*pilesecmod/12,1,TRUE))&amp;" k-ft)"</f>
        <v>Pile yield moment, My:  0.0 k-in (0.0 k-ft)</v>
      </c>
    </row>
    <row r="1815" spans="1:1">
      <c r="A1815" s="284" t="str">
        <f>"Pile plastic moment, Mp:  "&amp;IF(piletype="P",FIXED(D1180,1,TRUE),FIXED(pileyield*pileplastsecmod,1,TRUE))&amp;" k-in ("&amp;IF(piletype="P",FIXED(D1180/12,1,TRUE),FIXED(pileyield*pileplastsecmod/12,1,TRUE))&amp;" k-ft)"</f>
        <v>Pile plastic moment, Mp:  0.0 k-in (0.0 k-ft)</v>
      </c>
    </row>
    <row r="1816" spans="1:1">
      <c r="A1816" s="125" t="e">
        <f>"Total factored geotechnical capacity of the pile:  "&amp;FIXED(G914,1,TRUE)&amp;" k"</f>
        <v>#N/A</v>
      </c>
    </row>
    <row r="1817" spans="1:1">
      <c r="A1817" s="125" t="str">
        <f>"Factored axial resistance of the pile at the tip:  "&amp;IF(piletype="H",FIXED(D948,1,TRUE),FIXED(D1118,1,TRUE))&amp;" k"</f>
        <v>Factored axial resistance of the pile at the tip:  0.0 k</v>
      </c>
    </row>
    <row r="1818" spans="1:1">
      <c r="A1818" s="125" t="e">
        <f>"Factored axial resistance of upper portion of pile for use in interaction equation:  "&amp;IF(piletype="P",FIXED(D1155,1,TRUE),FIXED(D1064,1,TRUE))&amp;" k"</f>
        <v>#DIV/0!</v>
      </c>
    </row>
    <row r="1819" spans="1:1">
      <c r="A1819" s="125" t="e">
        <f>"Factored flexural resistance of upper portion of pile for use in interaction equation:  "&amp;IF(piletype="P",FIXED(D1187,1,TRUE)&amp;" k-in ("&amp;FIXED(D1188,1,TRUE)&amp;" k-ft)",FIXED(D1088,1,TRUE)&amp;" k-in ("&amp;FIXED(F1088,1,TRUE)&amp;" k-ft)")</f>
        <v>#DIV/0!</v>
      </c>
    </row>
    <row r="1820" spans="1:1" s="284" customFormat="1"/>
    <row r="1821" spans="1:1" ht="13.15">
      <c r="A1821" s="253" t="s">
        <v>775</v>
      </c>
    </row>
    <row r="1822" spans="1:1">
      <c r="A1822" s="125" t="e">
        <f>"Maximum girder reaction:  "&amp;FIXED(G1284,1,TRUE)&amp;" k due to the "&amp;F1284&amp;" load case"</f>
        <v>#DIV/0!</v>
      </c>
    </row>
    <row r="1823" spans="1:1">
      <c r="A1823" s="125" t="e">
        <f>"Maximum axial force in the pile:  "&amp;FIXED(G799,1,TRUE)&amp;" k due to the "&amp;F799&amp;" load case"</f>
        <v>#DIV/0!</v>
      </c>
    </row>
    <row r="1824" spans="1:1">
      <c r="A1824" s="125" t="str">
        <f>"Maximum bending moment in the pile (other than at the pile-abutment connection):  "&amp;FIXED(I858/1000,1,TRUE)&amp;" k-in ("&amp;FIXED(G858,1,TRUE)&amp;" k-ft)"</f>
        <v>Maximum bending moment in the pile (other than at the pile-abutment connection):  0.0 k-in (0.0 k-ft)</v>
      </c>
    </row>
    <row r="1825" spans="1:13">
      <c r="A1825" s="125" t="e">
        <f>"Total maximum design movement for the abutment:  "&amp;FIXED(2*C1216,2,TRUE)&amp;" in"</f>
        <v>#VALUE!</v>
      </c>
    </row>
    <row r="1826" spans="1:13">
      <c r="A1826" s="125" t="str">
        <f>"Maximum movement in one direction:  "&amp;FIXED(J699,2,TRUE)&amp;" in"</f>
        <v>Maximum movement in one direction:  0.00 in</v>
      </c>
    </row>
    <row r="1827" spans="1:13">
      <c r="A1827" s="125" t="e">
        <f>"Maximum design rotation:  "&amp;FIXED(G828,4,TRUE)&amp;" radians ("&amp;FIXED(I828,3,TRUE)&amp;" degrees)"</f>
        <v>#DIV/0!</v>
      </c>
    </row>
    <row r="1828" spans="1:13">
      <c r="A1828" s="125" t="e">
        <f>"Axial load-moment interaction equation result for the pile (maximum allowable is 1.00):  "&amp;IF(piletype="P",FIXED(I1196,2,TRUE),FIXED(I1097,2,TRUE))</f>
        <v>#DIV/0!</v>
      </c>
    </row>
    <row r="1830" spans="1:13" ht="13.15">
      <c r="A1830" s="253" t="s">
        <v>878</v>
      </c>
    </row>
    <row r="1831" spans="1:13">
      <c r="A1831" s="125" t="str">
        <f>"Depth to fixity for the Design Flood at the Service I Limit State:  "&amp;FIXED(ScourFixityServ,0)&amp;" in ("&amp;FIXED(ScourFixityServ/12,2,TRUE)&amp;" ft)"</f>
        <v>Depth to fixity for the Design Flood at the Service I Limit State:  0 in (0.00 ft)</v>
      </c>
    </row>
    <row r="1832" spans="1:13">
      <c r="A1832" s="125" t="e">
        <f>"Axial force in the pile for the Design Flood at the Service I Limit State:  "&amp;FIXED(H1354,1,TRUE)&amp;" k"</f>
        <v>#DIV/0!</v>
      </c>
    </row>
    <row r="1833" spans="1:13">
      <c r="A1833" s="125" t="str">
        <f>"Factored axial resistance of pile for the Design Flood at the Service I Limit State:  "&amp;IF(piletype="P",FIXED(D1660,1,TRUE),IF(piletype="H",FIXED(D1496,1,TRUE),""))&amp;" k"</f>
        <v>Factored axial resistance of pile for the Design Flood at the Service I Limit State:   k</v>
      </c>
    </row>
    <row r="1834" spans="1:13">
      <c r="A1834" s="125" t="str">
        <f>"Maximum bending moment in the pile for the Design Flood at the Service I Limit State:  "&amp;FIXED(ScourMomServ*12,0,TRUE)&amp;" k-in ("&amp;FIXED(ScourMomServ,1,TRUE)&amp;" k-ft)"</f>
        <v>Maximum bending moment in the pile for the Design Flood at the Service I Limit State:  0 k-in (0.0 k-ft)</v>
      </c>
    </row>
    <row r="1835" spans="1:13">
      <c r="A1835" s="125" t="str">
        <f>"Factored flexural resistance of pile for the Design Flood at the Service I Limit State:  "&amp;IF(piletype="P",FIXED(D1672,0,TRUE)&amp;" k-in ("&amp;FIXED(D1673,1,TRUE)&amp;" k-ft)",IF(piletype="H",FIXED(D1508,0,TRUE)&amp;" k-in ("&amp;FIXED(D1509,1,TRUE)&amp;" k-ft)",""))</f>
        <v xml:space="preserve">Factored flexural resistance of pile for the Design Flood at the Service I Limit State:  </v>
      </c>
    </row>
    <row r="1836" spans="1:13">
      <c r="A1836" s="144" t="str">
        <f>"Axial load-moment interaction equation for the Design Flood at the Service I Limit State (maximum allowable is 1.00):  "&amp;IF(piletype="P",FIXED(I1680,2,TRUE),IF(piletype="H",FIXED(I1517,2),""))</f>
        <v xml:space="preserve">Axial load-moment interaction equation for the Design Flood at the Service I Limit State (maximum allowable is 1.00):  </v>
      </c>
      <c r="B1836" s="144"/>
      <c r="C1836" s="144"/>
      <c r="D1836" s="144"/>
      <c r="E1836" s="144"/>
      <c r="F1836" s="144"/>
      <c r="G1836" s="144"/>
      <c r="H1836" s="144"/>
      <c r="I1836" s="144"/>
      <c r="J1836" s="144"/>
      <c r="K1836" s="144"/>
      <c r="L1836" s="144"/>
      <c r="M1836" s="144"/>
    </row>
    <row r="1837" spans="1:13">
      <c r="A1837" s="125" t="str">
        <f>"Depth to fixity for the Design Flood at the Strength Limit State:  "&amp;FIXED(ScourFixityStr,0)&amp;" in ("&amp;FIXED(ScourFixityStr/12,2,TRUE)&amp;" ft)"</f>
        <v>Depth to fixity for the Design Flood at the Strength Limit State:  0 in (0.00 ft)</v>
      </c>
    </row>
    <row r="1838" spans="1:13">
      <c r="A1838" s="125" t="str">
        <f>"Depth to the point where the lateral deflection is 2% of the pile width (friction engaged):  "&amp;FIXED(ScourPercStr,0)&amp;" in ("&amp;FIXED(ScourPercStr/12,2,TRUE)&amp;" ft)"</f>
        <v>Depth to the point where the lateral deflection is 2% of the pile width (friction engaged):  0 in (0.00 ft)</v>
      </c>
    </row>
    <row r="1839" spans="1:13">
      <c r="A1839" s="125" t="e">
        <f>"Maximum axial force in the pile for the Design Flood at the Strength Limit State:  "&amp;FIXED(F1354,1,TRUE)&amp;" k"</f>
        <v>#DIV/0!</v>
      </c>
    </row>
    <row r="1840" spans="1:13">
      <c r="A1840" s="125" t="e">
        <f>"Total factored geotechnical capacity of the pile for the Design Flood at the strength limit state:  "&amp;FIXED(K1415,1,TRUE)&amp;" k"</f>
        <v>#N/A</v>
      </c>
    </row>
    <row r="1841" spans="1:13">
      <c r="A1841" s="125" t="str">
        <f>"Factored axial resistance of pile for the Design Flood at the Strength Limit State:  "&amp;IF(piletype="P",FIXED(D1606,1,TRUE),IF(piletype="H",FIXED(D1447,1,TRUE),""))&amp;" k"</f>
        <v>Factored axial resistance of pile for the Design Flood at the Strength Limit State:   k</v>
      </c>
    </row>
    <row r="1842" spans="1:13">
      <c r="A1842" s="125" t="str">
        <f>"Maximum bending moment in the pile for the Design Flood at the Strength Limit State:  "&amp;FIXED(ScourMomStr*12,0,TRUE)&amp;" k-in ("&amp;FIXED(ScourMomStr,1,TRUE)&amp;" k-ft)"</f>
        <v>Maximum bending moment in the pile for the Design Flood at the Strength Limit State:  0 k-in (0.0 k-ft)</v>
      </c>
    </row>
    <row r="1843" spans="1:13">
      <c r="A1843" s="125" t="str">
        <f>"Factored flexural resistance of pile for the Design Flood at the Strength Limit State:  "&amp;IF(piletype="P",FIXED(D1617,0,TRUE)&amp;" k-in ("&amp;FIXED(D1618,1,TRUE)&amp;" k-ft)",IF(piletype="H",FIXED(D1453,0,TRUE)&amp;" k-in ("&amp;FIXED(D1454,1,TRUE)&amp;" k-ft)",""))</f>
        <v xml:space="preserve">Factored flexural resistance of pile for the Design Flood at the Strength Limit State:  </v>
      </c>
    </row>
    <row r="1844" spans="1:13">
      <c r="A1844" s="144" t="str">
        <f>"Axial load-moment interaction equation for the Design Flood at the Stength Limit State (maximum allowable is 1.00):  "&amp;IF(piletype="P",FIXED(I1625,2,TRUE),IF(piletype="H",FIXED(I1462,2),""))</f>
        <v xml:space="preserve">Axial load-moment interaction equation for the Design Flood at the Stength Limit State (maximum allowable is 1.00):  </v>
      </c>
      <c r="B1844" s="144"/>
      <c r="C1844" s="144"/>
      <c r="D1844" s="144"/>
      <c r="E1844" s="144"/>
      <c r="F1844" s="144"/>
      <c r="G1844" s="144"/>
      <c r="H1844" s="144"/>
      <c r="I1844" s="144"/>
      <c r="J1844" s="144"/>
      <c r="K1844" s="144"/>
      <c r="L1844" s="144"/>
      <c r="M1844" s="144"/>
    </row>
    <row r="1845" spans="1:13">
      <c r="A1845" s="125" t="str">
        <f>"Depth to fixity for the Superflood at the Service I Limit State:  "&amp;FIXED(ScourFixitySuper,0)&amp;" in ("&amp;FIXED(ScourFixitySuper/12,2,TRUE)&amp;" ft)"</f>
        <v>Depth to fixity for the Superflood at the Service I Limit State:  0 in (0.00 ft)</v>
      </c>
    </row>
    <row r="1846" spans="1:13">
      <c r="A1846" s="125" t="e">
        <f>"Axial force in the pile for the Superflood at the Service I Limit State:  "&amp;FIXED(J1354,1,TRUE)&amp;" k"</f>
        <v>#DIV/0!</v>
      </c>
    </row>
    <row r="1847" spans="1:13">
      <c r="A1847" s="284" t="str">
        <f>"Factored axial resistance of pile for the Superflood at the Service I Limit State:  "&amp;IF(piletype="P",FIXED(D1716,1,TRUE),IF(piletype="H",FIXED(D1551,1,TRUE),""))&amp;" k"</f>
        <v>Factored axial resistance of pile for the Superflood at the Service I Limit State:   k</v>
      </c>
    </row>
    <row r="1848" spans="1:13">
      <c r="A1848" s="125" t="str">
        <f>"Maximum bending moment in the pile for the Superflood at the Service I Limit State:  "&amp;FIXED(ScourMomSuper*12,0,TRUE)&amp;" k-in ("&amp;FIXED(ScourMomSuper,1,TRUE)&amp;" k-ft)"</f>
        <v>Maximum bending moment in the pile for the Superflood at the Service I Limit State:  0 k-in (0.0 k-ft)</v>
      </c>
    </row>
    <row r="1849" spans="1:13">
      <c r="A1849" s="284" t="str">
        <f>"Factored flexural resistance of pile for the Superflood at the Service I Limit State:  "&amp;IF(piletype="P",FIXED(D1728,0,TRUE)&amp;" k-in ("&amp;FIXED(D1729,1,TRUE)&amp;" k-ft)",IF(piletype="H",FIXED(D1563,0,TRUE)&amp;" k-in ("&amp;FIXED(D1564,1,TRUE)&amp;" k-ft)",""))</f>
        <v xml:space="preserve">Factored flexural resistance of pile for the Superflood at the Service I Limit State:  </v>
      </c>
    </row>
    <row r="1850" spans="1:13">
      <c r="A1850" s="284" t="str">
        <f>"Axial load-moment interaction equation for the Superflood at the Service I Limit State (maximum allowable is 1.00):  "&amp;IF(piletype="P",FIXED(I1736,2,TRUE),IF(piletype="H",FIXED(I1572,2),""))</f>
        <v xml:space="preserve">Axial load-moment interaction equation for the Superflood at the Service I Limit State (maximum allowable is 1.00):  </v>
      </c>
    </row>
    <row r="1851" spans="1:13" s="377" customFormat="1" ht="10.15"/>
    <row r="1852" spans="1:13" ht="13.15">
      <c r="A1852" s="253" t="s">
        <v>756</v>
      </c>
    </row>
    <row r="1853" spans="1:13">
      <c r="A1853" s="125" t="e">
        <f>"The spreadsheet generated "&amp;FIXED(S1741,0,TRUE)&amp;" warning(s) and "&amp;FIXED(R1741,0,TRUE)&amp;" error(s)."</f>
        <v>#DIV/0!</v>
      </c>
    </row>
    <row r="1854" spans="1:13">
      <c r="A1854" s="125" t="e">
        <f>IF(S1741&gt;0,"The "&amp;FIXED(S1741,0,TRUE)&amp;" warning(s) should should be checked to make sure requirements are satisfied.","")</f>
        <v>#DIV/0!</v>
      </c>
    </row>
    <row r="1855" spans="1:13">
      <c r="A1855" s="163" t="e">
        <f>IF(R1741&gt;0,"The "&amp;FIXED(R1741,0,TRUE)&amp;" error(s) must be addressed to satisfy design requirements.","")</f>
        <v>#DIV/0!</v>
      </c>
    </row>
  </sheetData>
  <sheetProtection algorithmName="SHA-512" hashValue="Z5LEWbV23dlxT7N+9Pe+kfSX5h17V/zlaImR3joDfB2cIyJS1zqIDZ1kM4dcndu+g2qHK4buNM1dwpM5EJqPow==" saltValue="9rblzU3dWhIbNmiLqGiscQ==" spinCount="100000" sheet="1" formatRows="0"/>
  <mergeCells count="161">
    <mergeCell ref="A17:M22"/>
    <mergeCell ref="A6:M15"/>
    <mergeCell ref="A1344:M1348"/>
    <mergeCell ref="N1103:X1106"/>
    <mergeCell ref="C1106:M1107"/>
    <mergeCell ref="C941:M942"/>
    <mergeCell ref="B1067:M1068"/>
    <mergeCell ref="B1191:M1191"/>
    <mergeCell ref="B1158:M1160"/>
    <mergeCell ref="C1130:M1132"/>
    <mergeCell ref="B933:M934"/>
    <mergeCell ref="B1091:M1091"/>
    <mergeCell ref="C1032:M1034"/>
    <mergeCell ref="C1036:M1038"/>
    <mergeCell ref="B953:M955"/>
    <mergeCell ref="B907:M908"/>
    <mergeCell ref="A920:M924"/>
    <mergeCell ref="G823:H823"/>
    <mergeCell ref="I830:J830"/>
    <mergeCell ref="I823:K823"/>
    <mergeCell ref="A805:M812"/>
    <mergeCell ref="A885:M887"/>
    <mergeCell ref="B797:C797"/>
    <mergeCell ref="A796:M796"/>
    <mergeCell ref="A1382:J1382"/>
    <mergeCell ref="A1200:M1202"/>
    <mergeCell ref="A1208:M1210"/>
    <mergeCell ref="A1336:M1337"/>
    <mergeCell ref="C1103:M1104"/>
    <mergeCell ref="C1612:M1612"/>
    <mergeCell ref="L1614:M1614"/>
    <mergeCell ref="C1424:M1425"/>
    <mergeCell ref="A1218:M1219"/>
    <mergeCell ref="A1258:M1261"/>
    <mergeCell ref="A1302:M1306"/>
    <mergeCell ref="A1288:M1291"/>
    <mergeCell ref="H1353:I1353"/>
    <mergeCell ref="J1353:K1353"/>
    <mergeCell ref="F1352:G1352"/>
    <mergeCell ref="H1352:I1352"/>
    <mergeCell ref="J1352:K1352"/>
    <mergeCell ref="F1353:G1353"/>
    <mergeCell ref="A1244:M1245"/>
    <mergeCell ref="B1239:L1240"/>
    <mergeCell ref="L1184:M1184"/>
    <mergeCell ref="C1175:M1177"/>
    <mergeCell ref="B1457:M1457"/>
    <mergeCell ref="A311:M315"/>
    <mergeCell ref="A179:M181"/>
    <mergeCell ref="A214:M219"/>
    <mergeCell ref="B242:M243"/>
    <mergeCell ref="A246:M247"/>
    <mergeCell ref="B191:M192"/>
    <mergeCell ref="A193:M197"/>
    <mergeCell ref="A256:M258"/>
    <mergeCell ref="A264:M268"/>
    <mergeCell ref="A244:J244"/>
    <mergeCell ref="A66:M69"/>
    <mergeCell ref="A97:M101"/>
    <mergeCell ref="A111:M113"/>
    <mergeCell ref="B74:M75"/>
    <mergeCell ref="A28:M29"/>
    <mergeCell ref="A31:M32"/>
    <mergeCell ref="A35:M36"/>
    <mergeCell ref="A40:M44"/>
    <mergeCell ref="A58:M60"/>
    <mergeCell ref="B48:M50"/>
    <mergeCell ref="A51:M53"/>
    <mergeCell ref="A590:M594"/>
    <mergeCell ref="A644:M647"/>
    <mergeCell ref="A679:M685"/>
    <mergeCell ref="A666:M669"/>
    <mergeCell ref="A687:M687"/>
    <mergeCell ref="A694:M696"/>
    <mergeCell ref="A440:M441"/>
    <mergeCell ref="B120:M121"/>
    <mergeCell ref="B126:M127"/>
    <mergeCell ref="B123:M124"/>
    <mergeCell ref="A170:M171"/>
    <mergeCell ref="A137:M139"/>
    <mergeCell ref="A141:M143"/>
    <mergeCell ref="A408:M409"/>
    <mergeCell ref="A413:M416"/>
    <mergeCell ref="A161:M163"/>
    <mergeCell ref="A165:M166"/>
    <mergeCell ref="A175:M177"/>
    <mergeCell ref="A391:M395"/>
    <mergeCell ref="A275:M283"/>
    <mergeCell ref="A320:M323"/>
    <mergeCell ref="A327:M329"/>
    <mergeCell ref="A375:M379"/>
    <mergeCell ref="A251:M252"/>
    <mergeCell ref="A847:M851"/>
    <mergeCell ref="A855:M856"/>
    <mergeCell ref="F929:F930"/>
    <mergeCell ref="A431:M432"/>
    <mergeCell ref="A583:M586"/>
    <mergeCell ref="A556:M562"/>
    <mergeCell ref="A571:M573"/>
    <mergeCell ref="L688:M689"/>
    <mergeCell ref="K688:K689"/>
    <mergeCell ref="A445:M446"/>
    <mergeCell ref="A461:M465"/>
    <mergeCell ref="A477:M478"/>
    <mergeCell ref="A481:M482"/>
    <mergeCell ref="A485:M486"/>
    <mergeCell ref="A489:M495"/>
    <mergeCell ref="A454:J454"/>
    <mergeCell ref="A474:J474"/>
    <mergeCell ref="A538:M541"/>
    <mergeCell ref="A530:M533"/>
    <mergeCell ref="A702:M705"/>
    <mergeCell ref="B899:M902"/>
    <mergeCell ref="B789:C789"/>
    <mergeCell ref="A833:J833"/>
    <mergeCell ref="A837:M838"/>
    <mergeCell ref="B771:C771"/>
    <mergeCell ref="B773:C773"/>
    <mergeCell ref="B785:C785"/>
    <mergeCell ref="B783:C783"/>
    <mergeCell ref="B779:C779"/>
    <mergeCell ref="B777:C777"/>
    <mergeCell ref="B795:C795"/>
    <mergeCell ref="B791:C791"/>
    <mergeCell ref="A842:M843"/>
    <mergeCell ref="A814:M820"/>
    <mergeCell ref="A707:M709"/>
    <mergeCell ref="A761:M765"/>
    <mergeCell ref="A715:M716"/>
    <mergeCell ref="A729:M730"/>
    <mergeCell ref="A733:M735"/>
    <mergeCell ref="A739:M740"/>
    <mergeCell ref="A719:M720"/>
    <mergeCell ref="A725:M726"/>
    <mergeCell ref="G756:H756"/>
    <mergeCell ref="B748:M749"/>
    <mergeCell ref="F756:F757"/>
    <mergeCell ref="C1695:M1696"/>
    <mergeCell ref="B1719:M1719"/>
    <mergeCell ref="C1722:M1722"/>
    <mergeCell ref="L1724:M1724"/>
    <mergeCell ref="B1732:M1732"/>
    <mergeCell ref="A1387:M1390"/>
    <mergeCell ref="A1362:M1363"/>
    <mergeCell ref="D1369:D1370"/>
    <mergeCell ref="F1369:F1370"/>
    <mergeCell ref="D1373:D1374"/>
    <mergeCell ref="G1368:G1369"/>
    <mergeCell ref="B1401:M1404"/>
    <mergeCell ref="C1586:M1587"/>
    <mergeCell ref="B1609:M1609"/>
    <mergeCell ref="L1668:M1668"/>
    <mergeCell ref="B1676:M1676"/>
    <mergeCell ref="B1621:M1621"/>
    <mergeCell ref="B1512:M1512"/>
    <mergeCell ref="C1639:M1640"/>
    <mergeCell ref="B1663:M1663"/>
    <mergeCell ref="C1527:M1528"/>
    <mergeCell ref="B1567:M1567"/>
    <mergeCell ref="C1472:M1473"/>
    <mergeCell ref="C1666:M1666"/>
  </mergeCells>
  <phoneticPr fontId="27" type="noConversion"/>
  <conditionalFormatting sqref="I543">
    <cfRule type="expression" dxfId="57" priority="13" stopIfTrue="1">
      <formula>IF(G535="H",TRUE,FALSE)</formula>
    </cfRule>
  </conditionalFormatting>
  <conditionalFormatting sqref="C949:C950">
    <cfRule type="expression" dxfId="56" priority="15" stopIfTrue="1">
      <formula>IF(D947&lt;D944,TRUE,FALSE)</formula>
    </cfRule>
  </conditionalFormatting>
  <conditionalFormatting sqref="D1239:L1240 B1240:C1240">
    <cfRule type="cellIs" dxfId="55" priority="16" stopIfTrue="1" operator="equal">
      <formula>"Error - "&amp;FIXED(G1216,2,TRUE)&amp;" in &gt; "&amp;FIXED(G1238,2,TRUE)&amp;" in - allowable displacement exceeded - choose a different pile section - push ctrl-a"</formula>
    </cfRule>
  </conditionalFormatting>
  <conditionalFormatting sqref="B1239:C1239">
    <cfRule type="cellIs" dxfId="54" priority="17" stopIfTrue="1" operator="equal">
      <formula>"Error - "&amp;FIXED(C1216,2,TRUE)&amp;" in &gt; "&amp;FIXED(C1237,2,TRUE)&amp;" in - allowable displacement exceeded - choose a different pile section - push ctrl-a"</formula>
    </cfRule>
  </conditionalFormatting>
  <conditionalFormatting sqref="B916">
    <cfRule type="expression" dxfId="53" priority="19" stopIfTrue="1">
      <formula>IF(G914&lt;G827,TRUE,FALSE)</formula>
    </cfRule>
  </conditionalFormatting>
  <conditionalFormatting sqref="B1333">
    <cfRule type="expression" dxfId="52" priority="20" stopIfTrue="1">
      <formula>IF(K1332&lt;0,TRUE,FALSE)</formula>
    </cfRule>
  </conditionalFormatting>
  <conditionalFormatting sqref="C1420">
    <cfRule type="expression" dxfId="51" priority="21" stopIfTrue="1">
      <formula>IF(#REF!&lt;G1247*IF(piletype="P",#REF!,1),TRUE,FALSE)</formula>
    </cfRule>
  </conditionalFormatting>
  <conditionalFormatting sqref="C1422">
    <cfRule type="expression" dxfId="50" priority="22" stopIfTrue="1">
      <formula>IF(#REF!&lt;G1250*IF(piletype="P",#REF!,1),TRUE,FALSE)</formula>
    </cfRule>
  </conditionalFormatting>
  <conditionalFormatting sqref="C1468">
    <cfRule type="expression" dxfId="49" priority="23" stopIfTrue="1">
      <formula>IF(#REF!&lt;G1167*IF(piletype="P",#REF!,1),TRUE,FALSE)</formula>
    </cfRule>
  </conditionalFormatting>
  <conditionalFormatting sqref="C1470">
    <cfRule type="expression" dxfId="48" priority="24" stopIfTrue="1">
      <formula>IF(#REF!&lt;G1170*IF(piletype="P",#REF!,1),TRUE,FALSE)</formula>
    </cfRule>
  </conditionalFormatting>
  <conditionalFormatting sqref="B126">
    <cfRule type="expression" dxfId="47" priority="25" stopIfTrue="1">
      <formula>IF(XFA126&lt;&gt;13,TRUE,FALSE)</formula>
    </cfRule>
  </conditionalFormatting>
  <conditionalFormatting sqref="B567">
    <cfRule type="cellIs" dxfId="46" priority="32" stopIfTrue="1" operator="equal">
      <formula>"Approximate range of allowed pile spacing for "&amp;G566&amp;" piles is about "&amp;ROUNDUP((G168-1500)/(G566-1),-1)&amp;" to "&amp;ROUNDDOWN((G168-900)/(G566-1),-1)&amp;" mm"</formula>
    </cfRule>
  </conditionalFormatting>
  <conditionalFormatting sqref="J1680:J1681 J1625:J1626 J1517:J1518 J1462:J1463 J1196 J1097 J1520 J1683 J1739:J1740">
    <cfRule type="cellIs" dxfId="45" priority="33" stopIfTrue="1" operator="equal">
      <formula>"&gt; 1.0 NG"</formula>
    </cfRule>
  </conditionalFormatting>
  <conditionalFormatting sqref="C1502 C1172:C1173 C1078">
    <cfRule type="expression" dxfId="44" priority="34" stopIfTrue="1">
      <formula>IF($D$1072&gt;$D$1076,TRUE,FALSE)</formula>
    </cfRule>
  </conditionalFormatting>
  <conditionalFormatting sqref="K1468:K1470 K1420:K1422 K1120 G577 K950:K951">
    <cfRule type="cellIs" dxfId="43" priority="36" stopIfTrue="1" operator="equal">
      <formula>"OK"</formula>
    </cfRule>
  </conditionalFormatting>
  <conditionalFormatting sqref="D994:D995">
    <cfRule type="expression" dxfId="42" priority="37" stopIfTrue="1">
      <formula>IF(OR($H$975&lt;$E$975,$H$992&lt;$E$992),TRUE,FALSE)</formula>
    </cfRule>
  </conditionalFormatting>
  <conditionalFormatting sqref="E578:E579">
    <cfRule type="cellIs" dxfId="41" priority="38" stopIfTrue="1" operator="equal">
      <formula>"OK"</formula>
    </cfRule>
  </conditionalFormatting>
  <conditionalFormatting sqref="I544">
    <cfRule type="cellIs" dxfId="40" priority="39" stopIfTrue="1" operator="equal">
      <formula>"ERROR"</formula>
    </cfRule>
  </conditionalFormatting>
  <conditionalFormatting sqref="A542:J542 A538">
    <cfRule type="cellIs" dxfId="39" priority="40" stopIfTrue="1" operator="equal">
      <formula>"Error - invalid pile type entered"</formula>
    </cfRule>
  </conditionalFormatting>
  <conditionalFormatting sqref="H325">
    <cfRule type="cellIs" dxfId="38" priority="41" stopIfTrue="1" operator="equal">
      <formula>"Error - must be Y or N above"</formula>
    </cfRule>
  </conditionalFormatting>
  <conditionalFormatting sqref="B917:B918">
    <cfRule type="expression" dxfId="37" priority="42" stopIfTrue="1">
      <formula>IF(G916&lt;G828,TRUE,FALSE)</formula>
    </cfRule>
  </conditionalFormatting>
  <conditionalFormatting sqref="C1523">
    <cfRule type="expression" dxfId="36" priority="7" stopIfTrue="1">
      <formula>IF(#REF!&lt;G1269*IF(piletype="P",#REF!,1),TRUE,FALSE)</formula>
    </cfRule>
  </conditionalFormatting>
  <conditionalFormatting sqref="C1525">
    <cfRule type="expression" dxfId="35" priority="8" stopIfTrue="1">
      <formula>IF(#REF!&lt;G1272*IF(piletype="P",#REF!,1),TRUE,FALSE)</formula>
    </cfRule>
  </conditionalFormatting>
  <conditionalFormatting sqref="J1572:J1573">
    <cfRule type="cellIs" dxfId="34" priority="9" stopIfTrue="1" operator="equal">
      <formula>"&gt; 1.0 NG"</formula>
    </cfRule>
  </conditionalFormatting>
  <conditionalFormatting sqref="C1557">
    <cfRule type="expression" dxfId="33" priority="10" stopIfTrue="1">
      <formula>IF($D$1072&gt;$D$1076,TRUE,FALSE)</formula>
    </cfRule>
  </conditionalFormatting>
  <conditionalFormatting sqref="K1523:K1525">
    <cfRule type="cellIs" dxfId="32" priority="11" stopIfTrue="1" operator="equal">
      <formula>"OK"</formula>
    </cfRule>
  </conditionalFormatting>
  <conditionalFormatting sqref="J1736:J1737">
    <cfRule type="cellIs" dxfId="31" priority="6" stopIfTrue="1" operator="equal">
      <formula>"&gt; 1.0 NG"</formula>
    </cfRule>
  </conditionalFormatting>
  <conditionalFormatting sqref="C1119">
    <cfRule type="expression" dxfId="30" priority="67" stopIfTrue="1">
      <formula>IF(D1117&lt;D1109,TRUE,FALSE)</formula>
    </cfRule>
  </conditionalFormatting>
  <conditionalFormatting sqref="C1120">
    <cfRule type="expression" dxfId="29" priority="68" stopIfTrue="1">
      <formula>IF(D1118&lt;I1109,TRUE,FALSE)</formula>
    </cfRule>
  </conditionalFormatting>
  <conditionalFormatting sqref="H384">
    <cfRule type="expression" dxfId="28" priority="5" stopIfTrue="1">
      <formula>IF(I382&lt;I374,TRUE,FALSE)</formula>
    </cfRule>
  </conditionalFormatting>
  <conditionalFormatting sqref="H389">
    <cfRule type="expression" dxfId="27" priority="2" stopIfTrue="1">
      <formula>IF(I387&lt;I379,TRUE,FALSE)</formula>
    </cfRule>
  </conditionalFormatting>
  <conditionalFormatting sqref="H388">
    <cfRule type="expression" dxfId="26" priority="4" stopIfTrue="1">
      <formula>IF(I386&lt;I378,TRUE,FALSE)</formula>
    </cfRule>
  </conditionalFormatting>
  <conditionalFormatting sqref="H385">
    <cfRule type="expression" dxfId="25" priority="3" stopIfTrue="1">
      <formula>IF(I383&lt;I375,TRUE,FALSE)</formula>
    </cfRule>
  </conditionalFormatting>
  <conditionalFormatting sqref="B412">
    <cfRule type="expression" dxfId="24" priority="1" stopIfTrue="1">
      <formula>IF(C410&lt;C402,TRUE,FALSE)</formula>
    </cfRule>
  </conditionalFormatting>
  <conditionalFormatting sqref="C951">
    <cfRule type="expression" dxfId="23" priority="73" stopIfTrue="1">
      <formula>IF(#REF!&lt;G801*IF(piletype="P",#REF!,1),TRUE,FALSE)</formula>
    </cfRule>
  </conditionalFormatting>
  <conditionalFormatting sqref="C1421">
    <cfRule type="expression" dxfId="22" priority="98" stopIfTrue="1">
      <formula>IF(G1420&lt;G1248*IF(piletype="P",#REF!,1),TRUE,FALSE)</formula>
    </cfRule>
  </conditionalFormatting>
  <conditionalFormatting sqref="C1469">
    <cfRule type="expression" dxfId="21" priority="99" stopIfTrue="1">
      <formula>IF(G1468&lt;G1168*IF(piletype="P",#REF!,1),TRUE,FALSE)</formula>
    </cfRule>
  </conditionalFormatting>
  <conditionalFormatting sqref="C1524">
    <cfRule type="expression" dxfId="20" priority="100" stopIfTrue="1">
      <formula>IF(G1523&lt;G1270*IF(piletype="P",#REF!,1),TRUE,FALSE)</formula>
    </cfRule>
  </conditionalFormatting>
  <conditionalFormatting sqref="B1417">
    <cfRule type="expression" dxfId="19" priority="101" stopIfTrue="1">
      <formula>IF(K1415&lt;F1354,TRUE,FALSE)</formula>
    </cfRule>
  </conditionalFormatting>
  <dataValidations disablePrompts="1" count="5">
    <dataValidation type="list" allowBlank="1" showInputMessage="1" showErrorMessage="1" sqref="G535" xr:uid="{00000000-0002-0000-0100-000000000000}">
      <formula1>"H,P"</formula1>
    </dataValidation>
    <dataValidation type="list" allowBlank="1" showInputMessage="1" showErrorMessage="1" sqref="H324 G536" xr:uid="{00000000-0002-0000-0100-000001000000}">
      <formula1>"Y,N"</formula1>
    </dataValidation>
    <dataValidation type="list" allowBlank="1" showInputMessage="1" showErrorMessage="1" sqref="H240" xr:uid="{00000000-0002-0000-0100-000002000000}">
      <formula1>"R,T,D"</formula1>
    </dataValidation>
    <dataValidation type="list" allowBlank="1" showInputMessage="1" showErrorMessage="1" sqref="G38" xr:uid="{00000000-0002-0000-0100-000003000000}">
      <formula1>"I,B"</formula1>
    </dataValidation>
    <dataValidation type="list" allowBlank="1" showInputMessage="1" showErrorMessage="1" sqref="G33" xr:uid="{00000000-0002-0000-0100-000004000000}">
      <formula1>"S,C"</formula1>
    </dataValidation>
  </dataValidations>
  <pageMargins left="0.75" right="0.25" top="0.54" bottom="0.51" header="0.24" footer="0"/>
  <pageSetup scale="90" fitToHeight="24" orientation="portrait" r:id="rId1"/>
  <headerFooter alignWithMargins="0">
    <oddHeader xml:space="preserve">&amp;LPennDOT Integral Abutment Spreadsheet, Version 2.2
Filename: &amp;F&amp;R&amp;A Sheet     
Sheet  &amp;P  of  &amp;N   </oddHeader>
    <oddFooter>&amp;L        &amp;Z&amp;F</oddFooter>
  </headerFooter>
  <rowBreaks count="23" manualBreakCount="23">
    <brk id="63" max="12" man="1"/>
    <brk id="108" max="12" man="1"/>
    <brk id="158" max="12" man="1"/>
    <brk id="211" max="12" man="1"/>
    <brk id="261" max="12" man="1"/>
    <brk id="317" max="12" man="1"/>
    <brk id="372" max="12" man="1"/>
    <brk id="427" max="12" man="1"/>
    <brk id="467" max="12" man="1"/>
    <brk id="528" max="12" man="1"/>
    <brk id="579" max="12" man="1"/>
    <brk id="640" max="12" man="1"/>
    <brk id="699" max="12" man="1"/>
    <brk id="742" max="12" man="1"/>
    <brk id="801" max="12" man="1"/>
    <brk id="859" max="12" man="1"/>
    <brk id="916" max="12" man="1"/>
    <brk id="975" max="12" man="1"/>
    <brk id="1043" max="12" man="1"/>
    <brk id="1197" max="12" man="1"/>
    <brk id="1240" max="12" man="1"/>
    <brk id="1740" max="12" man="1"/>
    <brk id="1801" max="12" man="1"/>
  </rowBreaks>
  <colBreaks count="2" manualBreakCount="2">
    <brk id="13" max="1174" man="1"/>
    <brk id="25" max="1174" man="1"/>
  </colBreaks>
  <drawing r:id="rId2"/>
  <legacyDrawing r:id="rId3"/>
  <controls>
    <mc:AlternateContent xmlns:mc="http://schemas.openxmlformats.org/markup-compatibility/2006">
      <mc:Choice Requires="x14">
        <control shapeId="1800" r:id="rId4" name="CommandButton1">
          <controlPr defaultSize="0" autoLine="0" r:id="rId5">
            <anchor moveWithCells="1">
              <from>
                <xdr:col>7</xdr:col>
                <xdr:colOff>390525</xdr:colOff>
                <xdr:row>546</xdr:row>
                <xdr:rowOff>0</xdr:rowOff>
              </from>
              <to>
                <xdr:col>8</xdr:col>
                <xdr:colOff>576263</xdr:colOff>
                <xdr:row>548</xdr:row>
                <xdr:rowOff>180975</xdr:rowOff>
              </to>
            </anchor>
          </controlPr>
        </control>
      </mc:Choice>
      <mc:Fallback>
        <control shapeId="1800" r:id="rId4" name="Command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1"/>
  <dimension ref="A1:T251"/>
  <sheetViews>
    <sheetView workbookViewId="0"/>
  </sheetViews>
  <sheetFormatPr defaultColWidth="9.1328125" defaultRowHeight="12.75"/>
  <cols>
    <col min="1" max="1" width="5" style="124" customWidth="1"/>
    <col min="2" max="2" width="4.3984375" style="124" customWidth="1"/>
    <col min="3" max="3" width="5.73046875" style="124" customWidth="1"/>
    <col min="4" max="4" width="9.73046875" style="124" customWidth="1"/>
    <col min="5" max="5" width="9.1328125" style="124"/>
    <col min="6" max="6" width="10.265625" style="124" customWidth="1"/>
    <col min="7" max="7" width="13.73046875" style="124" customWidth="1"/>
    <col min="8" max="9" width="9.1328125" style="124"/>
    <col min="10" max="10" width="9.73046875" style="124" customWidth="1"/>
    <col min="11" max="11" width="6.86328125" style="124" customWidth="1"/>
    <col min="12" max="12" width="5" style="124" customWidth="1"/>
    <col min="13" max="13" width="9" style="124" customWidth="1"/>
    <col min="14" max="16384" width="9.1328125" style="124"/>
  </cols>
  <sheetData>
    <row r="1" spans="1:19" ht="13.15">
      <c r="A1" s="120" t="s">
        <v>434</v>
      </c>
      <c r="B1" s="109"/>
      <c r="C1" s="110"/>
      <c r="D1" s="110"/>
      <c r="E1" s="110"/>
      <c r="F1" s="110"/>
      <c r="G1" s="110"/>
      <c r="H1" s="110"/>
      <c r="I1" s="121"/>
      <c r="J1" s="122" t="s">
        <v>682</v>
      </c>
      <c r="K1" s="114"/>
      <c r="L1" s="123" t="s">
        <v>684</v>
      </c>
      <c r="M1" s="116"/>
      <c r="R1" s="240"/>
      <c r="S1" s="240"/>
    </row>
    <row r="2" spans="1:19" ht="13.15">
      <c r="A2" s="126"/>
      <c r="B2" s="111"/>
      <c r="C2" s="112"/>
      <c r="D2" s="112"/>
      <c r="E2" s="112"/>
      <c r="F2" s="112"/>
      <c r="G2" s="112"/>
      <c r="H2" s="112"/>
      <c r="I2" s="127"/>
      <c r="J2" s="128" t="s">
        <v>683</v>
      </c>
      <c r="K2" s="113"/>
      <c r="L2" s="129" t="s">
        <v>684</v>
      </c>
      <c r="M2" s="115" t="s">
        <v>685</v>
      </c>
      <c r="R2" s="240"/>
      <c r="S2" s="240"/>
    </row>
    <row r="3" spans="1:19">
      <c r="A3" s="125"/>
      <c r="B3" s="173"/>
      <c r="C3" s="173"/>
      <c r="D3" s="173"/>
      <c r="E3" s="173"/>
      <c r="F3" s="173"/>
      <c r="G3" s="173"/>
      <c r="H3" s="173"/>
      <c r="I3" s="133"/>
      <c r="J3" s="134"/>
      <c r="K3" s="125"/>
      <c r="L3" s="135"/>
      <c r="M3" s="134"/>
      <c r="R3" s="240"/>
      <c r="S3" s="240"/>
    </row>
    <row r="4" spans="1:19" ht="1.5" customHeight="1">
      <c r="A4" s="125"/>
      <c r="B4" s="125"/>
      <c r="C4" s="125"/>
      <c r="D4" s="125"/>
      <c r="E4" s="125"/>
      <c r="F4" s="125"/>
      <c r="G4" s="125"/>
      <c r="H4" s="125"/>
      <c r="I4" s="125"/>
      <c r="J4" s="125"/>
      <c r="K4" s="125"/>
      <c r="L4" s="125"/>
      <c r="M4" s="125"/>
      <c r="R4" s="240"/>
      <c r="S4" s="240"/>
    </row>
    <row r="5" spans="1:19" ht="15.75" customHeight="1">
      <c r="A5" s="583" t="s">
        <v>632</v>
      </c>
      <c r="B5" s="583"/>
      <c r="C5" s="583"/>
      <c r="D5" s="583"/>
      <c r="E5" s="583"/>
      <c r="F5" s="583"/>
      <c r="G5" s="583"/>
      <c r="H5" s="583"/>
      <c r="I5" s="583"/>
      <c r="J5" s="583"/>
      <c r="K5" s="583"/>
      <c r="L5" s="583"/>
      <c r="M5" s="583"/>
      <c r="R5" s="240"/>
      <c r="S5" s="240"/>
    </row>
    <row r="6" spans="1:19" ht="15.75" customHeight="1">
      <c r="A6" s="583"/>
      <c r="B6" s="583"/>
      <c r="C6" s="583"/>
      <c r="D6" s="583"/>
      <c r="E6" s="583"/>
      <c r="F6" s="583"/>
      <c r="G6" s="583"/>
      <c r="H6" s="583"/>
      <c r="I6" s="583"/>
      <c r="J6" s="583"/>
      <c r="K6" s="583"/>
      <c r="L6" s="583"/>
      <c r="M6" s="583"/>
      <c r="R6" s="240"/>
      <c r="S6" s="240"/>
    </row>
    <row r="7" spans="1:19" ht="13.5" customHeight="1">
      <c r="A7" s="583"/>
      <c r="B7" s="583"/>
      <c r="C7" s="583"/>
      <c r="D7" s="583"/>
      <c r="E7" s="583"/>
      <c r="F7" s="583"/>
      <c r="G7" s="583"/>
      <c r="H7" s="583"/>
      <c r="I7" s="583"/>
      <c r="J7" s="583"/>
      <c r="K7" s="583"/>
      <c r="L7" s="583"/>
      <c r="M7" s="583"/>
      <c r="R7" s="240"/>
      <c r="S7" s="240"/>
    </row>
    <row r="8" spans="1:19" ht="13.5" customHeight="1">
      <c r="A8" s="583"/>
      <c r="B8" s="583"/>
      <c r="C8" s="583"/>
      <c r="D8" s="583"/>
      <c r="E8" s="583"/>
      <c r="F8" s="583"/>
      <c r="G8" s="583"/>
      <c r="H8" s="583"/>
      <c r="I8" s="583"/>
      <c r="J8" s="583"/>
      <c r="K8" s="583"/>
      <c r="L8" s="583"/>
      <c r="M8" s="583"/>
      <c r="R8" s="240"/>
      <c r="S8" s="240"/>
    </row>
    <row r="9" spans="1:19" ht="13.5" customHeight="1">
      <c r="A9" s="583"/>
      <c r="B9" s="583"/>
      <c r="C9" s="583"/>
      <c r="D9" s="583"/>
      <c r="E9" s="583"/>
      <c r="F9" s="583"/>
      <c r="G9" s="583"/>
      <c r="H9" s="583"/>
      <c r="I9" s="583"/>
      <c r="J9" s="583"/>
      <c r="K9" s="583"/>
      <c r="L9" s="583"/>
      <c r="M9" s="583"/>
      <c r="R9" s="240"/>
      <c r="S9" s="240"/>
    </row>
    <row r="10" spans="1:19">
      <c r="A10" s="125"/>
      <c r="R10" s="240"/>
      <c r="S10" s="240"/>
    </row>
    <row r="11" spans="1:19" ht="13.15">
      <c r="A11" s="253" t="s">
        <v>732</v>
      </c>
      <c r="R11" s="240"/>
      <c r="S11" s="240"/>
    </row>
    <row r="12" spans="1:19">
      <c r="A12" s="595" t="s">
        <v>378</v>
      </c>
      <c r="B12" s="595"/>
      <c r="C12" s="595"/>
      <c r="D12" s="595"/>
      <c r="E12" s="595"/>
      <c r="F12" s="595"/>
      <c r="G12" s="595"/>
      <c r="H12" s="595"/>
      <c r="I12" s="595"/>
      <c r="J12" s="595"/>
      <c r="K12" s="125"/>
      <c r="L12" s="241" t="s">
        <v>379</v>
      </c>
      <c r="R12" s="240"/>
      <c r="S12" s="240"/>
    </row>
    <row r="13" spans="1:19" ht="13.15" thickBot="1">
      <c r="A13" s="595"/>
      <c r="B13" s="595"/>
      <c r="C13" s="595"/>
      <c r="D13" s="595"/>
      <c r="E13" s="595"/>
      <c r="F13" s="595"/>
      <c r="G13" s="595"/>
      <c r="H13" s="595"/>
      <c r="I13" s="595"/>
      <c r="J13" s="595"/>
      <c r="K13" s="125"/>
      <c r="L13" s="241" t="s">
        <v>380</v>
      </c>
      <c r="R13" s="240"/>
      <c r="S13" s="240"/>
    </row>
    <row r="14" spans="1:19" ht="16.149999999999999" thickBot="1">
      <c r="B14" s="156" t="s">
        <v>245</v>
      </c>
      <c r="C14" s="125"/>
      <c r="D14" s="125"/>
      <c r="E14" s="125"/>
      <c r="F14" s="125"/>
      <c r="G14" s="22">
        <v>1</v>
      </c>
      <c r="H14" s="182"/>
      <c r="I14" s="125"/>
      <c r="J14" s="167"/>
      <c r="K14" s="125"/>
      <c r="R14" s="240"/>
      <c r="S14" s="240"/>
    </row>
    <row r="15" spans="1:19" ht="15.75">
      <c r="A15" s="156"/>
      <c r="B15" s="156" t="s">
        <v>35</v>
      </c>
      <c r="C15" s="125"/>
      <c r="D15" s="125"/>
      <c r="E15" s="156"/>
      <c r="F15" s="125"/>
      <c r="G15" s="167">
        <f>IF(G14&lt;0.95,0.95,IF(G14&gt;1.05,1.05,G14))</f>
        <v>1</v>
      </c>
      <c r="H15" s="125"/>
      <c r="I15" s="125"/>
      <c r="J15" s="125"/>
      <c r="K15" s="125"/>
      <c r="R15" s="240"/>
      <c r="S15" s="240"/>
    </row>
    <row r="16" spans="1:19" ht="15.75">
      <c r="A16" s="156"/>
      <c r="B16" s="156" t="s">
        <v>449</v>
      </c>
      <c r="C16" s="125"/>
      <c r="D16" s="125"/>
      <c r="E16" s="125"/>
      <c r="F16" s="125"/>
      <c r="G16" s="167">
        <f>IF(1/G14&gt;1,1,1/G14)</f>
        <v>1</v>
      </c>
      <c r="H16" s="125"/>
      <c r="I16" s="125"/>
      <c r="J16" s="125"/>
      <c r="K16" s="125"/>
      <c r="R16" s="240"/>
      <c r="S16" s="240"/>
    </row>
    <row r="17" spans="1:19">
      <c r="A17" s="125"/>
      <c r="B17" s="125"/>
      <c r="C17" s="125"/>
      <c r="D17" s="125"/>
      <c r="F17" s="125"/>
      <c r="G17" s="125"/>
      <c r="H17" s="125"/>
      <c r="I17" s="125"/>
      <c r="J17" s="125"/>
      <c r="K17" s="125"/>
      <c r="L17" s="125"/>
      <c r="M17" s="125"/>
      <c r="N17" s="125"/>
      <c r="R17" s="240"/>
      <c r="S17" s="240"/>
    </row>
    <row r="18" spans="1:19" ht="15">
      <c r="A18" s="170" t="s">
        <v>282</v>
      </c>
      <c r="R18" s="240"/>
      <c r="S18" s="240"/>
    </row>
    <row r="19" spans="1:19">
      <c r="A19" s="125"/>
      <c r="R19" s="240"/>
      <c r="S19" s="240"/>
    </row>
    <row r="20" spans="1:19">
      <c r="A20" s="125" t="s">
        <v>227</v>
      </c>
      <c r="B20" s="125"/>
      <c r="C20" s="125"/>
      <c r="D20" s="125"/>
      <c r="E20" s="125"/>
      <c r="F20" s="125"/>
      <c r="G20" s="125"/>
      <c r="H20" s="125"/>
      <c r="I20" s="125"/>
      <c r="J20" s="125"/>
      <c r="K20" s="167"/>
      <c r="R20" s="240"/>
      <c r="S20" s="240"/>
    </row>
    <row r="21" spans="1:19">
      <c r="A21" s="333" t="s">
        <v>537</v>
      </c>
      <c r="C21" s="170"/>
      <c r="F21" s="170"/>
      <c r="G21" s="170"/>
      <c r="H21" s="182"/>
      <c r="I21" s="125"/>
      <c r="R21" s="240"/>
      <c r="S21" s="240"/>
    </row>
    <row r="22" spans="1:19">
      <c r="A22" s="125"/>
      <c r="B22" s="170" t="s">
        <v>820</v>
      </c>
      <c r="C22" s="170"/>
      <c r="D22" s="187" t="e">
        <f>FIXED(scoureta,2,TRUE)&amp;"["&amp;'Load Factors'!R6&amp;"("&amp;Main!G287&amp;"+"&amp;Main!G290&amp;") + "&amp;FIXED('Load Factors'!R7,2,TRUE)&amp;"("&amp;Main!G293&amp;") + "&amp;FIXED('Load Factors'!R12,2,TRUE)&amp;"("&amp;FIXED(Main!G306,2,TRUE)&amp;")("&amp;nlane2&amp;")/"&amp;ngirder&amp;"] ="</f>
        <v>#NAME?</v>
      </c>
      <c r="E22" s="170"/>
      <c r="F22" s="170"/>
      <c r="G22" s="170"/>
      <c r="J22" s="182" t="e">
        <f>scoureta*('Load Factors'!R6*(Main!G287+Main!G290)+'Load Factors'!R7*Main!G293+'Load Factors'!R12*Main!G306*nlane2/ngirder)</f>
        <v>#NAME?</v>
      </c>
      <c r="K22" s="125" t="s">
        <v>338</v>
      </c>
      <c r="R22" s="240"/>
      <c r="S22" s="240"/>
    </row>
    <row r="23" spans="1:19">
      <c r="A23" s="125"/>
      <c r="B23" s="170" t="s">
        <v>821</v>
      </c>
      <c r="C23" s="170"/>
      <c r="D23" s="187" t="e">
        <f>FIXED(scouretamin,2,TRUE)&amp;"["&amp;FIXED('Load Factors'!S6,2,TRUE)&amp;"("&amp;Main!G287&amp;"+"&amp;Main!G290&amp;") + "&amp;FIXED('Load Factors'!S7,2,TRUE)&amp;"("&amp;Main!G293&amp;")] + "&amp;FIXED(scoureta,2,TRUE)&amp;"["&amp;FIXED('Load Factors'!S12,2,TRUE)&amp;"("&amp;FIXED(Main!G307,2,TRUE)&amp;")("&amp;nlane2&amp;")/"&amp;ngirder&amp;"] ="</f>
        <v>#NAME?</v>
      </c>
      <c r="F23" s="170"/>
      <c r="G23" s="170"/>
      <c r="H23" s="182"/>
      <c r="I23" s="125"/>
      <c r="J23" s="182" t="e">
        <f>scouretamin*('Load Factors'!S6*(Main!G287+Main!G290)+'Load Factors'!S7*Main!G293)+scoureta*('Load Factors'!S12*Main!G307*nlane2/ngirder)</f>
        <v>#NAME?</v>
      </c>
      <c r="K23" s="125" t="s">
        <v>338</v>
      </c>
      <c r="R23" s="240"/>
      <c r="S23" s="240"/>
    </row>
    <row r="24" spans="1:19">
      <c r="A24" s="125"/>
      <c r="B24" s="170"/>
      <c r="C24" s="170"/>
      <c r="D24" s="170"/>
      <c r="E24" s="170"/>
      <c r="F24" s="170"/>
      <c r="G24" s="170"/>
      <c r="H24" s="182"/>
      <c r="I24" s="125"/>
      <c r="J24" s="167"/>
      <c r="K24" s="125"/>
      <c r="R24" s="240"/>
      <c r="S24" s="240"/>
    </row>
    <row r="25" spans="1:19">
      <c r="A25" s="125" t="s">
        <v>228</v>
      </c>
      <c r="B25" s="125"/>
      <c r="C25" s="125"/>
      <c r="D25" s="125"/>
      <c r="E25" s="125"/>
      <c r="F25" s="125"/>
      <c r="G25" s="125"/>
      <c r="H25" s="125"/>
      <c r="I25" s="125"/>
      <c r="J25" s="125"/>
      <c r="K25" s="167"/>
      <c r="R25" s="240"/>
      <c r="S25" s="240"/>
    </row>
    <row r="26" spans="1:19">
      <c r="A26" s="333" t="s">
        <v>537</v>
      </c>
      <c r="C26" s="170"/>
      <c r="F26" s="170"/>
      <c r="G26" s="170"/>
      <c r="H26" s="170"/>
      <c r="I26" s="125"/>
      <c r="R26" s="240"/>
      <c r="S26" s="240"/>
    </row>
    <row r="27" spans="1:19">
      <c r="A27" s="125"/>
      <c r="B27" s="170" t="s">
        <v>820</v>
      </c>
      <c r="C27" s="170"/>
      <c r="D27" s="170" t="e">
        <f>FIXED(scoureta,2,TRUE)&amp;"["&amp;'Load Factors'!R6&amp;"("&amp;Main!G288&amp;"+"&amp;Main!G291&amp;") + "&amp;FIXED('Load Factors'!R7,2,TRUE)&amp;"("&amp;Main!G294&amp;") + "&amp;FIXED('Load Factors'!R12,2,TRUE)&amp;"("&amp;FIXED(Main!G306,2,TRUE)&amp;")("&amp;nlane2&amp;")/"&amp;ngirder&amp;"] ="</f>
        <v>#NAME?</v>
      </c>
      <c r="E27" s="170"/>
      <c r="F27" s="170"/>
      <c r="G27" s="170"/>
      <c r="J27" s="182" t="e">
        <f>scoureta*('Load Factors'!R6*(Main!G288+Main!G291)+'Load Factors'!R7*Main!G294+'Load Factors'!R12*Main!G306*nlane2/ngirder)</f>
        <v>#NAME?</v>
      </c>
      <c r="K27" s="125" t="s">
        <v>338</v>
      </c>
      <c r="R27" s="240"/>
      <c r="S27" s="240"/>
    </row>
    <row r="28" spans="1:19">
      <c r="A28" s="125"/>
      <c r="B28" s="170" t="s">
        <v>821</v>
      </c>
      <c r="C28" s="170"/>
      <c r="D28" s="170" t="e">
        <f>FIXED(scouretamin,2,TRUE)&amp;"["&amp;FIXED('Load Factors'!S6,2,TRUE)&amp;"("&amp;Main!G288&amp;"+"&amp;Main!G291&amp;") + "&amp;FIXED('Load Factors'!S7,2,TRUE)&amp;"("&amp;Main!G294&amp;")] + "&amp;FIXED(scoureta,2,TRUE)&amp;"["&amp;FIXED('Load Factors'!S12,2,TRUE)&amp;"("&amp;FIXED(Main!G307,2,TRUE)&amp;")("&amp;nlane2&amp;")/"&amp;ngirder&amp;"] ="</f>
        <v>#NAME?</v>
      </c>
      <c r="F28" s="170"/>
      <c r="G28" s="170"/>
      <c r="H28" s="182"/>
      <c r="I28" s="125"/>
      <c r="J28" s="182" t="e">
        <f>scouretamin*('Load Factors'!S6*(Main!G288+Main!G291)+'Load Factors'!S7*Main!G294)+scoureta*('Load Factors'!S12*Main!G307*nlane2/ngirder)</f>
        <v>#NAME?</v>
      </c>
      <c r="K28" s="125" t="s">
        <v>338</v>
      </c>
      <c r="R28" s="240"/>
      <c r="S28" s="240"/>
    </row>
    <row r="29" spans="1:19">
      <c r="A29" s="125"/>
      <c r="B29" s="170"/>
      <c r="C29" s="170"/>
      <c r="D29" s="170"/>
      <c r="E29" s="170"/>
      <c r="F29" s="170"/>
      <c r="G29" s="170"/>
      <c r="J29" s="165"/>
      <c r="K29" s="131"/>
      <c r="R29" s="240"/>
      <c r="S29" s="240"/>
    </row>
    <row r="30" spans="1:19" ht="12.75" customHeight="1">
      <c r="A30" s="166" t="s">
        <v>34</v>
      </c>
      <c r="B30" s="166"/>
      <c r="C30" s="166"/>
      <c r="D30" s="166"/>
      <c r="E30" s="166"/>
      <c r="F30" s="166"/>
      <c r="G30" s="166"/>
      <c r="H30" s="166"/>
      <c r="I30" s="166"/>
      <c r="J30" s="166"/>
      <c r="K30" s="166"/>
      <c r="L30" s="166"/>
      <c r="M30" s="166"/>
      <c r="R30" s="240"/>
      <c r="S30" s="240"/>
    </row>
    <row r="31" spans="1:19">
      <c r="A31" s="137"/>
      <c r="B31" s="137"/>
      <c r="C31" s="137"/>
      <c r="D31" s="137"/>
      <c r="E31" s="137"/>
      <c r="F31" s="137"/>
      <c r="G31" s="137"/>
      <c r="H31" s="137"/>
      <c r="I31" s="137"/>
      <c r="J31" s="137"/>
      <c r="K31" s="137"/>
      <c r="R31" s="240"/>
      <c r="S31" s="240"/>
    </row>
    <row r="32" spans="1:19">
      <c r="A32" s="125" t="s">
        <v>381</v>
      </c>
      <c r="B32" s="125"/>
      <c r="C32" s="125"/>
      <c r="D32" s="125"/>
      <c r="E32" s="125"/>
      <c r="F32" s="125"/>
      <c r="G32" s="125"/>
      <c r="H32" s="125"/>
      <c r="I32" s="125"/>
      <c r="J32" s="125"/>
      <c r="K32" s="125"/>
      <c r="L32" s="125"/>
      <c r="M32" s="125"/>
      <c r="R32" s="240"/>
      <c r="S32" s="240"/>
    </row>
    <row r="33" spans="1:19">
      <c r="A33" s="333" t="s">
        <v>537</v>
      </c>
      <c r="C33" s="125"/>
      <c r="F33" s="170"/>
      <c r="G33" s="182"/>
      <c r="H33" s="170"/>
      <c r="I33" s="167"/>
      <c r="J33" s="125"/>
      <c r="K33" s="125"/>
      <c r="L33" s="125"/>
      <c r="M33" s="125"/>
      <c r="R33" s="240"/>
      <c r="S33" s="240"/>
    </row>
    <row r="34" spans="1:19">
      <c r="A34" s="125"/>
      <c r="B34" s="125" t="s">
        <v>820</v>
      </c>
      <c r="C34" s="170" t="e">
        <f>"[("&amp;FIXED(J22,1,TRUE)&amp;")("&amp;FIXED(Main!G115-2,0,TRUE)&amp;")+("&amp;FIXED(J27,1,TRUE)&amp;")(2)]/"&amp;Main!G566&amp;" + "&amp;FIXED(scoureta,2,TRUE)&amp;"{["&amp;FIXED('Load Factors'!R6,2,TRUE)&amp;"("&amp;FIXED(Main!I655,1,TRUE)&amp;"+"&amp;FIXED(Main!I663,1,TRUE)&amp;"+"&amp;FIXED(Main!G676,1,TRUE)&amp;")+"&amp;FIXED('Load Factors'!R7,2,TRUE)&amp;"("&amp;FIXED(Main!I657,1,TRUE)&amp;")+"&amp;FIXED('Load Factors'!R12,2,TRUE)&amp;"("&amp;FIXED(nlane2,0,TRUE)&amp;")("&amp;FIXED(Main!I659,1,TRUE)&amp;")]/"&amp;Main!G566&amp;" + "&amp;FIXED('Load Factors'!R16,2,TRUE)&amp;"("&amp;FIXED(Main!J639,1,TRUE)&amp;") + "&amp;FIXED('Load Factors'!R17,2,TRUE)&amp;"("&amp;FIXED(Main!F747,1,TRUE)&amp;")} "</f>
        <v>#NAME?</v>
      </c>
      <c r="D34" s="125"/>
      <c r="E34" s="170"/>
      <c r="F34" s="170"/>
      <c r="G34" s="170"/>
      <c r="H34" s="182"/>
      <c r="I34" s="125"/>
      <c r="J34" s="165"/>
      <c r="K34" s="131"/>
      <c r="L34" s="125"/>
      <c r="M34" s="125"/>
      <c r="R34" s="240"/>
      <c r="S34" s="240"/>
    </row>
    <row r="35" spans="1:19">
      <c r="A35" s="125"/>
      <c r="B35" s="125"/>
      <c r="C35" s="133" t="s">
        <v>629</v>
      </c>
      <c r="D35" s="182" t="e">
        <f>(J22*(Main!G115-2)+J27*2)/Main!G566+(('Load Factors'!R6*(Main!I655+Main!I663+Main!G676)+'Load Factors'!R7*Main!I657+'Load Factors'!R12*nlane2*Main!I659)/Main!G566+'Load Factors'!R16*Main!J639+'Load Factors'!R17*Main!F747)*scoureta</f>
        <v>#NAME?</v>
      </c>
      <c r="E35" s="125" t="s">
        <v>521</v>
      </c>
      <c r="F35" s="170"/>
      <c r="G35" s="170"/>
      <c r="H35" s="182"/>
      <c r="I35" s="125"/>
      <c r="J35" s="165"/>
      <c r="K35" s="131"/>
      <c r="L35" s="125"/>
      <c r="M35" s="125"/>
      <c r="R35" s="240"/>
      <c r="S35" s="240"/>
    </row>
    <row r="36" spans="1:19">
      <c r="A36" s="125"/>
      <c r="B36" s="125"/>
      <c r="C36" s="125"/>
      <c r="F36" s="170"/>
      <c r="G36" s="182"/>
      <c r="H36" s="170"/>
      <c r="I36" s="167"/>
      <c r="J36" s="125"/>
      <c r="K36" s="125"/>
      <c r="L36" s="125"/>
      <c r="M36" s="125"/>
      <c r="R36" s="240"/>
      <c r="S36" s="240"/>
    </row>
    <row r="37" spans="1:19">
      <c r="A37" s="125"/>
      <c r="B37" s="125" t="s">
        <v>821</v>
      </c>
      <c r="C37" s="170" t="e">
        <f>"[("&amp;FIXED(J23,1,TRUE)&amp;")("&amp;FIXED(Main!G115-2,0,TRUE)&amp;")+("&amp;FIXED(J28,1,TRUE)&amp;")(2)]/"&amp;Main!G566&amp;" + "&amp;FIXED(scouretamin,2,TRUE)&amp;"{["&amp;FIXED('Load Factors'!S6,2,TRUE)&amp;"("&amp;FIXED(Main!I655,1,TRUE)&amp;"+"&amp;FIXED(Main!I663,1,TRUE)&amp;"+"&amp;FIXED(Main!G676,1,TRUE)&amp;")+"&amp;FIXED('Load Factors'!S7,2,TRUE)&amp;"("&amp;FIXED(Main!I657,1,TRUE)&amp;")+"&amp;FIXED('Load Factors'!S12,2,TRUE)&amp;"("&amp;FIXED(nlane2,0,TRUE)&amp;")(0.0)]/"&amp;Main!G566&amp;"} + "&amp;FIXED(scoureta,2,TRUE)&amp;"["&amp;FIXED('Load Factors'!S16,2,TRUE)&amp;"("&amp;FIXED(Main!J640,1,TRUE)&amp;") + "&amp;FIXED('Load Factors'!S17,2,TRUE)&amp;"(0.0)] "</f>
        <v>#NAME?</v>
      </c>
      <c r="D37" s="125"/>
      <c r="F37" s="170"/>
      <c r="G37" s="170"/>
      <c r="J37" s="165"/>
      <c r="K37" s="131"/>
      <c r="L37" s="125"/>
      <c r="M37" s="125"/>
      <c r="R37" s="240"/>
      <c r="S37" s="240"/>
    </row>
    <row r="38" spans="1:19">
      <c r="A38" s="125"/>
      <c r="B38" s="125"/>
      <c r="C38" s="133" t="s">
        <v>630</v>
      </c>
      <c r="D38" s="182" t="e">
        <f>(J23*(Main!G115-2)+J28*2)/Main!G566+scouretamin*(('Load Factors'!S6*(Main!I655+Main!I663+Main!G676)+'Load Factors'!S7*Main!I657+'Load Factors'!S12*nlane2*0)/Main!G566)+scoureta*('Load Factors'!S16*Main!J640)</f>
        <v>#NAME?</v>
      </c>
      <c r="E38" s="125" t="s">
        <v>521</v>
      </c>
      <c r="F38" s="170"/>
      <c r="G38" s="170"/>
      <c r="H38" s="182"/>
      <c r="I38" s="125"/>
      <c r="J38" s="165"/>
      <c r="K38" s="131"/>
      <c r="L38" s="125"/>
      <c r="M38" s="125"/>
      <c r="R38" s="240"/>
      <c r="S38" s="240"/>
    </row>
    <row r="39" spans="1:19">
      <c r="A39" s="125"/>
      <c r="B39" s="125"/>
      <c r="C39" s="125"/>
      <c r="D39" s="163" t="e">
        <f>IF(D38&lt;0,"Error - no uplift is permitted on any pile in integral abutments per DM-4 Ap. G1.2.1","")</f>
        <v>#NAME?</v>
      </c>
      <c r="F39" s="170"/>
      <c r="G39" s="170"/>
      <c r="H39" s="182"/>
      <c r="I39" s="125"/>
      <c r="J39" s="167"/>
      <c r="K39" s="125"/>
      <c r="L39" s="125"/>
      <c r="M39" s="125"/>
      <c r="R39" s="157" t="e">
        <f>IF(LEFT(D39,5)="Error",1,0)</f>
        <v>#NAME?</v>
      </c>
      <c r="S39" s="157" t="e">
        <f>IF(LEFT(D39,5)="Warni",1,0)</f>
        <v>#NAME?</v>
      </c>
    </row>
    <row r="40" spans="1:19" ht="12.75" customHeight="1">
      <c r="A40" s="583" t="s">
        <v>36</v>
      </c>
      <c r="B40" s="583"/>
      <c r="C40" s="583"/>
      <c r="D40" s="583"/>
      <c r="E40" s="583"/>
      <c r="F40" s="583"/>
      <c r="G40" s="583"/>
      <c r="H40" s="583"/>
      <c r="I40" s="583"/>
      <c r="J40" s="583"/>
      <c r="K40" s="583"/>
      <c r="L40" s="583"/>
      <c r="M40" s="583"/>
      <c r="R40" s="240"/>
      <c r="S40" s="240"/>
    </row>
    <row r="41" spans="1:19">
      <c r="A41" s="583"/>
      <c r="B41" s="583"/>
      <c r="C41" s="583"/>
      <c r="D41" s="583"/>
      <c r="E41" s="583"/>
      <c r="F41" s="583"/>
      <c r="G41" s="583"/>
      <c r="H41" s="583"/>
      <c r="I41" s="583"/>
      <c r="J41" s="583"/>
      <c r="K41" s="583"/>
      <c r="L41" s="583"/>
      <c r="M41" s="583"/>
      <c r="R41" s="240"/>
      <c r="S41" s="240"/>
    </row>
    <row r="42" spans="1:19">
      <c r="A42" s="125"/>
      <c r="B42" s="125"/>
      <c r="C42" s="125"/>
      <c r="D42" s="125"/>
      <c r="E42" s="170"/>
      <c r="F42" s="170"/>
      <c r="G42" s="170"/>
      <c r="H42" s="182"/>
      <c r="I42" s="125"/>
      <c r="J42" s="167"/>
      <c r="K42" s="125"/>
      <c r="L42" s="125"/>
      <c r="M42" s="125"/>
      <c r="R42" s="240"/>
      <c r="S42" s="240"/>
    </row>
    <row r="43" spans="1:19">
      <c r="A43" s="125" t="s">
        <v>696</v>
      </c>
      <c r="B43" s="125"/>
      <c r="C43" s="125"/>
      <c r="D43" s="125"/>
      <c r="E43" s="125"/>
      <c r="F43" s="125"/>
      <c r="G43" s="125"/>
      <c r="H43" s="125"/>
      <c r="I43" s="125"/>
      <c r="J43" s="125"/>
      <c r="R43" s="240"/>
      <c r="S43" s="240"/>
    </row>
    <row r="44" spans="1:19">
      <c r="A44" s="333" t="s">
        <v>537</v>
      </c>
      <c r="C44" s="125"/>
      <c r="R44" s="240"/>
      <c r="S44" s="240"/>
    </row>
    <row r="45" spans="1:19">
      <c r="B45" s="125" t="s">
        <v>820</v>
      </c>
      <c r="C45" s="125"/>
      <c r="D45" s="125"/>
      <c r="E45" s="174" t="e">
        <f>"[("&amp;FIXED('Load Factors'!R12,2,TRUE)&amp;")("&amp;FIXED(Main!G400,4,TRUE)&amp;") + ("&amp;FIXED('Load Factors'!R7,2,TRUE)&amp;")("&amp;IF(Main!G411*Main!G400&lt;0,"0.0000",FIXED(Main!G411,4,TRUE))&amp;")]"&amp;FIXED(scoureta,2,TRUE)&amp;" ="</f>
        <v>#DIV/0!</v>
      </c>
      <c r="F45" s="125"/>
      <c r="G45" s="125"/>
      <c r="H45" s="89" t="e">
        <f>+J45*180/PI()</f>
        <v>#DIV/0!</v>
      </c>
      <c r="I45" s="125" t="s">
        <v>833</v>
      </c>
      <c r="J45" s="189" t="e">
        <f>('Load Factors'!R12*Main!G400+'Load Factors'!R7*IF(Main!G411*Main!G400&lt;0,0,Main!G411))*scoureta</f>
        <v>#DIV/0!</v>
      </c>
      <c r="K45" s="125" t="s">
        <v>834</v>
      </c>
      <c r="R45" s="240"/>
      <c r="S45" s="240"/>
    </row>
    <row r="46" spans="1:19">
      <c r="B46" s="125" t="s">
        <v>821</v>
      </c>
      <c r="C46" s="125"/>
      <c r="D46" s="125"/>
      <c r="E46" s="174" t="e">
        <f>"[("&amp;FIXED('Load Factors'!S12,2,TRUE)&amp;")("&amp;FIXED(Main!G401,4,TRUE)&amp;") + ("&amp;FIXED('Load Factors'!R7,2,TRUE)&amp;")("&amp;IF(Main!G411*Main!G400&lt;0,FIXED(Main!G411,4,TRUE),"0.0000")&amp;")]"&amp;FIXED(scoureta,2,TRUE)&amp;" ="</f>
        <v>#DIV/0!</v>
      </c>
      <c r="F46" s="125"/>
      <c r="G46" s="125"/>
      <c r="H46" s="89" t="e">
        <f>+J46*180/PI()</f>
        <v>#DIV/0!</v>
      </c>
      <c r="I46" s="125" t="s">
        <v>833</v>
      </c>
      <c r="J46" s="189" t="e">
        <f>('Load Factors'!S12*Main!G401+'Load Factors'!R7*IF(Main!G411*Main!G400&lt;0,Main!G411,0))*scoureta</f>
        <v>#DIV/0!</v>
      </c>
      <c r="K46" s="125" t="s">
        <v>834</v>
      </c>
      <c r="R46" s="240"/>
      <c r="S46" s="240"/>
    </row>
    <row r="47" spans="1:19">
      <c r="B47" s="125"/>
      <c r="C47" s="125"/>
      <c r="D47" s="125"/>
      <c r="E47" s="125"/>
      <c r="F47" s="125"/>
      <c r="G47" s="89"/>
      <c r="H47" s="125"/>
      <c r="I47" s="189"/>
      <c r="J47" s="125"/>
      <c r="R47" s="240"/>
      <c r="S47" s="240"/>
    </row>
    <row r="48" spans="1:19" ht="13.15">
      <c r="A48" s="345" t="s">
        <v>741</v>
      </c>
      <c r="B48" s="125"/>
      <c r="C48" s="125"/>
      <c r="D48" s="125"/>
      <c r="E48" s="125"/>
      <c r="F48" s="125"/>
      <c r="G48" s="89"/>
      <c r="H48" s="125"/>
      <c r="I48" s="189"/>
      <c r="J48" s="125"/>
      <c r="R48" s="240"/>
      <c r="S48" s="240"/>
    </row>
    <row r="49" spans="1:19">
      <c r="A49" s="241" t="s">
        <v>597</v>
      </c>
      <c r="C49" s="125"/>
      <c r="D49" s="125"/>
      <c r="E49" s="125"/>
      <c r="F49" s="125"/>
      <c r="G49" s="89"/>
      <c r="H49" s="125"/>
      <c r="I49" s="189"/>
      <c r="J49" s="125"/>
      <c r="R49" s="240"/>
      <c r="S49" s="240"/>
    </row>
    <row r="50" spans="1:19">
      <c r="B50" s="125"/>
      <c r="C50" s="125"/>
      <c r="D50" s="125"/>
      <c r="E50" s="125"/>
      <c r="F50" s="125"/>
      <c r="G50" s="89"/>
      <c r="H50" s="125"/>
      <c r="I50" s="189"/>
      <c r="J50" s="125"/>
      <c r="R50" s="240"/>
      <c r="S50" s="240"/>
    </row>
    <row r="51" spans="1:19">
      <c r="A51" s="146"/>
      <c r="B51" s="348" t="s">
        <v>133</v>
      </c>
      <c r="C51" s="139"/>
      <c r="D51" s="139"/>
      <c r="E51" s="139"/>
      <c r="F51" s="139"/>
      <c r="G51" s="243"/>
      <c r="H51" s="139"/>
      <c r="I51" s="244"/>
      <c r="J51" s="139"/>
      <c r="R51" s="240"/>
      <c r="S51" s="240"/>
    </row>
    <row r="52" spans="1:19">
      <c r="A52" s="146"/>
      <c r="B52" s="139"/>
      <c r="C52" s="139" t="s">
        <v>517</v>
      </c>
      <c r="D52" s="139"/>
      <c r="E52" s="139"/>
      <c r="F52" s="139"/>
      <c r="G52" s="133">
        <f>piledesig</f>
        <v>0</v>
      </c>
      <c r="H52" s="139"/>
      <c r="I52" s="139"/>
      <c r="J52" s="210"/>
      <c r="R52" s="240"/>
      <c r="S52" s="240"/>
    </row>
    <row r="53" spans="1:19" ht="15">
      <c r="A53" s="146"/>
      <c r="B53" s="139"/>
      <c r="C53" s="139" t="s">
        <v>132</v>
      </c>
      <c r="D53" s="139"/>
      <c r="E53" s="139"/>
      <c r="F53" s="139"/>
      <c r="G53" s="210">
        <f>pileyield</f>
        <v>0</v>
      </c>
      <c r="H53" s="210" t="s">
        <v>829</v>
      </c>
      <c r="I53" s="210"/>
      <c r="R53" s="240"/>
      <c r="S53" s="240"/>
    </row>
    <row r="54" spans="1:19">
      <c r="A54" s="146"/>
      <c r="B54" s="139"/>
      <c r="C54" s="139" t="str">
        <f>IF(piletype="P","Compressive strength of pile concrete, f 'c",IF(piletype="H","Pile depth, d",""))</f>
        <v/>
      </c>
      <c r="D54" s="139"/>
      <c r="E54" s="139"/>
      <c r="F54" s="139"/>
      <c r="G54" s="245">
        <f>piledepth</f>
        <v>0</v>
      </c>
      <c r="H54" s="192" t="str">
        <f>IF(piletype="P","ksi",IF(piletype="H","in",""))</f>
        <v/>
      </c>
      <c r="I54" s="176"/>
      <c r="R54" s="240"/>
      <c r="S54" s="240"/>
    </row>
    <row r="55" spans="1:19">
      <c r="A55" s="146"/>
      <c r="B55" s="139"/>
      <c r="C55" s="139" t="str">
        <f>IF(piletype="H","Flange width, bf",IF(piletype="P","Pipe diameter, Dp",""))</f>
        <v/>
      </c>
      <c r="D55" s="139"/>
      <c r="E55" s="139"/>
      <c r="F55" s="139"/>
      <c r="G55" s="213">
        <f>pilewidth</f>
        <v>0</v>
      </c>
      <c r="H55" s="139" t="s">
        <v>516</v>
      </c>
      <c r="I55" s="213"/>
      <c r="R55" s="240"/>
      <c r="S55" s="240"/>
    </row>
    <row r="56" spans="1:19">
      <c r="A56" s="146"/>
      <c r="B56" s="139"/>
      <c r="C56" s="139" t="str">
        <f>IF(piletype="H","Flange thickness, tf",IF(piletype="P","Pipe thickness, tp",""))</f>
        <v/>
      </c>
      <c r="D56" s="139"/>
      <c r="E56" s="139"/>
      <c r="F56" s="139"/>
      <c r="G56" s="243">
        <f>pilethickness</f>
        <v>0</v>
      </c>
      <c r="H56" s="139" t="s">
        <v>516</v>
      </c>
      <c r="I56" s="243"/>
      <c r="R56" s="240"/>
      <c r="S56" s="240"/>
    </row>
    <row r="57" spans="1:19" ht="14.25">
      <c r="A57" s="146"/>
      <c r="B57" s="139"/>
      <c r="C57" s="139" t="str">
        <f>IF(piletype="H","Pile Area, Ap",IF(piletype="P","Pile area transformed to steel, Atr",""))</f>
        <v/>
      </c>
      <c r="D57" s="139"/>
      <c r="E57" s="139"/>
      <c r="F57" s="139"/>
      <c r="G57" s="213">
        <f>pilearea</f>
        <v>0</v>
      </c>
      <c r="H57" s="139" t="s">
        <v>510</v>
      </c>
      <c r="I57" s="213"/>
      <c r="R57" s="240"/>
      <c r="S57" s="240"/>
    </row>
    <row r="58" spans="1:19" ht="15">
      <c r="A58" s="146"/>
      <c r="B58" s="139"/>
      <c r="C58" s="139" t="s">
        <v>135</v>
      </c>
      <c r="D58" s="139"/>
      <c r="E58" s="139"/>
      <c r="F58" s="139"/>
      <c r="G58" s="210">
        <f>pileinertia</f>
        <v>0</v>
      </c>
      <c r="H58" s="139" t="s">
        <v>512</v>
      </c>
      <c r="I58" s="210"/>
      <c r="R58" s="240"/>
      <c r="S58" s="240"/>
    </row>
    <row r="59" spans="1:19" ht="15">
      <c r="A59" s="146"/>
      <c r="B59" s="139"/>
      <c r="C59" s="139" t="s">
        <v>513</v>
      </c>
      <c r="D59" s="139"/>
      <c r="E59" s="139"/>
      <c r="F59" s="139"/>
      <c r="G59" s="213">
        <f>pilesecmod</f>
        <v>0</v>
      </c>
      <c r="H59" s="139" t="s">
        <v>515</v>
      </c>
      <c r="I59" s="213"/>
      <c r="R59" s="240"/>
      <c r="S59" s="240"/>
    </row>
    <row r="60" spans="1:19" ht="15">
      <c r="A60" s="146"/>
      <c r="B60" s="139"/>
      <c r="C60" s="139" t="s">
        <v>514</v>
      </c>
      <c r="D60" s="139"/>
      <c r="E60" s="139"/>
      <c r="F60" s="139"/>
      <c r="G60" s="204">
        <f>pilegyration</f>
        <v>0</v>
      </c>
      <c r="H60" s="139" t="s">
        <v>516</v>
      </c>
      <c r="I60" s="204"/>
      <c r="R60" s="240"/>
      <c r="S60" s="240"/>
    </row>
    <row r="61" spans="1:19" ht="15">
      <c r="A61" s="146"/>
      <c r="B61" s="139"/>
      <c r="C61" s="139" t="s">
        <v>518</v>
      </c>
      <c r="D61" s="139"/>
      <c r="E61" s="139"/>
      <c r="F61" s="139"/>
      <c r="G61" s="213">
        <f>pileplastsecmod</f>
        <v>0</v>
      </c>
      <c r="H61" s="139" t="s">
        <v>515</v>
      </c>
      <c r="I61" s="213"/>
      <c r="R61" s="240"/>
      <c r="S61" s="240"/>
    </row>
    <row r="62" spans="1:19" ht="13.15">
      <c r="A62" s="346" t="s">
        <v>269</v>
      </c>
      <c r="B62" s="139"/>
      <c r="C62" s="139"/>
      <c r="D62" s="139"/>
      <c r="E62" s="139"/>
      <c r="F62" s="139"/>
      <c r="G62" s="246"/>
      <c r="H62" s="139"/>
      <c r="I62" s="213"/>
      <c r="J62" s="139"/>
      <c r="R62" s="240"/>
      <c r="S62" s="240"/>
    </row>
    <row r="63" spans="1:19" ht="12.75" customHeight="1">
      <c r="A63" s="583" t="s">
        <v>315</v>
      </c>
      <c r="B63" s="583"/>
      <c r="C63" s="583"/>
      <c r="D63" s="583"/>
      <c r="E63" s="583"/>
      <c r="F63" s="583"/>
      <c r="G63" s="583"/>
      <c r="H63" s="583"/>
      <c r="I63" s="583"/>
      <c r="J63" s="583"/>
      <c r="K63" s="583"/>
      <c r="L63" s="583"/>
      <c r="M63" s="583"/>
      <c r="R63" s="240"/>
      <c r="S63" s="240"/>
    </row>
    <row r="64" spans="1:19">
      <c r="A64" s="583"/>
      <c r="B64" s="583"/>
      <c r="C64" s="583"/>
      <c r="D64" s="583"/>
      <c r="E64" s="583"/>
      <c r="F64" s="583"/>
      <c r="G64" s="583"/>
      <c r="H64" s="583"/>
      <c r="I64" s="583"/>
      <c r="J64" s="583"/>
      <c r="K64" s="583"/>
      <c r="L64" s="583"/>
      <c r="M64" s="583"/>
      <c r="R64" s="240"/>
      <c r="S64" s="240"/>
    </row>
    <row r="65" spans="1:19">
      <c r="A65" s="125"/>
      <c r="B65" s="125"/>
      <c r="C65" s="125"/>
      <c r="D65" s="125"/>
      <c r="E65" s="125"/>
      <c r="F65" s="125"/>
      <c r="G65" s="125"/>
      <c r="H65" s="125"/>
      <c r="I65" s="125"/>
      <c r="J65" s="125"/>
      <c r="K65" s="125"/>
      <c r="R65" s="240"/>
      <c r="S65" s="240"/>
    </row>
    <row r="66" spans="1:19">
      <c r="A66" s="125" t="s">
        <v>254</v>
      </c>
      <c r="B66" s="125"/>
      <c r="C66" s="125"/>
      <c r="D66" s="125"/>
      <c r="E66" s="125"/>
      <c r="F66" s="125"/>
      <c r="G66" s="125"/>
      <c r="H66" s="125"/>
      <c r="I66" s="125"/>
      <c r="J66" s="125"/>
      <c r="K66" s="125"/>
      <c r="R66" s="240"/>
      <c r="S66" s="240"/>
    </row>
    <row r="67" spans="1:19">
      <c r="A67" s="125"/>
      <c r="B67" s="125"/>
      <c r="C67" s="125" t="s">
        <v>334</v>
      </c>
      <c r="E67" s="125"/>
      <c r="F67" s="125"/>
      <c r="G67" s="585" t="str">
        <f>IF(piletype="H","      "&amp;piledesig,IF(piletype="P","      "&amp;Main!G547&amp;" in",""))</f>
        <v/>
      </c>
      <c r="H67" s="585"/>
      <c r="I67" s="166"/>
      <c r="J67" s="166"/>
      <c r="K67" s="166"/>
      <c r="L67" s="125"/>
      <c r="R67" s="240"/>
      <c r="S67" s="240"/>
    </row>
    <row r="68" spans="1:19">
      <c r="A68" s="125"/>
      <c r="B68" s="125"/>
      <c r="C68" s="125"/>
      <c r="D68" s="125" t="s">
        <v>260</v>
      </c>
      <c r="E68" s="125"/>
      <c r="F68" s="125"/>
      <c r="G68" s="133" t="str">
        <f>IF(piletype="H",piledepth,IF(piletype="P",pilewidth,""))</f>
        <v/>
      </c>
      <c r="H68" s="125" t="s">
        <v>516</v>
      </c>
      <c r="I68" s="176"/>
      <c r="K68" s="125"/>
      <c r="L68" s="125"/>
      <c r="M68" s="125"/>
      <c r="R68" s="240"/>
      <c r="S68" s="240"/>
    </row>
    <row r="69" spans="1:19" ht="14.25">
      <c r="A69" s="125"/>
      <c r="B69" s="125"/>
      <c r="C69" s="125"/>
      <c r="D69" s="125" t="s">
        <v>261</v>
      </c>
      <c r="E69" s="125"/>
      <c r="F69" s="125"/>
      <c r="G69" s="217">
        <f>+pileinertia</f>
        <v>0</v>
      </c>
      <c r="H69" s="181" t="s">
        <v>512</v>
      </c>
      <c r="I69" s="177"/>
      <c r="K69" s="125"/>
      <c r="L69" s="125"/>
      <c r="M69" s="125"/>
      <c r="R69" s="240"/>
      <c r="S69" s="240"/>
    </row>
    <row r="70" spans="1:19" ht="14.25">
      <c r="A70" s="125"/>
      <c r="B70" s="125"/>
      <c r="C70" s="125"/>
      <c r="D70" s="125" t="s">
        <v>259</v>
      </c>
      <c r="E70" s="125"/>
      <c r="F70" s="125"/>
      <c r="G70" s="209">
        <f>+pilearea</f>
        <v>0</v>
      </c>
      <c r="H70" s="125" t="s">
        <v>510</v>
      </c>
      <c r="I70" s="177"/>
      <c r="K70" s="125"/>
      <c r="L70" s="125"/>
      <c r="M70" s="125"/>
      <c r="R70" s="240"/>
      <c r="S70" s="240"/>
    </row>
    <row r="71" spans="1:19">
      <c r="A71" s="125"/>
      <c r="B71" s="125"/>
      <c r="C71" s="125" t="s">
        <v>290</v>
      </c>
      <c r="E71" s="125"/>
      <c r="F71" s="125"/>
      <c r="G71" s="176" t="e">
        <f>+D35</f>
        <v>#NAME?</v>
      </c>
      <c r="H71" s="125" t="s">
        <v>338</v>
      </c>
      <c r="I71" s="176"/>
      <c r="K71" s="125"/>
      <c r="R71" s="240"/>
      <c r="S71" s="240"/>
    </row>
    <row r="72" spans="1:19">
      <c r="A72" s="125"/>
      <c r="B72" s="125"/>
      <c r="C72" s="125" t="s">
        <v>291</v>
      </c>
      <c r="E72" s="125"/>
      <c r="F72" s="125"/>
      <c r="G72" s="189" t="e">
        <f>+MAX(ABS(J45),ABS(J46))</f>
        <v>#DIV/0!</v>
      </c>
      <c r="H72" s="241" t="s">
        <v>834</v>
      </c>
      <c r="I72" s="89" t="e">
        <f>+MAX(ABS(H45),ABS(H46))</f>
        <v>#DIV/0!</v>
      </c>
      <c r="J72" s="125" t="s">
        <v>833</v>
      </c>
      <c r="K72" s="125"/>
      <c r="R72" s="240"/>
      <c r="S72" s="240"/>
    </row>
    <row r="73" spans="1:19">
      <c r="A73" s="125"/>
      <c r="B73" s="125"/>
      <c r="C73" s="125" t="s">
        <v>292</v>
      </c>
      <c r="E73" s="125"/>
      <c r="F73" s="125"/>
      <c r="G73" s="167">
        <f>+Main!G829</f>
        <v>0</v>
      </c>
      <c r="H73" s="125" t="s">
        <v>516</v>
      </c>
      <c r="I73" s="167"/>
      <c r="K73" s="125"/>
      <c r="R73" s="240"/>
      <c r="S73" s="240"/>
    </row>
    <row r="74" spans="1:19" ht="13.15" thickBot="1">
      <c r="A74" s="125"/>
      <c r="B74" s="125"/>
      <c r="C74" s="170" t="s">
        <v>437</v>
      </c>
      <c r="D74" s="125"/>
      <c r="E74" s="170"/>
      <c r="F74" s="170"/>
      <c r="G74" s="188">
        <f>Main!G830</f>
        <v>0</v>
      </c>
      <c r="H74" s="170" t="s">
        <v>830</v>
      </c>
      <c r="I74" s="188">
        <f>G74*12</f>
        <v>0</v>
      </c>
      <c r="J74" s="185" t="s">
        <v>255</v>
      </c>
      <c r="K74" s="125"/>
      <c r="R74" s="240"/>
      <c r="S74" s="240"/>
    </row>
    <row r="75" spans="1:19" ht="15.4" thickBot="1">
      <c r="C75" s="241" t="s">
        <v>538</v>
      </c>
      <c r="G75" s="47"/>
      <c r="H75" s="125" t="s">
        <v>516</v>
      </c>
      <c r="I75" s="167">
        <f>+G75/12</f>
        <v>0</v>
      </c>
      <c r="J75" s="125" t="s">
        <v>337</v>
      </c>
      <c r="R75" s="240"/>
      <c r="S75" s="240"/>
    </row>
    <row r="76" spans="1:19">
      <c r="B76" s="247" t="str">
        <f>IF(scourdepth&gt;pilelength*12,"Error - scour depth is longer than the pile length","")</f>
        <v/>
      </c>
      <c r="R76" s="240"/>
      <c r="S76" s="240"/>
    </row>
    <row r="77" spans="1:19">
      <c r="A77" s="595" t="s">
        <v>66</v>
      </c>
      <c r="B77" s="595"/>
      <c r="C77" s="595"/>
      <c r="D77" s="595"/>
      <c r="E77" s="595"/>
      <c r="F77" s="595"/>
      <c r="G77" s="595"/>
      <c r="H77" s="595"/>
      <c r="I77" s="595"/>
      <c r="J77" s="595"/>
      <c r="K77" s="595"/>
      <c r="R77" s="240"/>
      <c r="S77" s="240"/>
    </row>
    <row r="78" spans="1:19">
      <c r="A78" s="125"/>
      <c r="B78" s="125"/>
      <c r="C78" s="125"/>
      <c r="D78" s="125"/>
      <c r="E78" s="125"/>
      <c r="F78" s="125"/>
      <c r="G78" s="125"/>
      <c r="H78" s="125"/>
      <c r="I78" s="125"/>
      <c r="J78" s="125"/>
      <c r="R78" s="240"/>
      <c r="S78" s="240"/>
    </row>
    <row r="79" spans="1:19" ht="13.15" thickBot="1">
      <c r="A79" s="595" t="s">
        <v>680</v>
      </c>
      <c r="B79" s="595"/>
      <c r="C79" s="595"/>
      <c r="D79" s="595"/>
      <c r="E79" s="595"/>
      <c r="F79" s="595"/>
      <c r="G79" s="595"/>
      <c r="H79" s="595"/>
      <c r="I79" s="595"/>
      <c r="J79" s="595"/>
      <c r="R79" s="240"/>
      <c r="S79" s="240"/>
    </row>
    <row r="80" spans="1:19" ht="15.4" thickBot="1">
      <c r="A80" s="125"/>
      <c r="B80" s="125"/>
      <c r="C80" s="125" t="s">
        <v>539</v>
      </c>
      <c r="D80" s="125"/>
      <c r="E80" s="125"/>
      <c r="F80" s="125"/>
      <c r="G80" s="66">
        <v>175</v>
      </c>
      <c r="H80" s="125" t="s">
        <v>516</v>
      </c>
      <c r="I80" s="167">
        <f>+G80/12</f>
        <v>14.583333333333334</v>
      </c>
      <c r="J80" s="125" t="s">
        <v>337</v>
      </c>
      <c r="R80" s="240"/>
      <c r="S80" s="240"/>
    </row>
    <row r="81" spans="1:20">
      <c r="A81" s="125"/>
      <c r="B81" s="163" t="e">
        <f>IF(scourfixity&gt;pilelength*12,"Error - depth to fixity is longer than the pile length","")</f>
        <v>#NAME?</v>
      </c>
      <c r="C81" s="125"/>
      <c r="D81" s="125"/>
      <c r="E81" s="125"/>
      <c r="F81" s="125"/>
      <c r="G81" s="125"/>
      <c r="H81" s="125"/>
      <c r="I81" s="167"/>
      <c r="J81" s="125"/>
      <c r="R81" s="157" t="e">
        <f>IF(LEFT(B81,5)="Error",1,0)</f>
        <v>#NAME?</v>
      </c>
      <c r="S81" s="157" t="e">
        <f>IF(LEFT(B81,5)="Warni",1,0)</f>
        <v>#NAME?</v>
      </c>
      <c r="T81" s="240"/>
    </row>
    <row r="82" spans="1:20" ht="15" customHeight="1">
      <c r="A82" s="581" t="str">
        <f>"The depth at which friction becomes effective for piles is defined as the point where the deflection reaches less than 2% of the pile "&amp;IF(piletype="H","width","diameter")&amp;".  For the present pile (see section properties in main tab), this deflection value is (0.02)("&amp;IF(piletype="P",FIXED(pilewidth,2)&amp;") = "&amp;FIXED(0.02*pilewidth,2)&amp;" in",FIXED(piledepth,1)&amp;") = "&amp;FIXED(0.02*piledepth,2)&amp;" in")&amp;".  Any length of pile above this depth is considered ineffective in the design of friction piles.  For the scour case, include the length of exposed pile in this value.  This value is not required for bearing piles."</f>
        <v>The depth at which friction becomes effective for piles is defined as the point where the deflection reaches less than 2% of the pile diameter.  For the present pile (see section properties in main tab), this deflection value is (0.02)(0.0) = 0.00 in.  Any length of pile above this depth is considered ineffective in the design of friction piles.  For the scour case, include the length of exposed pile in this value.  This value is not required for bearing piles.</v>
      </c>
      <c r="B82" s="581"/>
      <c r="C82" s="581"/>
      <c r="D82" s="581"/>
      <c r="E82" s="581"/>
      <c r="F82" s="581"/>
      <c r="G82" s="581"/>
      <c r="H82" s="581"/>
      <c r="I82" s="581"/>
      <c r="J82" s="581"/>
      <c r="K82" s="581"/>
      <c r="L82" s="581"/>
      <c r="M82" s="581"/>
      <c r="R82" s="240"/>
      <c r="S82" s="240"/>
    </row>
    <row r="83" spans="1:20">
      <c r="A83" s="581"/>
      <c r="B83" s="581"/>
      <c r="C83" s="581"/>
      <c r="D83" s="581"/>
      <c r="E83" s="581"/>
      <c r="F83" s="581"/>
      <c r="G83" s="581"/>
      <c r="H83" s="581"/>
      <c r="I83" s="581"/>
      <c r="J83" s="581"/>
      <c r="K83" s="581"/>
      <c r="L83" s="581"/>
      <c r="M83" s="581"/>
      <c r="R83" s="240"/>
      <c r="S83" s="240"/>
    </row>
    <row r="84" spans="1:20">
      <c r="A84" s="581"/>
      <c r="B84" s="581"/>
      <c r="C84" s="581"/>
      <c r="D84" s="581"/>
      <c r="E84" s="581"/>
      <c r="F84" s="581"/>
      <c r="G84" s="581"/>
      <c r="H84" s="581"/>
      <c r="I84" s="581"/>
      <c r="J84" s="581"/>
      <c r="K84" s="581"/>
      <c r="L84" s="581"/>
      <c r="M84" s="581"/>
      <c r="R84" s="240"/>
      <c r="S84" s="240"/>
    </row>
    <row r="85" spans="1:20" ht="13.15" thickBot="1">
      <c r="A85" s="581"/>
      <c r="B85" s="581"/>
      <c r="C85" s="581"/>
      <c r="D85" s="581"/>
      <c r="E85" s="581"/>
      <c r="F85" s="581"/>
      <c r="G85" s="581"/>
      <c r="H85" s="581"/>
      <c r="I85" s="581"/>
      <c r="J85" s="581"/>
      <c r="K85" s="581"/>
      <c r="L85" s="581"/>
      <c r="M85" s="581"/>
      <c r="R85" s="240"/>
      <c r="S85" s="240"/>
    </row>
    <row r="86" spans="1:20" ht="15.4" thickBot="1">
      <c r="A86" s="191"/>
      <c r="B86" s="191"/>
      <c r="C86" s="125" t="s">
        <v>329</v>
      </c>
      <c r="D86" s="125"/>
      <c r="E86" s="125"/>
      <c r="F86" s="125"/>
      <c r="G86" s="20"/>
      <c r="H86" s="125" t="s">
        <v>516</v>
      </c>
      <c r="I86" s="167">
        <f>+G86/12</f>
        <v>0</v>
      </c>
      <c r="J86" s="125" t="s">
        <v>337</v>
      </c>
      <c r="R86" s="240"/>
      <c r="S86" s="240"/>
    </row>
    <row r="87" spans="1:20">
      <c r="A87" s="191"/>
      <c r="B87" s="191"/>
      <c r="C87" s="125"/>
      <c r="D87" s="125"/>
      <c r="E87" s="125"/>
      <c r="F87" s="125"/>
      <c r="G87" s="261"/>
      <c r="H87" s="125"/>
      <c r="I87" s="167"/>
      <c r="J87" s="125"/>
      <c r="R87" s="240"/>
      <c r="S87" s="240"/>
    </row>
    <row r="88" spans="1:20" ht="15.4" thickBot="1">
      <c r="A88" s="125" t="s">
        <v>37</v>
      </c>
      <c r="B88" s="125"/>
      <c r="C88" s="125"/>
      <c r="D88" s="125"/>
      <c r="E88" s="125"/>
      <c r="F88" s="125"/>
      <c r="G88" s="125"/>
      <c r="H88" s="125"/>
      <c r="I88" s="125"/>
      <c r="J88" s="125"/>
      <c r="R88" s="240"/>
      <c r="S88" s="240"/>
    </row>
    <row r="89" spans="1:20" ht="15.4" thickBot="1">
      <c r="A89" s="139"/>
      <c r="B89" s="139"/>
      <c r="C89" s="139" t="s">
        <v>803</v>
      </c>
      <c r="D89" s="139"/>
      <c r="E89" s="139"/>
      <c r="F89" s="139"/>
      <c r="G89" s="46"/>
      <c r="H89" s="139" t="s">
        <v>830</v>
      </c>
      <c r="I89" s="204">
        <f>+G89*12</f>
        <v>0</v>
      </c>
      <c r="J89" s="139" t="s">
        <v>255</v>
      </c>
      <c r="R89" s="240"/>
      <c r="S89" s="240"/>
    </row>
    <row r="90" spans="1:20">
      <c r="A90" s="125"/>
      <c r="B90" s="125"/>
      <c r="C90" s="181"/>
      <c r="D90" s="125"/>
      <c r="E90" s="125"/>
      <c r="F90" s="125"/>
      <c r="G90" s="125"/>
      <c r="H90" s="181"/>
      <c r="I90" s="167"/>
      <c r="J90" s="125"/>
      <c r="R90" s="240"/>
      <c r="S90" s="240"/>
    </row>
    <row r="91" spans="1:20">
      <c r="A91" s="125"/>
      <c r="B91" s="125"/>
      <c r="C91" s="181"/>
      <c r="D91" s="125"/>
      <c r="E91" s="125"/>
      <c r="F91" s="125"/>
      <c r="G91" s="125"/>
      <c r="H91" s="181"/>
      <c r="I91" s="167"/>
      <c r="J91" s="125"/>
      <c r="R91" s="240"/>
      <c r="S91" s="240"/>
    </row>
    <row r="92" spans="1:20">
      <c r="A92" s="125"/>
      <c r="B92" s="125"/>
      <c r="C92" s="181"/>
      <c r="D92" s="125" t="s">
        <v>435</v>
      </c>
      <c r="E92" s="125"/>
      <c r="F92" s="125"/>
      <c r="G92" s="125"/>
      <c r="H92" s="181"/>
      <c r="I92" s="216" t="s">
        <v>436</v>
      </c>
      <c r="J92" s="125"/>
      <c r="R92" s="240"/>
      <c r="S92" s="240"/>
    </row>
    <row r="93" spans="1:20">
      <c r="A93" s="125"/>
      <c r="B93" s="125"/>
      <c r="C93" s="181"/>
      <c r="D93" s="125"/>
      <c r="E93" s="125"/>
      <c r="F93" s="125"/>
      <c r="G93" s="125"/>
      <c r="H93" s="181"/>
      <c r="I93" s="167"/>
      <c r="J93" s="125"/>
      <c r="R93" s="240"/>
      <c r="S93" s="240"/>
    </row>
    <row r="94" spans="1:20">
      <c r="A94" s="125"/>
      <c r="B94" s="125"/>
      <c r="C94" s="181"/>
      <c r="D94" s="125"/>
      <c r="E94" s="125"/>
      <c r="F94" s="125"/>
      <c r="G94" s="125"/>
      <c r="H94" s="181"/>
      <c r="I94" s="167"/>
      <c r="J94" s="125"/>
      <c r="R94" s="240"/>
      <c r="S94" s="240"/>
    </row>
    <row r="95" spans="1:20">
      <c r="A95" s="125"/>
      <c r="B95" s="125"/>
      <c r="C95" s="181"/>
      <c r="D95" s="125"/>
      <c r="E95" s="125"/>
      <c r="F95" s="125"/>
      <c r="G95" s="125"/>
      <c r="H95" s="181"/>
      <c r="I95" s="167"/>
      <c r="J95" s="125"/>
      <c r="R95" s="240"/>
      <c r="S95" s="240"/>
    </row>
    <row r="96" spans="1:20">
      <c r="A96" s="125"/>
      <c r="B96" s="125"/>
      <c r="C96" s="181"/>
      <c r="D96" s="125"/>
      <c r="E96" s="125"/>
      <c r="F96" s="125"/>
      <c r="G96" s="125"/>
      <c r="H96" s="181"/>
      <c r="I96" s="167"/>
      <c r="J96" s="125"/>
      <c r="R96" s="240"/>
      <c r="S96" s="240"/>
    </row>
    <row r="97" spans="1:19">
      <c r="A97" s="125"/>
      <c r="B97" s="125"/>
      <c r="C97" s="181"/>
      <c r="D97" s="125"/>
      <c r="E97" s="125"/>
      <c r="F97" s="125"/>
      <c r="G97" s="125"/>
      <c r="H97" s="181"/>
      <c r="I97" s="167"/>
      <c r="J97" s="125"/>
      <c r="R97" s="240"/>
      <c r="S97" s="240"/>
    </row>
    <row r="98" spans="1:19">
      <c r="A98" s="125"/>
      <c r="B98" s="125"/>
      <c r="C98" s="181"/>
      <c r="D98" s="125"/>
      <c r="E98" s="125"/>
      <c r="F98" s="125"/>
      <c r="G98" s="125"/>
      <c r="H98" s="181"/>
      <c r="I98" s="167"/>
      <c r="J98" s="125"/>
      <c r="R98" s="240"/>
      <c r="S98" s="240"/>
    </row>
    <row r="99" spans="1:19">
      <c r="A99" s="125"/>
      <c r="B99" s="125"/>
      <c r="C99" s="181"/>
      <c r="D99" s="125"/>
      <c r="E99" s="125"/>
      <c r="F99" s="125"/>
      <c r="G99" s="125"/>
      <c r="H99" s="181"/>
      <c r="I99" s="167"/>
      <c r="J99" s="125"/>
      <c r="R99" s="240"/>
      <c r="S99" s="240"/>
    </row>
    <row r="100" spans="1:19">
      <c r="A100" s="125"/>
      <c r="B100" s="125"/>
      <c r="C100" s="181"/>
      <c r="D100" s="125"/>
      <c r="E100" s="125"/>
      <c r="F100" s="125"/>
      <c r="G100" s="125"/>
      <c r="H100" s="181"/>
      <c r="I100" s="167"/>
      <c r="J100" s="125"/>
      <c r="R100" s="240"/>
      <c r="S100" s="240"/>
    </row>
    <row r="101" spans="1:19">
      <c r="A101" s="125"/>
      <c r="B101" s="125"/>
      <c r="C101" s="181"/>
      <c r="D101" s="125"/>
      <c r="E101" s="125"/>
      <c r="F101" s="125"/>
      <c r="G101" s="125"/>
      <c r="H101" s="181"/>
      <c r="I101" s="167"/>
      <c r="J101" s="125"/>
      <c r="R101" s="240"/>
      <c r="S101" s="240"/>
    </row>
    <row r="102" spans="1:19">
      <c r="A102" s="125"/>
      <c r="B102" s="125"/>
      <c r="C102" s="181"/>
      <c r="D102" s="125"/>
      <c r="E102" s="125"/>
      <c r="F102" s="125"/>
      <c r="G102" s="125"/>
      <c r="H102" s="181"/>
      <c r="I102" s="167"/>
      <c r="J102" s="125"/>
      <c r="R102" s="240"/>
      <c r="S102" s="240"/>
    </row>
    <row r="103" spans="1:19">
      <c r="A103" s="125"/>
      <c r="B103" s="125"/>
      <c r="C103" s="181"/>
      <c r="D103" s="125"/>
      <c r="E103" s="125"/>
      <c r="F103" s="125"/>
      <c r="G103" s="125"/>
      <c r="H103" s="181"/>
      <c r="I103" s="167"/>
      <c r="J103" s="125"/>
      <c r="R103" s="240"/>
      <c r="S103" s="240"/>
    </row>
    <row r="104" spans="1:19">
      <c r="A104" s="125"/>
      <c r="B104" s="125"/>
      <c r="C104" s="181"/>
      <c r="D104" s="125"/>
      <c r="E104" s="125"/>
      <c r="F104" s="125"/>
      <c r="G104" s="125"/>
      <c r="H104" s="181"/>
      <c r="I104" s="167"/>
      <c r="J104" s="125"/>
      <c r="R104" s="240"/>
      <c r="S104" s="240"/>
    </row>
    <row r="105" spans="1:19">
      <c r="A105" s="125"/>
      <c r="B105" s="125"/>
      <c r="C105" s="181"/>
      <c r="D105" s="125"/>
      <c r="E105" s="125"/>
      <c r="F105" s="125"/>
      <c r="G105" s="125"/>
      <c r="H105" s="181"/>
      <c r="I105" s="167"/>
      <c r="J105" s="125"/>
      <c r="R105" s="240"/>
      <c r="S105" s="240"/>
    </row>
    <row r="106" spans="1:19">
      <c r="A106" s="125"/>
      <c r="B106" s="125"/>
      <c r="C106" s="181"/>
      <c r="D106" s="125"/>
      <c r="E106" s="125"/>
      <c r="F106" s="125"/>
      <c r="G106" s="125"/>
      <c r="H106" s="181"/>
      <c r="I106" s="167"/>
      <c r="J106" s="125"/>
      <c r="R106" s="240"/>
      <c r="S106" s="240"/>
    </row>
    <row r="107" spans="1:19">
      <c r="A107" s="125"/>
      <c r="B107" s="125"/>
      <c r="C107" s="181"/>
      <c r="D107" s="125"/>
      <c r="E107" s="125"/>
      <c r="F107" s="125"/>
      <c r="G107" s="125"/>
      <c r="H107" s="181"/>
      <c r="I107" s="167"/>
      <c r="J107" s="125"/>
      <c r="R107" s="240"/>
      <c r="S107" s="240"/>
    </row>
    <row r="108" spans="1:19">
      <c r="A108" s="125"/>
      <c r="B108" s="125"/>
      <c r="C108" s="181"/>
      <c r="D108" s="125"/>
      <c r="E108" s="125"/>
      <c r="F108" s="125"/>
      <c r="G108" s="125"/>
      <c r="H108" s="181"/>
      <c r="I108" s="167"/>
      <c r="J108" s="125"/>
      <c r="R108" s="240"/>
      <c r="S108" s="240"/>
    </row>
    <row r="109" spans="1:19" ht="13.15">
      <c r="A109" s="253" t="s">
        <v>270</v>
      </c>
      <c r="B109" s="125"/>
      <c r="C109" s="181"/>
      <c r="D109" s="125"/>
      <c r="E109" s="125"/>
      <c r="F109" s="125"/>
      <c r="G109" s="125"/>
      <c r="H109" s="181"/>
      <c r="I109" s="167"/>
      <c r="J109" s="125"/>
      <c r="R109" s="240"/>
      <c r="S109" s="240"/>
    </row>
    <row r="110" spans="1:19">
      <c r="A110" s="595" t="s">
        <v>382</v>
      </c>
      <c r="B110" s="595"/>
      <c r="C110" s="595"/>
      <c r="D110" s="595"/>
      <c r="E110" s="595"/>
      <c r="F110" s="595"/>
      <c r="G110" s="595"/>
      <c r="H110" s="595"/>
      <c r="I110" s="595"/>
      <c r="J110" s="595"/>
      <c r="K110" s="125"/>
      <c r="L110" s="125"/>
      <c r="M110" s="125"/>
      <c r="R110" s="240"/>
      <c r="S110" s="240"/>
    </row>
    <row r="111" spans="1:19" ht="15">
      <c r="A111" s="125"/>
      <c r="B111" s="125"/>
      <c r="C111" s="125" t="s">
        <v>688</v>
      </c>
      <c r="D111" s="125"/>
      <c r="E111" s="125"/>
      <c r="F111" s="125"/>
      <c r="G111" s="125">
        <f>Main!G569*12</f>
        <v>0</v>
      </c>
      <c r="H111" s="196" t="s">
        <v>516</v>
      </c>
      <c r="I111" s="167">
        <f>G111/12</f>
        <v>0</v>
      </c>
      <c r="J111" s="125" t="s">
        <v>337</v>
      </c>
      <c r="K111" s="125"/>
      <c r="L111" s="125"/>
      <c r="M111" s="125"/>
      <c r="R111" s="240"/>
      <c r="S111" s="240"/>
    </row>
    <row r="112" spans="1:19">
      <c r="A112" s="125"/>
      <c r="B112" s="125"/>
      <c r="C112" s="125"/>
      <c r="D112" s="125"/>
      <c r="E112" s="125"/>
      <c r="F112" s="125"/>
      <c r="G112" s="125"/>
      <c r="H112" s="196"/>
      <c r="I112" s="167"/>
      <c r="J112" s="125"/>
      <c r="K112" s="125"/>
      <c r="L112" s="125"/>
      <c r="M112" s="125"/>
      <c r="R112" s="240"/>
      <c r="S112" s="240"/>
    </row>
    <row r="113" spans="1:19" ht="12.75" customHeight="1">
      <c r="A113" s="583" t="s">
        <v>316</v>
      </c>
      <c r="B113" s="583"/>
      <c r="C113" s="583"/>
      <c r="D113" s="583"/>
      <c r="E113" s="583"/>
      <c r="F113" s="583"/>
      <c r="G113" s="583"/>
      <c r="H113" s="583"/>
      <c r="I113" s="583"/>
      <c r="J113" s="583"/>
      <c r="K113" s="583"/>
      <c r="L113" s="583"/>
      <c r="M113" s="583"/>
      <c r="R113" s="240"/>
      <c r="S113" s="240"/>
    </row>
    <row r="114" spans="1:19">
      <c r="A114" s="583"/>
      <c r="B114" s="583"/>
      <c r="C114" s="583"/>
      <c r="D114" s="583"/>
      <c r="E114" s="583"/>
      <c r="F114" s="583"/>
      <c r="G114" s="583"/>
      <c r="H114" s="583"/>
      <c r="I114" s="583"/>
      <c r="J114" s="583"/>
      <c r="K114" s="583"/>
      <c r="L114" s="583"/>
      <c r="M114" s="583"/>
      <c r="R114" s="240"/>
      <c r="S114" s="240"/>
    </row>
    <row r="115" spans="1:19">
      <c r="A115" s="583"/>
      <c r="B115" s="583"/>
      <c r="C115" s="583"/>
      <c r="D115" s="583"/>
      <c r="E115" s="583"/>
      <c r="F115" s="583"/>
      <c r="G115" s="583"/>
      <c r="H115" s="583"/>
      <c r="I115" s="583"/>
      <c r="J115" s="583"/>
      <c r="K115" s="583"/>
      <c r="L115" s="583"/>
      <c r="M115" s="583"/>
      <c r="R115" s="240"/>
      <c r="S115" s="240"/>
    </row>
    <row r="116" spans="1:19">
      <c r="A116" s="583"/>
      <c r="B116" s="583"/>
      <c r="C116" s="583"/>
      <c r="D116" s="583"/>
      <c r="E116" s="583"/>
      <c r="F116" s="583"/>
      <c r="G116" s="583"/>
      <c r="H116" s="583"/>
      <c r="I116" s="583"/>
      <c r="J116" s="583"/>
      <c r="K116" s="583"/>
      <c r="L116" s="583"/>
      <c r="M116" s="583"/>
      <c r="R116" s="240"/>
      <c r="S116" s="240"/>
    </row>
    <row r="117" spans="1:19">
      <c r="A117" s="583"/>
      <c r="B117" s="583"/>
      <c r="C117" s="583"/>
      <c r="D117" s="583"/>
      <c r="E117" s="583"/>
      <c r="F117" s="583"/>
      <c r="G117" s="583"/>
      <c r="H117" s="583"/>
      <c r="I117" s="583"/>
      <c r="J117" s="583"/>
      <c r="K117" s="583"/>
      <c r="L117" s="583"/>
      <c r="M117" s="583"/>
      <c r="R117" s="240"/>
      <c r="S117" s="240"/>
    </row>
    <row r="118" spans="1:19">
      <c r="A118" s="125"/>
      <c r="B118" s="125" t="s">
        <v>385</v>
      </c>
      <c r="C118" s="125"/>
      <c r="D118" s="125"/>
      <c r="E118" s="125"/>
      <c r="F118" s="125"/>
      <c r="G118" s="125"/>
      <c r="H118" s="125"/>
      <c r="I118" s="125"/>
      <c r="J118" s="125"/>
      <c r="K118" s="125"/>
      <c r="L118" s="125"/>
      <c r="M118" s="125"/>
      <c r="R118" s="240"/>
      <c r="S118" s="240"/>
    </row>
    <row r="119" spans="1:19" ht="15">
      <c r="A119" s="125"/>
      <c r="B119" s="125"/>
      <c r="C119" s="125" t="s">
        <v>386</v>
      </c>
      <c r="D119" s="125"/>
      <c r="E119" s="125"/>
      <c r="F119" s="125"/>
      <c r="G119" s="125" t="str">
        <f>+G111&amp;" - "&amp;G86</f>
        <v xml:space="preserve">0 - </v>
      </c>
      <c r="H119" s="125"/>
      <c r="I119" s="125"/>
      <c r="J119" s="125"/>
      <c r="K119" s="125"/>
      <c r="L119" s="125"/>
      <c r="M119" s="125"/>
      <c r="R119" s="240"/>
      <c r="S119" s="240"/>
    </row>
    <row r="120" spans="1:19" ht="15">
      <c r="A120" s="125"/>
      <c r="B120" s="125"/>
      <c r="C120" s="133" t="s">
        <v>631</v>
      </c>
      <c r="D120" s="347">
        <f>+G111-G86</f>
        <v>0</v>
      </c>
      <c r="E120" s="196" t="str">
        <f>"in = "&amp;FIXED(D120/12,2)&amp;" ft"</f>
        <v>in = 0.00 ft</v>
      </c>
      <c r="F120" s="125"/>
      <c r="I120" s="167"/>
      <c r="J120" s="125"/>
      <c r="K120" s="125"/>
      <c r="L120" s="125"/>
      <c r="M120" s="125"/>
      <c r="R120" s="240"/>
      <c r="S120" s="240"/>
    </row>
    <row r="121" spans="1:19">
      <c r="A121" s="125"/>
      <c r="B121" s="125"/>
      <c r="C121" s="125"/>
      <c r="F121" s="125"/>
      <c r="G121" s="173"/>
      <c r="H121" s="196"/>
      <c r="I121" s="167"/>
      <c r="J121" s="125"/>
      <c r="K121" s="125"/>
      <c r="L121" s="125"/>
      <c r="M121" s="125"/>
      <c r="R121" s="240"/>
      <c r="S121" s="240"/>
    </row>
    <row r="122" spans="1:19" ht="12.75" customHeight="1">
      <c r="A122" s="578" t="s">
        <v>548</v>
      </c>
      <c r="B122" s="578"/>
      <c r="C122" s="578"/>
      <c r="D122" s="578"/>
      <c r="E122" s="578"/>
      <c r="F122" s="578"/>
      <c r="G122" s="578"/>
      <c r="H122" s="578"/>
      <c r="I122" s="578"/>
      <c r="J122" s="578"/>
      <c r="K122" s="578"/>
      <c r="L122" s="578"/>
      <c r="M122" s="578"/>
      <c r="R122" s="240"/>
      <c r="S122" s="240"/>
    </row>
    <row r="123" spans="1:19">
      <c r="A123" s="578"/>
      <c r="B123" s="578"/>
      <c r="C123" s="578"/>
      <c r="D123" s="578"/>
      <c r="E123" s="578"/>
      <c r="F123" s="578"/>
      <c r="G123" s="578"/>
      <c r="H123" s="578"/>
      <c r="I123" s="578"/>
      <c r="J123" s="578"/>
      <c r="K123" s="578"/>
      <c r="L123" s="578"/>
      <c r="M123" s="578"/>
      <c r="R123" s="240"/>
      <c r="S123" s="240"/>
    </row>
    <row r="124" spans="1:19">
      <c r="A124" s="137"/>
      <c r="B124" s="137"/>
      <c r="C124" s="137"/>
      <c r="D124" s="137"/>
      <c r="E124" s="137"/>
      <c r="F124" s="137"/>
      <c r="G124" s="137"/>
      <c r="H124" s="137"/>
      <c r="I124" s="137"/>
      <c r="J124" s="137"/>
      <c r="K124" s="125"/>
      <c r="L124" s="125"/>
      <c r="M124" s="125"/>
      <c r="R124" s="240"/>
      <c r="S124" s="240"/>
    </row>
    <row r="125" spans="1:19">
      <c r="A125" s="125"/>
      <c r="B125" s="125" t="s">
        <v>549</v>
      </c>
      <c r="C125" s="125"/>
      <c r="D125" s="125"/>
      <c r="E125" s="125"/>
      <c r="F125" s="125"/>
      <c r="G125" s="125"/>
      <c r="H125" s="196"/>
      <c r="I125" s="166"/>
      <c r="J125" s="125"/>
      <c r="K125" s="125"/>
      <c r="L125" s="125"/>
      <c r="M125" s="125"/>
      <c r="R125" s="240"/>
      <c r="S125" s="240"/>
    </row>
    <row r="126" spans="1:19" ht="15">
      <c r="A126" s="125"/>
      <c r="B126" s="125"/>
      <c r="C126" s="139" t="s">
        <v>552</v>
      </c>
      <c r="D126" s="125"/>
      <c r="E126" s="125"/>
      <c r="F126" s="125"/>
      <c r="G126" s="167">
        <v>1</v>
      </c>
      <c r="H126" s="196"/>
      <c r="I126" s="166"/>
      <c r="J126" s="125"/>
      <c r="K126" s="125"/>
      <c r="L126" s="125" t="s">
        <v>67</v>
      </c>
      <c r="M126" s="125"/>
      <c r="N126" s="248">
        <f>brngresfact</f>
        <v>0</v>
      </c>
      <c r="R126" s="240"/>
      <c r="S126" s="240"/>
    </row>
    <row r="127" spans="1:19" ht="15">
      <c r="A127" s="125"/>
      <c r="B127" s="125"/>
      <c r="C127" s="139" t="s">
        <v>554</v>
      </c>
      <c r="D127" s="125"/>
      <c r="E127" s="125"/>
      <c r="F127" s="125"/>
      <c r="G127" s="167">
        <v>1</v>
      </c>
      <c r="H127" s="196"/>
      <c r="I127" s="166"/>
      <c r="J127" s="125"/>
      <c r="K127" s="125"/>
      <c r="L127" s="125" t="s">
        <v>67</v>
      </c>
      <c r="M127" s="125"/>
      <c r="N127" s="248">
        <f>frictresfact</f>
        <v>0</v>
      </c>
      <c r="R127" s="240"/>
      <c r="S127" s="240"/>
    </row>
    <row r="128" spans="1:19">
      <c r="A128" s="125"/>
      <c r="B128" s="125"/>
      <c r="C128" s="125"/>
      <c r="D128" s="125"/>
      <c r="E128" s="125"/>
      <c r="F128" s="125"/>
      <c r="G128" s="125"/>
      <c r="H128" s="196"/>
      <c r="I128" s="166"/>
      <c r="J128" s="125"/>
      <c r="K128" s="125"/>
      <c r="L128" s="125"/>
      <c r="M128" s="125"/>
      <c r="R128" s="240"/>
      <c r="S128" s="240"/>
    </row>
    <row r="129" spans="1:19">
      <c r="A129" s="241" t="s">
        <v>555</v>
      </c>
      <c r="R129" s="240"/>
      <c r="S129" s="240"/>
    </row>
    <row r="130" spans="1:19" ht="15">
      <c r="A130" s="125"/>
      <c r="B130" s="125"/>
      <c r="C130" s="125" t="s">
        <v>556</v>
      </c>
      <c r="D130" s="125"/>
      <c r="E130" s="125"/>
      <c r="F130" s="125"/>
      <c r="G130" s="176">
        <f>Main!I896</f>
        <v>0</v>
      </c>
      <c r="H130" s="196" t="s">
        <v>338</v>
      </c>
      <c r="I130" s="176"/>
      <c r="J130" s="125"/>
      <c r="K130" s="125"/>
      <c r="L130" s="125"/>
      <c r="M130" s="125"/>
      <c r="R130" s="240"/>
      <c r="S130" s="240"/>
    </row>
    <row r="131" spans="1:19">
      <c r="A131" s="125"/>
      <c r="B131" s="125"/>
      <c r="C131" s="125"/>
      <c r="D131" s="125"/>
      <c r="E131" s="125"/>
      <c r="F131" s="125"/>
      <c r="G131" s="125"/>
      <c r="H131" s="196"/>
      <c r="I131" s="166"/>
      <c r="J131" s="125"/>
      <c r="K131" s="125"/>
      <c r="L131" s="125"/>
      <c r="M131" s="125"/>
      <c r="R131" s="240"/>
      <c r="S131" s="240"/>
    </row>
    <row r="132" spans="1:19" ht="13.5" customHeight="1">
      <c r="A132" s="578" t="s">
        <v>550</v>
      </c>
      <c r="B132" s="578"/>
      <c r="C132" s="578"/>
      <c r="D132" s="578"/>
      <c r="E132" s="578"/>
      <c r="F132" s="578"/>
      <c r="G132" s="578"/>
      <c r="H132" s="578"/>
      <c r="I132" s="578"/>
      <c r="J132" s="578"/>
      <c r="K132" s="578"/>
      <c r="L132" s="578"/>
      <c r="M132" s="578"/>
      <c r="R132" s="240"/>
      <c r="S132" s="240"/>
    </row>
    <row r="133" spans="1:19">
      <c r="A133" s="578"/>
      <c r="B133" s="578"/>
      <c r="C133" s="578"/>
      <c r="D133" s="578"/>
      <c r="E133" s="578"/>
      <c r="F133" s="578"/>
      <c r="G133" s="578"/>
      <c r="H133" s="578"/>
      <c r="I133" s="578"/>
      <c r="J133" s="578"/>
      <c r="K133" s="578"/>
      <c r="L133" s="578"/>
      <c r="M133" s="578"/>
      <c r="R133" s="240"/>
      <c r="S133" s="240"/>
    </row>
    <row r="134" spans="1:19" ht="13.15" thickBot="1">
      <c r="A134" s="153"/>
      <c r="B134" s="125" t="s">
        <v>143</v>
      </c>
      <c r="C134" s="153"/>
      <c r="D134" s="153"/>
      <c r="E134" s="153"/>
      <c r="F134" s="153"/>
      <c r="G134" s="153"/>
      <c r="H134" s="153"/>
      <c r="I134" s="153"/>
      <c r="J134" s="153"/>
      <c r="K134" s="125"/>
      <c r="L134" s="125"/>
      <c r="M134" s="125"/>
      <c r="R134" s="240"/>
      <c r="S134" s="240"/>
    </row>
    <row r="135" spans="1:19" ht="15.4" thickBot="1">
      <c r="A135" s="125"/>
      <c r="B135" s="125"/>
      <c r="C135" s="125" t="s">
        <v>369</v>
      </c>
      <c r="D135" s="125"/>
      <c r="E135" s="125"/>
      <c r="F135" s="125"/>
      <c r="G135" s="40"/>
      <c r="H135" s="196" t="s">
        <v>4</v>
      </c>
      <c r="I135" s="197">
        <f>+G135*2/144</f>
        <v>0</v>
      </c>
      <c r="J135" s="210" t="s">
        <v>829</v>
      </c>
      <c r="K135" s="125"/>
      <c r="L135" s="125"/>
      <c r="M135" s="125"/>
      <c r="R135" s="240"/>
      <c r="S135" s="240"/>
    </row>
    <row r="136" spans="1:19" ht="15">
      <c r="A136" s="125"/>
      <c r="B136" s="125"/>
      <c r="C136" s="125" t="s">
        <v>370</v>
      </c>
      <c r="D136" s="125"/>
      <c r="E136" s="125"/>
      <c r="F136" s="125"/>
      <c r="G136" s="125" t="e">
        <f>"= ("&amp;I135&amp;" ksi)("&amp;FIXED(IF(piletype="P",PI()*pilewidth,4*pilewidth+2*(piledepth-'Pile Data'!E28)),2,TRUE)&amp;")("&amp;D120&amp;") ="</f>
        <v>#N/A</v>
      </c>
      <c r="H136" s="196"/>
      <c r="I136" s="176" t="e">
        <f>I135*IF(piletype="P",PI()*pilewidth,4*pilewidth+2*(piledepth-'Pile Data'!E28))*D120</f>
        <v>#N/A</v>
      </c>
      <c r="J136" s="196" t="s">
        <v>338</v>
      </c>
      <c r="K136" s="125"/>
      <c r="L136" s="125"/>
      <c r="M136" s="125"/>
      <c r="R136" s="240"/>
      <c r="S136" s="240"/>
    </row>
    <row r="137" spans="1:19">
      <c r="A137" s="125"/>
      <c r="B137" s="125"/>
      <c r="C137" s="125"/>
      <c r="D137" s="125"/>
      <c r="E137" s="125"/>
      <c r="F137" s="125"/>
      <c r="I137" s="176"/>
      <c r="J137" s="125"/>
      <c r="K137" s="125"/>
      <c r="L137" s="125"/>
      <c r="M137" s="125"/>
      <c r="R137" s="240"/>
      <c r="S137" s="240"/>
    </row>
    <row r="138" spans="1:19">
      <c r="R138" s="240"/>
      <c r="S138" s="240"/>
    </row>
    <row r="139" spans="1:19" ht="15">
      <c r="B139" s="125" t="s">
        <v>557</v>
      </c>
      <c r="R139" s="240"/>
      <c r="S139" s="240"/>
    </row>
    <row r="140" spans="1:19">
      <c r="A140" s="125"/>
      <c r="B140" s="125"/>
      <c r="C140" s="125"/>
      <c r="D140" s="125"/>
      <c r="E140" s="125"/>
      <c r="F140" s="133" t="e">
        <f>"("&amp;FIXED(G126,2,TRUE)&amp;")("&amp;FIXED(G130,1,TRUE)&amp;") + ("&amp;FIXED(G127,2,TRUE)&amp;")("&amp;FIXED(I136,1,TRUE)&amp;") = "</f>
        <v>#N/A</v>
      </c>
      <c r="G140" s="167" t="e">
        <f>(G126*G130+G127*I136)</f>
        <v>#N/A</v>
      </c>
      <c r="H140" s="196" t="s">
        <v>338</v>
      </c>
      <c r="I140" s="176"/>
      <c r="J140" s="125"/>
      <c r="K140" s="125"/>
      <c r="L140" s="125"/>
      <c r="M140" s="125"/>
      <c r="R140" s="240"/>
      <c r="S140" s="240"/>
    </row>
    <row r="141" spans="1:19">
      <c r="A141" s="125"/>
      <c r="B141" s="225" t="e">
        <f>IF(G140&lt;D35,"Error - "&amp;FIXED(G140,2,TRUE)&amp;" k &lt; "&amp;FIXED(D35,2,TRUE)&amp;" k  - Inadequate geotechnical resistance",FIXED(G140,2,TRUE)&amp;" k &gt; "&amp;FIXED(D35,2,TRUE)&amp;" k - OK")</f>
        <v>#N/A</v>
      </c>
      <c r="C141" s="125"/>
      <c r="D141" s="125"/>
      <c r="E141" s="125"/>
      <c r="F141" s="125"/>
      <c r="G141" s="125"/>
      <c r="H141" s="196"/>
      <c r="I141" s="176"/>
      <c r="J141" s="125"/>
      <c r="K141" s="170"/>
      <c r="L141" s="125"/>
      <c r="M141" s="125"/>
      <c r="R141" s="157" t="e">
        <f>IF(LEFT(B141,5)="Error",1,0)</f>
        <v>#N/A</v>
      </c>
      <c r="S141" s="157" t="e">
        <f>IF(LEFT(B141,5)="Warni",1,0)</f>
        <v>#N/A</v>
      </c>
    </row>
    <row r="142" spans="1:19">
      <c r="A142" s="125"/>
      <c r="B142" s="225"/>
      <c r="C142" s="125"/>
      <c r="D142" s="125"/>
      <c r="E142" s="125"/>
      <c r="F142" s="125"/>
      <c r="G142" s="125"/>
      <c r="H142" s="196"/>
      <c r="I142" s="176"/>
      <c r="J142" s="125"/>
      <c r="K142" s="170"/>
      <c r="L142" s="125"/>
      <c r="M142" s="125"/>
      <c r="R142" s="240"/>
      <c r="S142" s="240"/>
    </row>
    <row r="143" spans="1:19" ht="13.15">
      <c r="A143" s="138" t="s">
        <v>360</v>
      </c>
      <c r="B143" s="125"/>
      <c r="C143" s="125"/>
      <c r="D143" s="125"/>
      <c r="E143" s="125"/>
      <c r="F143" s="125"/>
      <c r="G143" s="125"/>
      <c r="H143" s="125"/>
      <c r="I143" s="125"/>
      <c r="J143" s="125"/>
      <c r="K143" s="125"/>
      <c r="L143" s="125"/>
      <c r="M143" s="125"/>
      <c r="R143" s="240"/>
      <c r="S143" s="240"/>
    </row>
    <row r="144" spans="1:19">
      <c r="A144" s="125"/>
      <c r="B144" s="125"/>
      <c r="C144" s="125"/>
      <c r="D144" s="125"/>
      <c r="E144" s="125"/>
      <c r="F144" s="125"/>
      <c r="G144" s="125"/>
      <c r="H144" s="125"/>
      <c r="I144" s="125"/>
      <c r="J144" s="125"/>
      <c r="K144" s="125"/>
      <c r="L144" s="125"/>
      <c r="M144" s="125"/>
      <c r="R144" s="240"/>
      <c r="S144" s="240"/>
    </row>
    <row r="145" spans="1:19" ht="12.75" customHeight="1">
      <c r="A145" s="583" t="s">
        <v>86</v>
      </c>
      <c r="B145" s="583"/>
      <c r="C145" s="583"/>
      <c r="D145" s="583"/>
      <c r="E145" s="583"/>
      <c r="F145" s="583"/>
      <c r="G145" s="583"/>
      <c r="H145" s="583"/>
      <c r="I145" s="583"/>
      <c r="J145" s="583"/>
      <c r="K145" s="583"/>
      <c r="L145" s="583"/>
      <c r="M145" s="583"/>
      <c r="R145" s="240"/>
      <c r="S145" s="240"/>
    </row>
    <row r="146" spans="1:19">
      <c r="A146" s="583"/>
      <c r="B146" s="583"/>
      <c r="C146" s="583"/>
      <c r="D146" s="583"/>
      <c r="E146" s="583"/>
      <c r="F146" s="583"/>
      <c r="G146" s="583"/>
      <c r="H146" s="583"/>
      <c r="I146" s="583"/>
      <c r="J146" s="583"/>
      <c r="K146" s="583"/>
      <c r="L146" s="583"/>
      <c r="M146" s="583"/>
      <c r="R146" s="240"/>
      <c r="S146" s="240"/>
    </row>
    <row r="147" spans="1:19">
      <c r="A147" s="583"/>
      <c r="B147" s="583"/>
      <c r="C147" s="583"/>
      <c r="D147" s="583"/>
      <c r="E147" s="583"/>
      <c r="F147" s="583"/>
      <c r="G147" s="583"/>
      <c r="H147" s="583"/>
      <c r="I147" s="583"/>
      <c r="J147" s="583"/>
      <c r="K147" s="583"/>
      <c r="L147" s="583"/>
      <c r="M147" s="583"/>
      <c r="R147" s="240"/>
      <c r="S147" s="240"/>
    </row>
    <row r="148" spans="1:19">
      <c r="A148" s="583"/>
      <c r="B148" s="583"/>
      <c r="C148" s="583"/>
      <c r="D148" s="583"/>
      <c r="E148" s="583"/>
      <c r="F148" s="583"/>
      <c r="G148" s="583"/>
      <c r="H148" s="583"/>
      <c r="I148" s="583"/>
      <c r="J148" s="583"/>
      <c r="K148" s="583"/>
      <c r="L148" s="583"/>
      <c r="M148" s="583"/>
      <c r="R148" s="240"/>
      <c r="S148" s="240"/>
    </row>
    <row r="149" spans="1:19">
      <c r="A149" s="583"/>
      <c r="B149" s="583"/>
      <c r="C149" s="583"/>
      <c r="D149" s="583"/>
      <c r="E149" s="583"/>
      <c r="F149" s="583"/>
      <c r="G149" s="583"/>
      <c r="H149" s="583"/>
      <c r="I149" s="583"/>
      <c r="J149" s="583"/>
      <c r="K149" s="583"/>
      <c r="L149" s="583"/>
      <c r="M149" s="583"/>
      <c r="R149" s="240"/>
      <c r="S149" s="240"/>
    </row>
    <row r="150" spans="1:19">
      <c r="A150" s="583"/>
      <c r="B150" s="583"/>
      <c r="C150" s="583"/>
      <c r="D150" s="583"/>
      <c r="E150" s="583"/>
      <c r="F150" s="583"/>
      <c r="G150" s="583"/>
      <c r="H150" s="583"/>
      <c r="I150" s="583"/>
      <c r="J150" s="583"/>
      <c r="K150" s="583"/>
      <c r="L150" s="583"/>
      <c r="M150" s="583"/>
      <c r="R150" s="240"/>
      <c r="S150" s="240"/>
    </row>
    <row r="151" spans="1:19">
      <c r="A151" s="583"/>
      <c r="B151" s="583"/>
      <c r="C151" s="583"/>
      <c r="D151" s="583"/>
      <c r="E151" s="583"/>
      <c r="F151" s="583"/>
      <c r="G151" s="583"/>
      <c r="H151" s="583"/>
      <c r="I151" s="583"/>
      <c r="J151" s="583"/>
      <c r="K151" s="583"/>
      <c r="L151" s="583"/>
      <c r="M151" s="583"/>
      <c r="R151" s="240"/>
      <c r="S151" s="240"/>
    </row>
    <row r="152" spans="1:19">
      <c r="A152" s="583"/>
      <c r="B152" s="583"/>
      <c r="C152" s="583"/>
      <c r="D152" s="583"/>
      <c r="E152" s="583"/>
      <c r="F152" s="583"/>
      <c r="G152" s="583"/>
      <c r="H152" s="583"/>
      <c r="I152" s="583"/>
      <c r="J152" s="583"/>
      <c r="K152" s="583"/>
      <c r="L152" s="583"/>
      <c r="M152" s="583"/>
      <c r="R152" s="240"/>
      <c r="S152" s="240"/>
    </row>
    <row r="153" spans="1:19">
      <c r="A153" s="583"/>
      <c r="B153" s="583"/>
      <c r="C153" s="583"/>
      <c r="D153" s="583"/>
      <c r="E153" s="583"/>
      <c r="F153" s="583"/>
      <c r="G153" s="583"/>
      <c r="H153" s="583"/>
      <c r="I153" s="583"/>
      <c r="J153" s="583"/>
      <c r="K153" s="583"/>
      <c r="L153" s="583"/>
      <c r="M153" s="583"/>
      <c r="R153" s="240"/>
      <c r="S153" s="240"/>
    </row>
    <row r="154" spans="1:19">
      <c r="A154" s="125"/>
      <c r="B154" s="125"/>
      <c r="C154" s="125"/>
      <c r="D154" s="125"/>
      <c r="E154" s="125"/>
      <c r="F154" s="125"/>
      <c r="G154" s="125"/>
      <c r="R154" s="240"/>
      <c r="S154" s="240"/>
    </row>
    <row r="155" spans="1:19">
      <c r="A155" s="125"/>
      <c r="B155" s="125" t="s">
        <v>142</v>
      </c>
      <c r="C155" s="125"/>
      <c r="D155" s="125"/>
      <c r="E155" s="125"/>
      <c r="F155" s="125"/>
      <c r="G155" s="125"/>
      <c r="H155" s="125"/>
      <c r="I155" s="125"/>
      <c r="J155" s="125"/>
      <c r="K155" s="125"/>
      <c r="L155" s="125"/>
      <c r="M155" s="125"/>
      <c r="R155" s="240"/>
      <c r="S155" s="240"/>
    </row>
    <row r="156" spans="1:19" ht="15">
      <c r="A156" s="125"/>
      <c r="B156" s="125"/>
      <c r="C156" s="125" t="s">
        <v>795</v>
      </c>
      <c r="D156" s="125"/>
      <c r="E156" s="125"/>
      <c r="F156" s="125"/>
      <c r="G156" s="167">
        <v>1</v>
      </c>
      <c r="H156" s="125"/>
      <c r="I156" s="125"/>
      <c r="J156" s="125"/>
      <c r="K156" s="125"/>
      <c r="L156" s="125" t="s">
        <v>319</v>
      </c>
      <c r="M156" s="125"/>
      <c r="R156" s="240"/>
      <c r="S156" s="240"/>
    </row>
    <row r="157" spans="1:19">
      <c r="A157" s="125"/>
      <c r="B157" s="125"/>
      <c r="C157" s="125"/>
      <c r="D157" s="125"/>
      <c r="E157" s="125"/>
      <c r="F157" s="125"/>
      <c r="G157" s="125"/>
      <c r="H157" s="125"/>
      <c r="I157" s="125"/>
      <c r="J157" s="125"/>
      <c r="K157" s="125"/>
      <c r="L157" s="125"/>
      <c r="M157" s="125"/>
      <c r="R157" s="240"/>
      <c r="S157" s="240"/>
    </row>
    <row r="158" spans="1:19" ht="15">
      <c r="A158" s="125"/>
      <c r="B158" s="125"/>
      <c r="C158" s="125" t="s">
        <v>543</v>
      </c>
      <c r="D158" s="125"/>
      <c r="E158" s="125"/>
      <c r="F158" s="125"/>
      <c r="G158" s="167">
        <v>1</v>
      </c>
      <c r="H158" s="615" t="s">
        <v>94</v>
      </c>
      <c r="I158" s="616"/>
      <c r="J158" s="125"/>
      <c r="K158" s="125"/>
      <c r="L158" s="125" t="s">
        <v>319</v>
      </c>
      <c r="M158" s="125"/>
      <c r="R158" s="240"/>
      <c r="S158" s="240"/>
    </row>
    <row r="159" spans="1:19" ht="15">
      <c r="A159" s="125"/>
      <c r="B159" s="125"/>
      <c r="C159" s="125" t="s">
        <v>794</v>
      </c>
      <c r="D159" s="125"/>
      <c r="E159" s="125"/>
      <c r="F159" s="125"/>
      <c r="G159" s="167">
        <v>1</v>
      </c>
      <c r="H159" s="615"/>
      <c r="I159" s="616"/>
      <c r="J159" s="125"/>
      <c r="K159" s="125"/>
      <c r="L159" s="125"/>
      <c r="M159" s="125"/>
      <c r="R159" s="240"/>
      <c r="S159" s="240"/>
    </row>
    <row r="160" spans="1:19">
      <c r="A160" s="125"/>
      <c r="B160" s="125"/>
      <c r="C160" s="125"/>
      <c r="D160" s="125"/>
      <c r="E160" s="125"/>
      <c r="F160" s="125"/>
      <c r="G160" s="125"/>
      <c r="H160" s="196"/>
      <c r="I160" s="249"/>
      <c r="J160" s="125"/>
      <c r="K160" s="125"/>
      <c r="L160" s="125"/>
      <c r="M160" s="125"/>
      <c r="R160" s="240"/>
      <c r="S160" s="240"/>
    </row>
    <row r="161" spans="1:19">
      <c r="A161" s="125"/>
      <c r="B161" s="125" t="s">
        <v>38</v>
      </c>
      <c r="C161" s="125"/>
      <c r="D161" s="125"/>
      <c r="E161" s="125"/>
      <c r="F161" s="125"/>
      <c r="G161" s="125"/>
      <c r="H161" s="125"/>
      <c r="I161" s="125"/>
      <c r="J161" s="125"/>
      <c r="K161" s="125"/>
      <c r="L161" s="125"/>
      <c r="M161" s="125"/>
      <c r="R161" s="240"/>
      <c r="S161" s="240"/>
    </row>
    <row r="162" spans="1:19" ht="15">
      <c r="A162" s="125"/>
      <c r="B162" s="125"/>
      <c r="C162" s="139" t="s">
        <v>144</v>
      </c>
      <c r="D162" s="125"/>
      <c r="E162" s="125"/>
      <c r="F162" s="139"/>
      <c r="G162" s="125" t="e">
        <f>Main!#REF!</f>
        <v>#REF!</v>
      </c>
      <c r="H162" s="125" t="s">
        <v>338</v>
      </c>
      <c r="I162" s="176"/>
      <c r="J162" s="125"/>
      <c r="K162" s="125"/>
      <c r="L162" s="125"/>
      <c r="M162" s="125" t="s">
        <v>486</v>
      </c>
      <c r="R162" s="240"/>
      <c r="S162" s="240"/>
    </row>
    <row r="163" spans="1:19">
      <c r="A163" s="125"/>
      <c r="B163" s="125"/>
      <c r="C163" s="139"/>
      <c r="D163" s="125"/>
      <c r="E163" s="125"/>
      <c r="F163" s="139"/>
      <c r="G163" s="125"/>
      <c r="H163" s="125"/>
      <c r="I163" s="176"/>
      <c r="J163" s="125"/>
      <c r="K163" s="125"/>
      <c r="L163" s="125"/>
      <c r="M163" s="125"/>
      <c r="R163" s="240"/>
      <c r="S163" s="240"/>
    </row>
    <row r="164" spans="1:19" ht="12.75" customHeight="1">
      <c r="A164" s="578" t="s">
        <v>463</v>
      </c>
      <c r="B164" s="578"/>
      <c r="C164" s="578"/>
      <c r="D164" s="578"/>
      <c r="E164" s="578"/>
      <c r="F164" s="578"/>
      <c r="G164" s="578"/>
      <c r="H164" s="578"/>
      <c r="I164" s="578"/>
      <c r="J164" s="578"/>
      <c r="K164" s="578"/>
      <c r="L164" s="578"/>
      <c r="M164" s="578"/>
      <c r="R164" s="240"/>
      <c r="S164" s="240"/>
    </row>
    <row r="165" spans="1:19">
      <c r="A165" s="578"/>
      <c r="B165" s="578"/>
      <c r="C165" s="578"/>
      <c r="D165" s="578"/>
      <c r="E165" s="578"/>
      <c r="F165" s="578"/>
      <c r="G165" s="578"/>
      <c r="H165" s="578"/>
      <c r="I165" s="578"/>
      <c r="J165" s="578"/>
      <c r="K165" s="578"/>
      <c r="L165" s="578"/>
      <c r="M165" s="578"/>
      <c r="R165" s="240"/>
      <c r="S165" s="240"/>
    </row>
    <row r="166" spans="1:19">
      <c r="A166" s="578"/>
      <c r="B166" s="578"/>
      <c r="C166" s="578"/>
      <c r="D166" s="578"/>
      <c r="E166" s="578"/>
      <c r="F166" s="578"/>
      <c r="G166" s="578"/>
      <c r="H166" s="578"/>
      <c r="I166" s="578"/>
      <c r="J166" s="578"/>
      <c r="K166" s="578"/>
      <c r="L166" s="578"/>
      <c r="M166" s="578"/>
      <c r="R166" s="240"/>
      <c r="S166" s="240"/>
    </row>
    <row r="167" spans="1:19">
      <c r="A167" s="125"/>
      <c r="B167" s="125"/>
      <c r="C167" s="125"/>
      <c r="D167" s="125"/>
      <c r="E167" s="125"/>
      <c r="F167" s="125"/>
      <c r="G167" s="125"/>
      <c r="H167" s="125"/>
      <c r="I167" s="125"/>
      <c r="J167" s="125"/>
      <c r="K167" s="125"/>
      <c r="L167" s="125"/>
      <c r="M167" s="125"/>
      <c r="R167" s="240"/>
      <c r="S167" s="240"/>
    </row>
    <row r="168" spans="1:19">
      <c r="A168" s="125"/>
      <c r="B168" s="125" t="s">
        <v>560</v>
      </c>
      <c r="D168" s="125"/>
      <c r="E168" s="125"/>
      <c r="F168" s="125"/>
      <c r="G168" s="125"/>
      <c r="H168" s="125"/>
      <c r="I168" s="125"/>
      <c r="J168" s="125"/>
      <c r="K168" s="125"/>
      <c r="L168" s="125"/>
      <c r="M168" s="125"/>
      <c r="R168" s="240"/>
      <c r="S168" s="240"/>
    </row>
    <row r="169" spans="1:19" ht="15">
      <c r="A169" s="125"/>
      <c r="B169" s="125"/>
      <c r="C169" s="125" t="s">
        <v>464</v>
      </c>
      <c r="D169" s="125"/>
      <c r="E169" s="125"/>
      <c r="F169" s="174" t="str">
        <f>IF(piletype="P",FIXED(G71,2,TRUE)&amp;" - (0.5)("&amp;G127&amp;")("&amp;FIXED(I136,1,TRUE)&amp;") = ","")</f>
        <v/>
      </c>
      <c r="G169" s="209" t="e">
        <f>IF(piletype="P",MAX(G71-0.5*G127*I136,0),G71)</f>
        <v>#NAME?</v>
      </c>
      <c r="H169" s="125" t="s">
        <v>338</v>
      </c>
      <c r="I169" s="176"/>
      <c r="J169" s="125"/>
      <c r="K169" s="125"/>
      <c r="L169" s="125"/>
      <c r="M169" s="125"/>
      <c r="R169" s="240"/>
      <c r="S169" s="240"/>
    </row>
    <row r="170" spans="1:19">
      <c r="A170" s="125"/>
      <c r="B170" s="125"/>
      <c r="C170" s="125"/>
      <c r="D170" s="125"/>
      <c r="E170" s="125"/>
      <c r="F170" s="125"/>
      <c r="I170" s="176"/>
      <c r="J170" s="125"/>
      <c r="K170" s="125"/>
      <c r="L170" s="125"/>
      <c r="M170" s="125"/>
      <c r="R170" s="240"/>
      <c r="S170" s="240"/>
    </row>
    <row r="171" spans="1:19" ht="15">
      <c r="A171" s="125"/>
      <c r="B171" s="125"/>
      <c r="C171" s="125" t="s">
        <v>768</v>
      </c>
      <c r="D171" s="125"/>
      <c r="E171" s="125"/>
      <c r="F171" s="125"/>
      <c r="G171" s="125" t="e">
        <f>"= ("&amp;FIXED(G156,2)&amp;")("&amp;FIXED(G162,2,TRUE)&amp;") ="</f>
        <v>#REF!</v>
      </c>
      <c r="H171" s="125"/>
      <c r="I171" s="176"/>
      <c r="J171" s="125"/>
      <c r="K171" s="125"/>
      <c r="L171" s="125"/>
      <c r="M171" s="125"/>
      <c r="R171" s="240"/>
      <c r="S171" s="240"/>
    </row>
    <row r="172" spans="1:19">
      <c r="A172" s="125"/>
      <c r="B172" s="125"/>
      <c r="C172" s="125"/>
      <c r="D172" s="125"/>
      <c r="E172" s="125"/>
      <c r="F172" s="125"/>
      <c r="G172" s="176" t="e">
        <f>G156*G162</f>
        <v>#REF!</v>
      </c>
      <c r="H172" s="125" t="s">
        <v>338</v>
      </c>
      <c r="I172" s="176"/>
      <c r="J172" s="125"/>
      <c r="K172" s="125"/>
      <c r="L172" s="125"/>
      <c r="M172" s="125"/>
      <c r="R172" s="240"/>
      <c r="S172" s="240"/>
    </row>
    <row r="173" spans="1:19">
      <c r="A173" s="125"/>
      <c r="B173" s="125"/>
      <c r="C173" s="225" t="e">
        <f>IF(G172&lt;G169,"Error - "&amp;FIXED(G172,1,TRUE)&amp;" k &lt; "&amp;FIXED(G169,1,TRUE)&amp;" k - Insufficient axial capacity",FIXED(G172,1,TRUE)&amp;" k &gt; "&amp;FIXED(G169,1,TRUE)&amp;" k - OK")</f>
        <v>#REF!</v>
      </c>
      <c r="D173" s="125"/>
      <c r="E173" s="125"/>
      <c r="F173" s="125"/>
      <c r="G173" s="167"/>
      <c r="H173" s="125"/>
      <c r="I173" s="176"/>
      <c r="J173" s="125"/>
      <c r="K173" s="168"/>
      <c r="L173" s="125"/>
      <c r="M173" s="125"/>
      <c r="R173" s="157" t="e">
        <f>IF(LEFT(C173,5)="Error",1,0)</f>
        <v>#REF!</v>
      </c>
      <c r="S173" s="157" t="e">
        <f>IF(LEFT(C173,5)="Warni",1,0)</f>
        <v>#REF!</v>
      </c>
    </row>
    <row r="174" spans="1:19">
      <c r="A174" s="125"/>
      <c r="B174" s="125"/>
      <c r="C174" s="225"/>
      <c r="D174" s="125"/>
      <c r="E174" s="125"/>
      <c r="F174" s="125"/>
      <c r="G174" s="167"/>
      <c r="H174" s="125"/>
      <c r="I174" s="176"/>
      <c r="J174" s="125"/>
      <c r="K174" s="168"/>
      <c r="L174" s="125"/>
      <c r="M174" s="125"/>
      <c r="R174" s="240"/>
      <c r="S174" s="240"/>
    </row>
    <row r="175" spans="1:19" ht="13.5" customHeight="1">
      <c r="A175" s="614" t="s">
        <v>675</v>
      </c>
      <c r="B175" s="580"/>
      <c r="C175" s="580"/>
      <c r="D175" s="580"/>
      <c r="E175" s="580"/>
      <c r="F175" s="580"/>
      <c r="G175" s="580"/>
      <c r="H175" s="580"/>
      <c r="I175" s="580"/>
      <c r="J175" s="580"/>
      <c r="K175" s="125"/>
      <c r="L175" s="125" t="s">
        <v>617</v>
      </c>
      <c r="M175" s="125"/>
      <c r="R175" s="240"/>
      <c r="S175" s="240"/>
    </row>
    <row r="176" spans="1:19" ht="13.5" customHeight="1">
      <c r="A176" s="614"/>
      <c r="B176" s="580"/>
      <c r="C176" s="580"/>
      <c r="D176" s="580"/>
      <c r="E176" s="580"/>
      <c r="F176" s="580"/>
      <c r="G176" s="580"/>
      <c r="H176" s="580"/>
      <c r="I176" s="580"/>
      <c r="J176" s="580"/>
      <c r="K176" s="125"/>
      <c r="L176" s="125"/>
      <c r="M176" s="125"/>
      <c r="R176" s="240"/>
      <c r="S176" s="240"/>
    </row>
    <row r="177" spans="1:19" ht="13.5" customHeight="1">
      <c r="A177" s="614"/>
      <c r="B177" s="580"/>
      <c r="C177" s="580"/>
      <c r="D177" s="580"/>
      <c r="E177" s="580"/>
      <c r="F177" s="580"/>
      <c r="G177" s="580"/>
      <c r="H177" s="580"/>
      <c r="I177" s="580"/>
      <c r="J177" s="580"/>
      <c r="K177" s="125"/>
      <c r="L177" s="125" t="s">
        <v>84</v>
      </c>
      <c r="M177" s="125"/>
      <c r="R177" s="240"/>
      <c r="S177" s="240"/>
    </row>
    <row r="178" spans="1:19" ht="13.5" customHeight="1">
      <c r="A178" s="580"/>
      <c r="B178" s="580"/>
      <c r="C178" s="580"/>
      <c r="D178" s="580"/>
      <c r="E178" s="580"/>
      <c r="F178" s="580"/>
      <c r="G178" s="580"/>
      <c r="H178" s="580"/>
      <c r="I178" s="580"/>
      <c r="J178" s="580"/>
      <c r="K178" s="125"/>
      <c r="L178" s="125"/>
      <c r="M178" s="125"/>
      <c r="R178" s="240"/>
      <c r="S178" s="240"/>
    </row>
    <row r="179" spans="1:19">
      <c r="A179" s="125"/>
      <c r="B179" s="125"/>
      <c r="C179" s="125"/>
      <c r="D179" s="125"/>
      <c r="E179" s="125"/>
      <c r="F179" s="125"/>
      <c r="G179" s="125"/>
      <c r="H179" s="125"/>
      <c r="I179" s="125"/>
      <c r="J179" s="125"/>
      <c r="K179" s="125"/>
      <c r="L179" s="125"/>
      <c r="M179" s="125"/>
      <c r="R179" s="240"/>
      <c r="S179" s="240"/>
    </row>
    <row r="180" spans="1:19">
      <c r="A180" s="125"/>
      <c r="B180" s="125" t="e">
        <f>IF(1.54*unbraced&gt;scourfixity,"(1.54)("&amp;FIXED(unbraced,0,TRUE)&amp;") = "&amp;FIXED(1.54*unbraced,0,TRUE)&amp;" &gt; "&amp;FIXED(scourfixity,0,TRUE)&amp;" - No need to check pile as a structural member",FIXED(scourfixity,0,TRUE)&amp;" &gt; (1.54)("&amp;FIXED(unbraced,0,TRUE)&amp;") = "&amp;FIXED(1.54*unbraced,0,TRUE)&amp;" - Need to check pile as a structural member")</f>
        <v>#NAME?</v>
      </c>
      <c r="C180" s="125"/>
      <c r="D180" s="125"/>
      <c r="E180" s="125"/>
      <c r="F180" s="125"/>
      <c r="G180" s="125"/>
      <c r="H180" s="125"/>
      <c r="I180" s="125"/>
      <c r="J180" s="125"/>
      <c r="K180" s="125"/>
      <c r="L180" s="125"/>
      <c r="M180" s="125"/>
      <c r="R180" s="240"/>
      <c r="S180" s="240"/>
    </row>
    <row r="181" spans="1:19">
      <c r="A181" s="125"/>
      <c r="B181" s="125"/>
      <c r="C181" s="125"/>
      <c r="D181" s="125"/>
      <c r="E181" s="125"/>
      <c r="F181" s="125"/>
      <c r="G181" s="125"/>
      <c r="H181" s="125"/>
      <c r="I181" s="125"/>
      <c r="J181" s="125"/>
      <c r="K181" s="125"/>
      <c r="L181" s="125"/>
      <c r="M181" s="125"/>
      <c r="R181" s="240"/>
      <c r="S181" s="240"/>
    </row>
    <row r="182" spans="1:19">
      <c r="A182" s="125"/>
      <c r="B182" s="125"/>
      <c r="C182" s="170" t="str">
        <f>IF(piletype="H","For steel H-piles",IF(piletype="P","For concrete filled steel pipe piles",""))</f>
        <v/>
      </c>
      <c r="D182" s="125"/>
      <c r="E182" s="125"/>
      <c r="F182" s="125"/>
      <c r="G182" s="125"/>
      <c r="H182" s="125"/>
      <c r="I182" s="125"/>
      <c r="J182" s="189"/>
      <c r="K182" s="125"/>
      <c r="L182" s="125"/>
      <c r="M182" s="125"/>
      <c r="R182" s="240"/>
      <c r="S182" s="240"/>
    </row>
    <row r="183" spans="1:19" ht="15">
      <c r="A183" s="125"/>
      <c r="B183" s="125"/>
      <c r="C183" s="250" t="s">
        <v>225</v>
      </c>
      <c r="D183" s="139" t="str">
        <f>IF(piletype="H","= Fy = "&amp;Main!G545&amp;" ksi",IF(piletype="P","= Fy + 0.85f'c(Ac/As) = "&amp;Main!G545&amp;" + 0.85*"&amp;Main!G546&amp;"("&amp;FIXED(Ac,2,TRUE)&amp;"/"&amp;FIXED(As,2,TRUE)&amp;") = "&amp;FIXED(Main!G545+0.85*Main!G546*(Ac/As),2,TRUE)&amp;" ksi",""))</f>
        <v/>
      </c>
      <c r="E183" s="125"/>
      <c r="F183" s="125"/>
      <c r="G183" s="125"/>
      <c r="H183" s="125"/>
      <c r="I183" s="125"/>
      <c r="J183" s="189"/>
      <c r="K183" s="125"/>
      <c r="L183" s="125"/>
      <c r="M183" s="125"/>
      <c r="R183" s="240"/>
      <c r="S183" s="240"/>
    </row>
    <row r="184" spans="1:19" ht="15">
      <c r="A184" s="125"/>
      <c r="B184" s="125"/>
      <c r="C184" s="250" t="s">
        <v>226</v>
      </c>
      <c r="D184" s="139" t="str">
        <f>IF(piletype="H","= Est = 29000 ksi",IF(piletype="P","= Est[1+(0.4/n)(Ac/As)] = 29000[1+(0.4/"&amp;n&amp;")("&amp;FIXED(Ac,2,TRUE)&amp;"/"&amp;FIXED(As,2,TRUE)&amp;")] = "&amp;FIXED(29000*(1+(0.4/n)*(Ac/As)),2,TRUE)&amp;" ksi",""))</f>
        <v/>
      </c>
      <c r="E184" s="125"/>
      <c r="F184" s="125"/>
      <c r="G184" s="125"/>
      <c r="H184" s="125"/>
      <c r="I184" s="125"/>
      <c r="J184" s="189"/>
      <c r="K184" s="125"/>
      <c r="L184" s="125"/>
      <c r="M184" s="125"/>
      <c r="R184" s="240"/>
      <c r="S184" s="240"/>
    </row>
    <row r="185" spans="1:19" ht="15.4">
      <c r="A185" s="125"/>
      <c r="B185" s="125"/>
      <c r="C185" s="226" t="s">
        <v>83</v>
      </c>
      <c r="D185" s="125"/>
      <c r="E185" s="125"/>
      <c r="G185" s="125"/>
      <c r="H185" s="125"/>
      <c r="I185" s="133" t="str">
        <f>"[(0.65*"&amp;G80&amp;")/("&amp;FIXED(pilegyration,2,TRUE)&amp;"*"&amp;FIXED(PI(),3,TRUE)&amp;")]^2 ("&amp;IF(piletype="H",Main!G545&amp;"/29000) =",IF(piletype="P",FIXED(Main!G545+0.85*Main!G546*(Ac/As),2,TRUE)&amp;"/"&amp;FIXED(29000*(1+(0.4/n)*(Ac/As)),2,TRUE)&amp;") =",""))</f>
        <v>[(0.65*175)/(0.00*3.142)]^2 (</v>
      </c>
      <c r="J185" s="89" t="e">
        <f>IF(1.54*unbraced&gt;scourfixity,NA(),IF(piletype="H",(0.65*G80/(pilegyration*PI()))^2*(Main!G545/29000),IF(piletype="P",(0.65*G80/(pilegyration*PI()))^2*((Main!G545+0.85*Main!G546*(Ac/As))/(29000*(1+(0.4/n)*(Ac/As)))),"")))</f>
        <v>#NAME?</v>
      </c>
      <c r="K185" s="125"/>
      <c r="L185" s="125" t="str">
        <f>IF(piletype="H","A6.9.4.1",IF(piletype="P","A6.9.5.1",""))</f>
        <v/>
      </c>
      <c r="M185" s="125"/>
      <c r="R185" s="240"/>
      <c r="S185" s="240"/>
    </row>
    <row r="186" spans="1:19" ht="15.4">
      <c r="A186" s="125"/>
      <c r="B186" s="125"/>
      <c r="C186" s="13" t="s">
        <v>367</v>
      </c>
      <c r="D186" s="125"/>
      <c r="E186" s="125"/>
      <c r="F186" s="125"/>
      <c r="G186" s="125"/>
      <c r="H186" s="125"/>
      <c r="I186" s="125"/>
      <c r="J186" s="125"/>
      <c r="K186" s="125"/>
      <c r="L186" s="125"/>
      <c r="M186" s="125"/>
      <c r="R186" s="240"/>
      <c r="S186" s="240"/>
    </row>
    <row r="187" spans="1:19" ht="15">
      <c r="A187" s="125"/>
      <c r="B187" s="125"/>
      <c r="C187" s="125" t="s">
        <v>144</v>
      </c>
      <c r="D187" s="125"/>
      <c r="E187" s="125"/>
      <c r="F187" s="125"/>
      <c r="G187" s="125" t="e">
        <f>IF(J185&gt;2.25,"(0.88)("&amp;IF(piletype="H",Main!G545&amp;")("&amp;FIXED(pilearea,1,TRUE),IF(piletype="P",FIXED(Main!G545+0.85*Main!G546*(Ac/As),2,TRUE)&amp;")("&amp;FIXED(As,2,TRUE),""))&amp;")/("&amp;FIXED(J185,3,TRUE),"0.66^"&amp;FIXED(J185,3,TRUE)&amp;" ("&amp;IF(piletype="H",Main!G545&amp;")("&amp;FIXED(pilearea,1,TRUE),IF(piletype="P",FIXED(Main!G545+0.85*Main!G546*(Ac/As),2,TRUE)&amp;")("&amp;FIXED(As,1,TRUE),""))&amp;") =")</f>
        <v>#NAME?</v>
      </c>
      <c r="H187" s="125"/>
      <c r="I187" s="125"/>
      <c r="J187" s="125"/>
      <c r="K187" s="125"/>
      <c r="L187" s="125"/>
      <c r="M187" s="125"/>
      <c r="R187" s="240"/>
      <c r="S187" s="240"/>
    </row>
    <row r="188" spans="1:19">
      <c r="A188" s="125"/>
      <c r="B188" s="125"/>
      <c r="C188" s="125"/>
      <c r="D188" s="125"/>
      <c r="E188" s="125"/>
      <c r="F188" s="125"/>
      <c r="G188" s="176" t="e">
        <f>IF(J185&gt;2.25,0.88*IF(piletype="H",Main!G545*pilearea,IF(piletype="P",(Main!G545+0.85*Main!G546*(Ac/As))*As,""))/J185,0.66^J185*IF(piletype="H",Main!G545*pilearea,IF(piletype="P",(Main!G545+0.85*Main!G546*(Ac/As))*As,"")))</f>
        <v>#NAME?</v>
      </c>
      <c r="H188" s="125" t="s">
        <v>338</v>
      </c>
      <c r="I188" s="176"/>
      <c r="J188" s="125"/>
      <c r="K188" s="125"/>
      <c r="L188" s="125"/>
      <c r="M188" s="125"/>
      <c r="R188" s="240"/>
      <c r="S188" s="240"/>
    </row>
    <row r="189" spans="1:19" ht="15">
      <c r="A189" s="125"/>
      <c r="B189" s="125"/>
      <c r="C189" s="125" t="s">
        <v>692</v>
      </c>
      <c r="D189" s="125"/>
      <c r="E189" s="125"/>
      <c r="F189" s="125"/>
      <c r="G189" s="176" t="e">
        <f>"("&amp;FIXED(G158,2)&amp;")("&amp;FIXED(G188,1,TRUE)&amp;") ="</f>
        <v>#NAME?</v>
      </c>
      <c r="H189" s="125"/>
      <c r="I189" s="176"/>
      <c r="J189" s="125"/>
      <c r="K189" s="125"/>
      <c r="L189" s="125"/>
      <c r="M189" s="125"/>
      <c r="R189" s="240"/>
      <c r="S189" s="240"/>
    </row>
    <row r="190" spans="1:19">
      <c r="A190" s="125"/>
      <c r="B190" s="125"/>
      <c r="C190" s="125"/>
      <c r="D190" s="125"/>
      <c r="E190" s="125"/>
      <c r="F190" s="125"/>
      <c r="G190" s="176" t="e">
        <f>+G188*G158</f>
        <v>#NAME?</v>
      </c>
      <c r="H190" s="125" t="s">
        <v>338</v>
      </c>
      <c r="I190" s="176"/>
      <c r="J190" s="125"/>
      <c r="K190" s="125"/>
      <c r="L190" s="125"/>
      <c r="M190" s="125"/>
      <c r="R190" s="240"/>
      <c r="S190" s="240"/>
    </row>
    <row r="191" spans="1:19">
      <c r="A191" s="125"/>
      <c r="B191" s="125"/>
      <c r="C191" s="125"/>
      <c r="D191" s="125"/>
      <c r="E191" s="125"/>
      <c r="F191" s="125"/>
      <c r="G191" s="167"/>
      <c r="H191" s="125"/>
      <c r="I191" s="167"/>
      <c r="J191" s="125"/>
      <c r="K191" s="125"/>
      <c r="L191" s="125"/>
      <c r="M191" s="125"/>
      <c r="R191" s="240"/>
      <c r="S191" s="240"/>
    </row>
    <row r="192" spans="1:19">
      <c r="A192" s="125"/>
      <c r="B192" s="125" t="str">
        <f>IF(piletype="H","Flexural resistance of steel H-piles",IF(piletype="P","Flexural resistance of steel pipe piles",""))</f>
        <v/>
      </c>
      <c r="C192" s="125"/>
      <c r="D192" s="125"/>
      <c r="E192" s="125"/>
      <c r="F192" s="125"/>
      <c r="G192" s="167"/>
      <c r="H192" s="125"/>
      <c r="I192" s="176"/>
      <c r="J192" s="125"/>
      <c r="K192" s="125"/>
      <c r="L192" s="125"/>
      <c r="M192" s="125"/>
      <c r="R192" s="240"/>
      <c r="S192" s="240"/>
    </row>
    <row r="193" spans="1:19" ht="15">
      <c r="A193" s="125"/>
      <c r="B193" s="125"/>
      <c r="C193" s="125" t="s">
        <v>147</v>
      </c>
      <c r="D193" s="125"/>
      <c r="E193" s="125"/>
      <c r="F193" s="125"/>
      <c r="G193" s="167" t="str">
        <f>+"("&amp;Main!G545&amp;")("&amp;FIXED(pileplastsecmod,1,TRUE)&amp;") ="</f>
        <v>()(0.0) =</v>
      </c>
      <c r="H193" s="125"/>
      <c r="I193" s="176"/>
      <c r="J193" s="125"/>
      <c r="K193" s="125"/>
      <c r="L193" s="125"/>
      <c r="M193" s="125"/>
      <c r="R193" s="240"/>
      <c r="S193" s="240"/>
    </row>
    <row r="194" spans="1:19">
      <c r="A194" s="125"/>
      <c r="B194" s="125"/>
      <c r="C194" s="125"/>
      <c r="D194" s="125"/>
      <c r="E194" s="125"/>
      <c r="F194" s="125"/>
      <c r="G194" s="176">
        <f>+Main!G545*pileplastsecmod</f>
        <v>0</v>
      </c>
      <c r="H194" s="181" t="s">
        <v>255</v>
      </c>
      <c r="I194" s="176">
        <f>+G194/12</f>
        <v>0</v>
      </c>
      <c r="J194" s="125" t="s">
        <v>830</v>
      </c>
      <c r="K194" s="125"/>
      <c r="L194" s="125"/>
      <c r="M194" s="125"/>
      <c r="R194" s="240"/>
      <c r="S194" s="240"/>
    </row>
    <row r="195" spans="1:19" ht="15">
      <c r="A195" s="125"/>
      <c r="B195" s="125"/>
      <c r="C195" s="125" t="s">
        <v>676</v>
      </c>
      <c r="D195" s="125"/>
      <c r="E195" s="125"/>
      <c r="F195" s="125"/>
      <c r="G195" s="176" t="str">
        <f>"("&amp;Main!G545&amp;")("&amp;FIXED(pilesecmod,1,TRUE)&amp;") ="</f>
        <v>()(0.0) =</v>
      </c>
      <c r="H195" s="181"/>
      <c r="I195" s="167"/>
      <c r="J195" s="125"/>
      <c r="K195" s="125"/>
      <c r="L195" s="125"/>
      <c r="M195" s="125"/>
      <c r="R195" s="240"/>
      <c r="S195" s="240"/>
    </row>
    <row r="196" spans="1:19">
      <c r="A196" s="125"/>
      <c r="B196" s="125"/>
      <c r="C196" s="125"/>
      <c r="D196" s="125"/>
      <c r="E196" s="125"/>
      <c r="F196" s="125"/>
      <c r="G196" s="176">
        <f>+Main!G545*pilesecmod</f>
        <v>0</v>
      </c>
      <c r="H196" s="181" t="s">
        <v>255</v>
      </c>
      <c r="I196" s="176">
        <f>+G196/12</f>
        <v>0</v>
      </c>
      <c r="J196" s="125" t="s">
        <v>830</v>
      </c>
      <c r="K196" s="125"/>
      <c r="L196" s="125"/>
      <c r="M196" s="125"/>
      <c r="R196" s="240"/>
      <c r="S196" s="240"/>
    </row>
    <row r="197" spans="1:19">
      <c r="A197" s="125"/>
      <c r="B197" s="125"/>
      <c r="C197" s="125"/>
      <c r="D197" s="125"/>
      <c r="E197" s="125"/>
      <c r="F197" s="125"/>
      <c r="G197" s="176"/>
      <c r="H197" s="181"/>
      <c r="I197" s="167"/>
      <c r="J197" s="125"/>
      <c r="K197" s="125"/>
      <c r="L197" s="125"/>
      <c r="M197" s="125"/>
      <c r="R197" s="240"/>
      <c r="S197" s="240"/>
    </row>
    <row r="198" spans="1:19" ht="12.75" customHeight="1">
      <c r="A198" s="583" t="s">
        <v>229</v>
      </c>
      <c r="B198" s="583"/>
      <c r="C198" s="583"/>
      <c r="D198" s="583"/>
      <c r="E198" s="583"/>
      <c r="F198" s="583"/>
      <c r="G198" s="583"/>
      <c r="H198" s="583"/>
      <c r="I198" s="583"/>
      <c r="J198" s="583"/>
      <c r="K198" s="583"/>
      <c r="L198" s="583"/>
      <c r="M198" s="583"/>
      <c r="R198" s="240"/>
      <c r="S198" s="240"/>
    </row>
    <row r="199" spans="1:19">
      <c r="A199" s="583"/>
      <c r="B199" s="583"/>
      <c r="C199" s="583"/>
      <c r="D199" s="583"/>
      <c r="E199" s="583"/>
      <c r="F199" s="583"/>
      <c r="G199" s="583"/>
      <c r="H199" s="583"/>
      <c r="I199" s="583"/>
      <c r="J199" s="583"/>
      <c r="K199" s="583"/>
      <c r="L199" s="583"/>
      <c r="M199" s="583"/>
      <c r="R199" s="240"/>
      <c r="S199" s="240"/>
    </row>
    <row r="200" spans="1:19">
      <c r="A200" s="583"/>
      <c r="B200" s="583"/>
      <c r="C200" s="583"/>
      <c r="D200" s="583"/>
      <c r="E200" s="583"/>
      <c r="F200" s="583"/>
      <c r="G200" s="583"/>
      <c r="H200" s="583"/>
      <c r="I200" s="583"/>
      <c r="J200" s="583"/>
      <c r="K200" s="583"/>
      <c r="L200" s="583"/>
      <c r="M200" s="583"/>
      <c r="R200" s="240"/>
      <c r="S200" s="240"/>
    </row>
    <row r="201" spans="1:19">
      <c r="A201" s="137"/>
      <c r="B201" s="137"/>
      <c r="C201" s="137"/>
      <c r="D201" s="137"/>
      <c r="E201" s="137"/>
      <c r="F201" s="137"/>
      <c r="G201" s="137"/>
      <c r="H201" s="137"/>
      <c r="I201" s="137"/>
      <c r="J201" s="137"/>
      <c r="K201" s="125"/>
      <c r="L201" s="125"/>
      <c r="M201" s="125"/>
      <c r="R201" s="240"/>
      <c r="S201" s="240"/>
    </row>
    <row r="202" spans="1:19" ht="15.75">
      <c r="A202" s="125"/>
      <c r="B202" s="125"/>
      <c r="C202" s="125" t="s">
        <v>366</v>
      </c>
      <c r="D202" s="125"/>
      <c r="E202" s="125"/>
      <c r="F202" s="125"/>
      <c r="G202" s="125"/>
      <c r="H202" s="181"/>
      <c r="I202" s="167"/>
      <c r="J202" s="125"/>
      <c r="K202" s="125"/>
      <c r="L202" s="125" t="s">
        <v>559</v>
      </c>
      <c r="M202" s="125"/>
      <c r="R202" s="240"/>
      <c r="S202" s="240"/>
    </row>
    <row r="203" spans="1:19">
      <c r="A203" s="125"/>
      <c r="B203" s="125"/>
      <c r="C203" s="125"/>
      <c r="D203" s="125"/>
      <c r="E203" s="125"/>
      <c r="F203" s="125"/>
      <c r="G203" s="125"/>
      <c r="H203" s="181"/>
      <c r="I203" s="167"/>
      <c r="J203" s="125"/>
      <c r="K203" s="125"/>
      <c r="L203" s="125"/>
      <c r="M203" s="125"/>
      <c r="R203" s="240"/>
      <c r="S203" s="240"/>
    </row>
    <row r="204" spans="1:19">
      <c r="A204" s="595" t="s">
        <v>459</v>
      </c>
      <c r="B204" s="595"/>
      <c r="C204" s="595"/>
      <c r="D204" s="595"/>
      <c r="E204" s="595"/>
      <c r="F204" s="595"/>
      <c r="G204" s="595"/>
      <c r="H204" s="595"/>
      <c r="I204" s="595"/>
      <c r="J204" s="595"/>
      <c r="K204" s="125"/>
      <c r="L204" s="125" t="s">
        <v>623</v>
      </c>
      <c r="M204" s="125"/>
      <c r="R204" s="240"/>
      <c r="S204" s="240"/>
    </row>
    <row r="205" spans="1:19">
      <c r="A205" s="595"/>
      <c r="B205" s="595"/>
      <c r="C205" s="595"/>
      <c r="D205" s="595"/>
      <c r="E205" s="595"/>
      <c r="F205" s="595"/>
      <c r="G205" s="595"/>
      <c r="H205" s="595"/>
      <c r="I205" s="595"/>
      <c r="J205" s="595"/>
      <c r="K205" s="125"/>
      <c r="L205" s="125"/>
      <c r="M205" s="125"/>
      <c r="R205" s="240"/>
      <c r="S205" s="240"/>
    </row>
    <row r="206" spans="1:19">
      <c r="A206" s="137"/>
      <c r="B206" s="137"/>
      <c r="C206" s="137"/>
      <c r="D206" s="137"/>
      <c r="E206" s="137"/>
      <c r="F206" s="137"/>
      <c r="G206" s="137"/>
      <c r="H206" s="137"/>
      <c r="I206" s="137"/>
      <c r="J206" s="137"/>
      <c r="K206" s="125"/>
      <c r="L206" s="125"/>
      <c r="M206" s="125"/>
      <c r="R206" s="240"/>
      <c r="S206" s="240"/>
    </row>
    <row r="207" spans="1:19">
      <c r="A207" s="125"/>
      <c r="B207" s="125" t="str">
        <f>IF(piletype="H","Width-to-thickness ratio of projecting flange element",IF(piletype="P","Diameter to thickness ratio of steel pipe pile",""))</f>
        <v/>
      </c>
      <c r="C207" s="125"/>
      <c r="D207" s="125"/>
      <c r="E207" s="125"/>
      <c r="F207" s="125"/>
      <c r="G207" s="125"/>
      <c r="H207" s="181"/>
      <c r="I207" s="167"/>
      <c r="J207" s="125"/>
      <c r="K207" s="125"/>
      <c r="L207" s="125"/>
      <c r="M207" s="125"/>
      <c r="R207" s="240"/>
      <c r="S207" s="240"/>
    </row>
    <row r="208" spans="1:19" ht="13.15">
      <c r="A208" s="125"/>
      <c r="B208" s="227" t="s">
        <v>618</v>
      </c>
      <c r="C208" s="170" t="str">
        <f>IF(piletype="H"," bf / 2tf =",IF(piletype="P"," D/t =",""))</f>
        <v/>
      </c>
      <c r="D208" s="125"/>
      <c r="E208" s="125"/>
      <c r="F208" s="125"/>
      <c r="G208" s="179" t="str">
        <f>IF(piletype="H",+Main!G547&amp;"/(2*"&amp;+Main!G548&amp;") = ",IF(piletype="P",+Main!G547&amp;"/"&amp;+Main!G548&amp;" = ",""))</f>
        <v/>
      </c>
      <c r="H208" s="167" t="str">
        <f>IF(piletype="H",+FIXED(+Main!G547/2/Main!G548),IF(piletype="P",+Main!G547/Main!G548,""))</f>
        <v/>
      </c>
      <c r="I208" s="167"/>
      <c r="J208" s="125"/>
      <c r="K208" s="125"/>
      <c r="L208" s="125"/>
      <c r="M208" s="125"/>
      <c r="R208" s="240"/>
      <c r="S208" s="240"/>
    </row>
    <row r="209" spans="1:19">
      <c r="A209" s="125"/>
      <c r="B209" s="125" t="str">
        <f>IF(piletype="H","Width-to-thickness criteria for flange element to reach plastic moment",IF(piletype="P","Diameter-to-thickness criteria for pipe to reach plastic moment",""))</f>
        <v/>
      </c>
      <c r="C209" s="125"/>
      <c r="D209" s="125"/>
      <c r="E209" s="125"/>
      <c r="F209" s="125"/>
      <c r="G209" s="228"/>
      <c r="H209" s="125"/>
      <c r="I209" s="167"/>
      <c r="J209" s="125"/>
      <c r="K209" s="125"/>
      <c r="L209" s="125"/>
      <c r="M209" s="125"/>
      <c r="R209" s="240"/>
      <c r="S209" s="240"/>
    </row>
    <row r="210" spans="1:19" ht="15.4">
      <c r="A210" s="125"/>
      <c r="B210" s="229" t="s">
        <v>619</v>
      </c>
      <c r="C210" s="251" t="str">
        <f>IF(piletype="H",FIXED(0.382,3,TRUE),IF(piletype="P",2,""))</f>
        <v/>
      </c>
      <c r="D210" s="161" t="s">
        <v>621</v>
      </c>
      <c r="E210" s="125"/>
      <c r="F210" s="125"/>
      <c r="G210" s="217" t="str">
        <f>IF(piletype="H","0.382*(29000/"&amp;+Main!G545&amp;")^0.5 = ",IF(piletype="P","2.00*(29000/"&amp;+Main!G545&amp;")^0.5 = ",""))</f>
        <v/>
      </c>
      <c r="H210" s="167" t="str">
        <f>IF(piletype="H",+FIXED(0.382*(29000/Main!G545)^0.5),IF(piletype="P",2*(29000/Main!G545)^0.5,""))</f>
        <v/>
      </c>
      <c r="I210" s="167"/>
      <c r="J210" s="125"/>
      <c r="K210" s="125"/>
      <c r="L210" s="125"/>
      <c r="M210" s="125"/>
      <c r="R210" s="240"/>
      <c r="S210" s="240"/>
    </row>
    <row r="211" spans="1:19">
      <c r="A211" s="125"/>
      <c r="B211" s="125" t="str">
        <f>IF(piletype="H","Width-to-thickness criteria for flange element to reach yield stress",IF(piletype="P","Diameter-to-thickness criteria for pipe to reach yield stress",""))</f>
        <v/>
      </c>
      <c r="C211" s="125"/>
      <c r="D211" s="125"/>
      <c r="E211" s="125"/>
      <c r="F211" s="125"/>
      <c r="G211" s="231"/>
      <c r="H211" s="125"/>
      <c r="I211" s="167"/>
      <c r="J211" s="125"/>
      <c r="K211" s="125"/>
      <c r="L211" s="125"/>
      <c r="M211" s="125"/>
      <c r="R211" s="240"/>
      <c r="S211" s="240"/>
    </row>
    <row r="212" spans="1:19" ht="15.4">
      <c r="A212" s="125"/>
      <c r="B212" s="229" t="s">
        <v>620</v>
      </c>
      <c r="C212" s="239" t="str">
        <f>IF(piletype="H",0.56,IF(piletype="P",8.8,""))</f>
        <v/>
      </c>
      <c r="D212" s="161" t="s">
        <v>621</v>
      </c>
      <c r="E212" s="125"/>
      <c r="F212" s="125"/>
      <c r="G212" s="179" t="str">
        <f>IF(piletype="H","0.56*(29000/"&amp;+Main!G545&amp;")^0.5 = ",IF(piletype="P","8.80*(29000/"&amp;+Main!G545&amp;")^0.5 = ",""))</f>
        <v/>
      </c>
      <c r="H212" s="167" t="str">
        <f>IF(piletype="H",+FIXED(0.56*(29000/Main!G545)^0.5),IF(piletype="P",8.8*(29000/Main!G545)^0.5,""))</f>
        <v/>
      </c>
      <c r="I212" s="167"/>
      <c r="J212" s="125"/>
      <c r="K212" s="125"/>
      <c r="L212" s="125"/>
      <c r="M212" s="125"/>
      <c r="R212" s="240"/>
      <c r="S212" s="240"/>
    </row>
    <row r="213" spans="1:19" ht="15">
      <c r="A213" s="125"/>
      <c r="B213" s="125" t="s">
        <v>477</v>
      </c>
      <c r="C213" s="125"/>
      <c r="D213" s="125"/>
      <c r="E213" s="125"/>
      <c r="F213" s="139" t="e">
        <f>Main!H1183</f>
        <v>#DIV/0!</v>
      </c>
      <c r="G213" s="125"/>
      <c r="H213" s="125"/>
      <c r="I213" s="125"/>
      <c r="J213" s="125"/>
      <c r="K213" s="125"/>
      <c r="L213" s="125"/>
      <c r="M213" s="125"/>
      <c r="R213" s="240"/>
      <c r="S213" s="240"/>
    </row>
    <row r="214" spans="1:19" ht="15">
      <c r="A214" s="125"/>
      <c r="B214" s="125"/>
      <c r="C214" s="125"/>
      <c r="D214" s="125"/>
      <c r="E214" s="125"/>
      <c r="F214" s="133" t="s">
        <v>622</v>
      </c>
      <c r="G214" s="167" t="e">
        <f>Main!J1183</f>
        <v>#DIV/0!</v>
      </c>
      <c r="H214" s="139" t="s">
        <v>255</v>
      </c>
      <c r="I214" s="167" t="e">
        <f>G214/12</f>
        <v>#DIV/0!</v>
      </c>
      <c r="J214" s="125" t="s">
        <v>830</v>
      </c>
      <c r="K214" s="125"/>
      <c r="L214" s="125"/>
      <c r="M214" s="125"/>
      <c r="R214" s="240"/>
      <c r="S214" s="240"/>
    </row>
    <row r="215" spans="1:19">
      <c r="A215" s="125"/>
      <c r="B215" s="125"/>
      <c r="C215" s="125"/>
      <c r="D215" s="125"/>
      <c r="E215" s="125"/>
      <c r="F215" s="125"/>
      <c r="G215" s="125"/>
      <c r="H215" s="125"/>
      <c r="I215" s="125"/>
      <c r="J215" s="125"/>
      <c r="K215" s="125"/>
      <c r="L215" s="125"/>
      <c r="M215" s="125"/>
      <c r="R215" s="240"/>
      <c r="S215" s="240"/>
    </row>
    <row r="216" spans="1:19" ht="15">
      <c r="A216" s="125"/>
      <c r="B216" s="125" t="s">
        <v>693</v>
      </c>
      <c r="C216" s="125"/>
      <c r="D216" s="125"/>
      <c r="E216" s="125"/>
      <c r="F216" s="125"/>
      <c r="G216" s="176" t="e">
        <f>"("&amp;FIXED(G159,2)&amp;")("&amp;FIXED(G214,1,TRUE)&amp;") ="</f>
        <v>#DIV/0!</v>
      </c>
      <c r="H216" s="181"/>
      <c r="I216" s="167"/>
      <c r="J216" s="125"/>
      <c r="K216" s="125"/>
      <c r="L216" s="125"/>
      <c r="M216" s="125"/>
      <c r="R216" s="240"/>
      <c r="S216" s="240"/>
    </row>
    <row r="217" spans="1:19">
      <c r="A217" s="125"/>
      <c r="B217" s="125"/>
      <c r="C217" s="125"/>
      <c r="D217" s="125"/>
      <c r="E217" s="125"/>
      <c r="F217" s="125"/>
      <c r="G217" s="176" t="e">
        <f>+G214*G159</f>
        <v>#DIV/0!</v>
      </c>
      <c r="H217" s="139" t="s">
        <v>255</v>
      </c>
      <c r="I217" s="167" t="e">
        <f>G217/12</f>
        <v>#DIV/0!</v>
      </c>
      <c r="J217" s="125" t="s">
        <v>830</v>
      </c>
      <c r="K217" s="125"/>
      <c r="L217" s="125"/>
      <c r="M217" s="125"/>
      <c r="R217" s="240"/>
      <c r="S217" s="240"/>
    </row>
    <row r="218" spans="1:19">
      <c r="A218" s="125"/>
      <c r="B218" s="125"/>
      <c r="C218" s="125"/>
      <c r="D218" s="125"/>
      <c r="E218" s="125"/>
      <c r="F218" s="125"/>
      <c r="G218" s="176"/>
      <c r="H218" s="181"/>
      <c r="I218" s="167"/>
      <c r="J218" s="125"/>
      <c r="K218" s="125"/>
      <c r="L218" s="125"/>
      <c r="M218" s="125"/>
      <c r="R218" s="240"/>
      <c r="S218" s="240"/>
    </row>
    <row r="219" spans="1:19">
      <c r="A219" s="125"/>
      <c r="B219" s="125"/>
      <c r="C219" s="125" t="s">
        <v>561</v>
      </c>
      <c r="D219" s="125"/>
      <c r="E219" s="125"/>
      <c r="F219" s="125"/>
      <c r="G219" s="125"/>
      <c r="H219" s="125"/>
      <c r="I219" s="176"/>
      <c r="J219" s="125"/>
      <c r="K219" s="125"/>
      <c r="L219" s="125"/>
      <c r="M219" s="125"/>
      <c r="R219" s="240"/>
      <c r="S219" s="240"/>
    </row>
    <row r="220" spans="1:19" ht="15">
      <c r="A220" s="125"/>
      <c r="B220" s="125"/>
      <c r="C220" s="125"/>
      <c r="D220" s="174" t="s">
        <v>90</v>
      </c>
      <c r="F220" s="179" t="e">
        <f>FIXED(D35,1,TRUE)&amp;"/"&amp;FIXED(+G190,1,TRUE)&amp;" = "</f>
        <v>#NAME?</v>
      </c>
      <c r="G220" s="186" t="e">
        <f>+D35/G190</f>
        <v>#NAME?</v>
      </c>
      <c r="H220" s="167"/>
      <c r="I220" s="176"/>
      <c r="J220" s="125"/>
      <c r="K220" s="125"/>
      <c r="L220" s="125" t="s">
        <v>230</v>
      </c>
      <c r="M220" s="125"/>
      <c r="R220" s="240"/>
      <c r="S220" s="240"/>
    </row>
    <row r="221" spans="1:19" ht="15">
      <c r="A221" s="125"/>
      <c r="B221" s="125"/>
      <c r="C221" s="125"/>
      <c r="D221" s="125" t="s">
        <v>767</v>
      </c>
      <c r="E221" s="125"/>
      <c r="F221" s="125"/>
      <c r="G221" s="167"/>
      <c r="H221" s="125"/>
      <c r="I221" s="176"/>
      <c r="J221" s="125"/>
      <c r="K221" s="125"/>
      <c r="L221" s="125"/>
      <c r="M221" s="125"/>
      <c r="R221" s="240"/>
      <c r="S221" s="240"/>
    </row>
    <row r="222" spans="1:19" ht="15">
      <c r="A222" s="125"/>
      <c r="B222" s="125"/>
      <c r="C222" s="125"/>
      <c r="D222" s="125" t="s">
        <v>274</v>
      </c>
      <c r="E222" s="125"/>
      <c r="F222" s="125"/>
      <c r="G222" s="125"/>
      <c r="H222" s="125"/>
      <c r="I222" s="125"/>
      <c r="J222" s="125"/>
      <c r="K222" s="125"/>
      <c r="L222" s="125"/>
      <c r="M222" s="125"/>
      <c r="R222" s="240"/>
      <c r="S222" s="240"/>
    </row>
    <row r="223" spans="1:19">
      <c r="A223" s="125"/>
      <c r="B223" s="125"/>
      <c r="C223" s="125"/>
      <c r="D223" s="125" t="s">
        <v>91</v>
      </c>
      <c r="E223" s="125"/>
      <c r="F223" s="125"/>
      <c r="G223" s="125"/>
      <c r="H223" s="125"/>
      <c r="I223" s="133" t="e">
        <f>IF(G220&lt;0.2,FIXED(D35,1,TRUE)&amp;"/(2*"&amp;FIXED(G190,1,TRUE)&amp;") + "&amp;FIXED(G89,2)&amp;"/"&amp;FIXED(I217,2,TRUE)&amp;" =",FIXED(D35,1,TRUE)&amp;"/"&amp;FIXED(G190,1,TRUE)&amp;" + (8.0/9.0)("&amp;FIXED(G89,2)&amp;"/"&amp;FIXED(I217,2,TRUE)&amp;") =")</f>
        <v>#NAME?</v>
      </c>
      <c r="J223" s="167" t="e">
        <f>IF(G220&lt;0.2,G71/G190/2+G89/I217,G71/G190+(8/9)*(G89/I217))</f>
        <v>#NAME?</v>
      </c>
      <c r="K223" s="187" t="e">
        <f>IF(J223&gt;1.0049,"&gt; 1.0 NG","&lt; 1.00 OK")</f>
        <v>#NAME?</v>
      </c>
      <c r="L223" s="125"/>
      <c r="M223" s="125"/>
      <c r="R223" s="240"/>
      <c r="S223" s="240"/>
    </row>
    <row r="224" spans="1:19">
      <c r="A224" s="125"/>
      <c r="B224" s="125"/>
      <c r="C224" s="125"/>
      <c r="D224" s="252" t="e">
        <f>IF(J223&gt;1.0049,"Error - "&amp;FIXED(J223,2,TRUE)&amp;" &gt; 1.0  - Increase the number of piles or change the pile section","")</f>
        <v>#NAME?</v>
      </c>
      <c r="E224" s="125"/>
      <c r="F224" s="125"/>
      <c r="G224" s="125"/>
      <c r="H224" s="167"/>
      <c r="I224" s="125"/>
      <c r="J224" s="125"/>
      <c r="K224" s="125"/>
      <c r="L224" s="125"/>
      <c r="M224" s="125"/>
      <c r="R224" s="157" t="e">
        <f>IF(LEFT(D224,5)="Error",1,0)</f>
        <v>#NAME?</v>
      </c>
      <c r="S224" s="157" t="e">
        <f>IF(LEFT(D224,5)="Warni",1,0)</f>
        <v>#NAME?</v>
      </c>
    </row>
    <row r="225" spans="1:19" ht="13.15">
      <c r="A225" s="242" t="s">
        <v>365</v>
      </c>
      <c r="R225" s="240"/>
      <c r="S225" s="240"/>
    </row>
    <row r="226" spans="1:19">
      <c r="R226" s="240" t="e">
        <f>SUM(R1:R225)</f>
        <v>#NAME?</v>
      </c>
      <c r="S226" s="240" t="e">
        <f>SUM(S1:S225)</f>
        <v>#NAME?</v>
      </c>
    </row>
    <row r="227" spans="1:19" ht="13.15">
      <c r="A227" s="138" t="s">
        <v>774</v>
      </c>
      <c r="B227" s="125"/>
      <c r="C227" s="125"/>
      <c r="D227" s="125"/>
      <c r="E227" s="125"/>
      <c r="F227" s="125"/>
      <c r="G227" s="125"/>
      <c r="H227" s="125"/>
      <c r="I227" s="125"/>
      <c r="J227" s="125"/>
      <c r="K227" s="125"/>
      <c r="L227" s="125"/>
      <c r="R227" s="240"/>
      <c r="S227" s="240"/>
    </row>
    <row r="228" spans="1:19">
      <c r="A228" s="125" t="str">
        <f>"Number of piles:  "&amp;npiles&amp;" - "&amp;IF(piletype="H",piledesig&amp;" piles",FIXED(pilewidth,1,TRUE)&amp;" in diameter concrete-filled pipe piles")</f>
        <v>Number of piles:   - 0.0 in diameter concrete-filled pipe piles</v>
      </c>
      <c r="B228" s="125"/>
      <c r="C228" s="125"/>
      <c r="D228" s="125"/>
      <c r="E228" s="125"/>
      <c r="F228" s="125"/>
      <c r="G228" s="125"/>
      <c r="H228" s="125"/>
      <c r="I228" s="125"/>
      <c r="J228" s="125"/>
      <c r="K228" s="125"/>
      <c r="L228" s="125"/>
      <c r="R228" s="240"/>
      <c r="S228" s="240"/>
    </row>
    <row r="229" spans="1:19">
      <c r="A229" s="125" t="str">
        <f>"Pile spacing:  "&amp;FIXED(Main!G568,3)&amp;" ft in a single row along the centerline of bearing of the abutment"</f>
        <v>Pile spacing:  0.000 ft in a single row along the centerline of bearing of the abutment</v>
      </c>
      <c r="B229" s="125"/>
      <c r="C229" s="125"/>
      <c r="D229" s="125"/>
      <c r="E229" s="125"/>
      <c r="F229" s="125"/>
      <c r="G229" s="125"/>
      <c r="H229" s="125"/>
      <c r="I229" s="125"/>
      <c r="J229" s="125"/>
      <c r="K229" s="125"/>
      <c r="L229" s="125"/>
      <c r="R229" s="240"/>
      <c r="S229" s="240"/>
    </row>
    <row r="230" spans="1:19">
      <c r="A230" s="125" t="str">
        <f>"Design pile length:  "&amp;G111/12&amp;" ft"</f>
        <v>Design pile length:  0 ft</v>
      </c>
      <c r="B230" s="125"/>
      <c r="C230" s="125"/>
      <c r="D230" s="125"/>
      <c r="E230" s="125"/>
      <c r="F230" s="125"/>
      <c r="G230" s="125"/>
      <c r="H230" s="125"/>
      <c r="I230" s="125"/>
      <c r="J230" s="125"/>
      <c r="K230" s="125"/>
      <c r="L230" s="125"/>
      <c r="R230" s="240"/>
      <c r="S230" s="240"/>
    </row>
    <row r="231" spans="1:19">
      <c r="A231" s="125" t="e">
        <f>"Depth to fixity:  "&amp;FIXED(scourfixity,2)&amp;" in ("&amp;FIXED(I80,2,TRUE)&amp;" ft)"</f>
        <v>#NAME?</v>
      </c>
      <c r="B231" s="125"/>
      <c r="C231" s="125"/>
      <c r="D231" s="125"/>
      <c r="E231" s="125"/>
      <c r="F231" s="125"/>
      <c r="G231" s="125"/>
      <c r="H231" s="125"/>
      <c r="I231" s="125"/>
      <c r="J231" s="125"/>
      <c r="K231" s="125"/>
      <c r="L231" s="125"/>
      <c r="R231" s="240"/>
      <c r="S231" s="240"/>
    </row>
    <row r="232" spans="1:19">
      <c r="A232" s="125" t="e">
        <f>"Unbraced length:  "&amp;FIXED(0.65*scourfixity,2,TRUE)&amp;" in ("&amp;FIXED(0.65*I80,2,TRUE)&amp;" ft)"</f>
        <v>#NAME?</v>
      </c>
      <c r="B232" s="125"/>
      <c r="C232" s="125"/>
      <c r="D232" s="125"/>
      <c r="E232" s="125"/>
      <c r="F232" s="125"/>
      <c r="G232" s="125"/>
      <c r="H232" s="125"/>
      <c r="I232" s="125"/>
      <c r="J232" s="125"/>
      <c r="K232" s="125"/>
      <c r="L232" s="125"/>
      <c r="R232" s="240"/>
      <c r="S232" s="240"/>
    </row>
    <row r="233" spans="1:19">
      <c r="A233" s="125" t="str">
        <f>"Depth to the point where the lateral deflection is 2% of the pile width (friction engaged):  "&amp;G86&amp;" in ("&amp;FIXED(I86,2,TRUE)&amp;" ft)"</f>
        <v>Depth to the point where the lateral deflection is 2% of the pile width (friction engaged):   in (0.00 ft)</v>
      </c>
      <c r="B233" s="125"/>
      <c r="C233" s="125"/>
      <c r="D233" s="125"/>
      <c r="E233" s="125"/>
      <c r="F233" s="125"/>
      <c r="G233" s="125"/>
      <c r="H233" s="125"/>
      <c r="I233" s="125"/>
      <c r="J233" s="125"/>
      <c r="K233" s="125"/>
      <c r="L233" s="125"/>
      <c r="R233" s="240"/>
      <c r="S233" s="240"/>
    </row>
    <row r="234" spans="1:19">
      <c r="A234" s="125" t="str">
        <f>"Pile yield moment, My:  "&amp;FIXED(G196,1,TRUE)&amp;" k-in ("&amp;FIXED(I196,1,TRUE)&amp;" k-ft)"</f>
        <v>Pile yield moment, My:  0.0 k-in (0.0 k-ft)</v>
      </c>
      <c r="B234" s="125"/>
      <c r="C234" s="125"/>
      <c r="D234" s="125"/>
      <c r="E234" s="125"/>
      <c r="F234" s="125"/>
      <c r="G234" s="125"/>
      <c r="H234" s="125"/>
      <c r="I234" s="125"/>
      <c r="J234" s="125"/>
      <c r="K234" s="125"/>
      <c r="L234" s="125"/>
      <c r="R234" s="240"/>
      <c r="S234" s="240"/>
    </row>
    <row r="235" spans="1:19">
      <c r="A235" s="125" t="str">
        <f>"Pile plastic moment, Mp:  "&amp;FIXED(G194,1,TRUE)&amp;" k-in ("&amp;FIXED(I194,1,TRUE)&amp;" k-ft)"</f>
        <v>Pile plastic moment, Mp:  0.0 k-in (0.0 k-ft)</v>
      </c>
      <c r="B235" s="125"/>
      <c r="C235" s="125"/>
      <c r="D235" s="125"/>
      <c r="E235" s="125"/>
      <c r="F235" s="125"/>
      <c r="G235" s="125"/>
      <c r="H235" s="125"/>
      <c r="I235" s="125"/>
      <c r="J235" s="125"/>
      <c r="K235" s="125"/>
      <c r="L235" s="125"/>
      <c r="R235" s="240"/>
      <c r="S235" s="240"/>
    </row>
    <row r="236" spans="1:19">
      <c r="A236" s="125" t="e">
        <f>"Total factored geotechnical capacity of the pile:  "&amp;FIXED(G140,1,TRUE)&amp;" k"</f>
        <v>#N/A</v>
      </c>
      <c r="B236" s="125"/>
      <c r="C236" s="125"/>
      <c r="D236" s="125"/>
      <c r="E236" s="125"/>
      <c r="F236" s="125"/>
      <c r="G236" s="125"/>
      <c r="H236" s="125"/>
      <c r="I236" s="125"/>
      <c r="J236" s="125"/>
      <c r="K236" s="125"/>
      <c r="L236" s="125"/>
      <c r="R236" s="240"/>
      <c r="S236" s="240"/>
    </row>
    <row r="237" spans="1:19">
      <c r="A237" s="125" t="e">
        <f>"Factored axial resistance of the pile at the tip:  "&amp;FIXED(G172,1,TRUE)&amp;" k"</f>
        <v>#REF!</v>
      </c>
      <c r="B237" s="125"/>
      <c r="C237" s="125"/>
      <c r="D237" s="125"/>
      <c r="E237" s="125"/>
      <c r="F237" s="125"/>
      <c r="G237" s="125"/>
      <c r="H237" s="125"/>
      <c r="I237" s="125"/>
      <c r="J237" s="125"/>
      <c r="K237" s="125"/>
      <c r="L237" s="125"/>
      <c r="R237" s="240"/>
      <c r="S237" s="240"/>
    </row>
    <row r="238" spans="1:19">
      <c r="A238" s="125" t="e">
        <f>"Factored axial resistance of upper portion of pile for use in interaction equation:  "&amp;FIXED(G190,1,TRUE)&amp;" k"</f>
        <v>#NAME?</v>
      </c>
      <c r="B238" s="125"/>
      <c r="C238" s="125"/>
      <c r="D238" s="125"/>
      <c r="E238" s="125"/>
      <c r="F238" s="125"/>
      <c r="G238" s="125"/>
      <c r="H238" s="125"/>
      <c r="I238" s="125"/>
      <c r="J238" s="125"/>
      <c r="K238" s="125"/>
      <c r="L238" s="125"/>
      <c r="R238" s="240"/>
      <c r="S238" s="240"/>
    </row>
    <row r="239" spans="1:19">
      <c r="A239" s="125" t="e">
        <f>"Factored flexural resistance of upper portion of pile for use in interaction equation:  "&amp;FIXED(G217,1,TRUE)&amp;" k-in ("&amp;FIXED(I217,1,TRUE)&amp;" k-ft)"</f>
        <v>#DIV/0!</v>
      </c>
      <c r="B239" s="125"/>
      <c r="C239" s="125"/>
      <c r="D239" s="125"/>
      <c r="E239" s="125"/>
      <c r="F239" s="125"/>
      <c r="G239" s="125"/>
      <c r="H239" s="125"/>
      <c r="I239" s="125"/>
      <c r="J239" s="125"/>
      <c r="K239" s="125"/>
      <c r="L239" s="125"/>
      <c r="R239" s="240"/>
      <c r="S239" s="240"/>
    </row>
    <row r="240" spans="1:19">
      <c r="A240" s="125"/>
      <c r="B240" s="125"/>
      <c r="C240" s="125"/>
      <c r="D240" s="125"/>
      <c r="E240" s="125"/>
      <c r="F240" s="125"/>
      <c r="G240" s="125"/>
      <c r="H240" s="125"/>
      <c r="I240" s="125"/>
      <c r="J240" s="125"/>
      <c r="K240" s="125"/>
      <c r="L240" s="125"/>
      <c r="R240" s="240"/>
      <c r="S240" s="240"/>
    </row>
    <row r="241" spans="1:19" ht="13.15">
      <c r="A241" s="138" t="s">
        <v>775</v>
      </c>
      <c r="B241" s="125"/>
      <c r="C241" s="125"/>
      <c r="D241" s="125"/>
      <c r="E241" s="125"/>
      <c r="F241" s="125"/>
      <c r="G241" s="125"/>
      <c r="H241" s="125"/>
      <c r="I241" s="125"/>
      <c r="J241" s="125"/>
      <c r="K241" s="125"/>
      <c r="L241" s="125"/>
      <c r="R241" s="240"/>
      <c r="S241" s="240"/>
    </row>
    <row r="242" spans="1:19">
      <c r="A242" s="125" t="e">
        <f>"Maximum axial force in the pile:  "&amp;FIXED(D35,1,TRUE)&amp;" k due to the Extreme Event II load case"</f>
        <v>#NAME?</v>
      </c>
      <c r="B242" s="125"/>
      <c r="C242" s="125"/>
      <c r="D242" s="125"/>
      <c r="E242" s="125"/>
      <c r="F242" s="125"/>
      <c r="G242" s="125"/>
      <c r="H242" s="125"/>
      <c r="I242" s="125"/>
      <c r="J242" s="125"/>
      <c r="K242" s="125"/>
      <c r="L242" s="125"/>
      <c r="R242" s="240"/>
      <c r="S242" s="240"/>
    </row>
    <row r="243" spans="1:19">
      <c r="A243" s="125" t="e">
        <f>"Maximum bending moment in the pile:  "&amp;FIXED(I89,1,TRUE)&amp;" k-in ("&amp;FIXED(scourmaxmom,1,TRUE)&amp;" k-ft)"</f>
        <v>#NAME?</v>
      </c>
      <c r="B243" s="125"/>
      <c r="C243" s="125"/>
      <c r="D243" s="125"/>
      <c r="E243" s="125"/>
      <c r="F243" s="125"/>
      <c r="G243" s="125"/>
      <c r="H243" s="125"/>
      <c r="I243" s="125"/>
      <c r="J243" s="125"/>
      <c r="K243" s="125"/>
      <c r="L243" s="125"/>
      <c r="R243" s="240"/>
      <c r="S243" s="240"/>
    </row>
    <row r="244" spans="1:19">
      <c r="A244" s="125" t="e">
        <f>"Total maximum design rotation:  "&amp;FIXED(J45,4,TRUE)&amp;" radians ("&amp;FIXED(H45,3,TRUE)&amp;" degrees)"</f>
        <v>#DIV/0!</v>
      </c>
      <c r="B244" s="125"/>
      <c r="C244" s="125"/>
      <c r="D244" s="125"/>
      <c r="E244" s="125"/>
      <c r="F244" s="125"/>
      <c r="G244" s="125"/>
      <c r="H244" s="125"/>
      <c r="I244" s="125"/>
      <c r="J244" s="125"/>
      <c r="K244" s="125"/>
      <c r="L244" s="125"/>
      <c r="R244" s="240"/>
      <c r="S244" s="240"/>
    </row>
    <row r="245" spans="1:19">
      <c r="A245" s="125" t="e">
        <f>"Axial load-moment interaction equation result for the pile (maximum allowable is 1.00):  "&amp;FIXED(J223,2,TRUE)</f>
        <v>#NAME?</v>
      </c>
      <c r="B245" s="125"/>
      <c r="C245" s="125"/>
      <c r="D245" s="125"/>
      <c r="E245" s="125"/>
      <c r="F245" s="125"/>
      <c r="G245" s="125"/>
      <c r="H245" s="125"/>
      <c r="I245" s="125"/>
      <c r="J245" s="125"/>
      <c r="K245" s="125"/>
      <c r="L245" s="125"/>
      <c r="R245" s="240"/>
      <c r="S245" s="240"/>
    </row>
    <row r="246" spans="1:19">
      <c r="R246" s="240"/>
      <c r="S246" s="240"/>
    </row>
    <row r="247" spans="1:19" ht="13.15">
      <c r="A247" s="138" t="s">
        <v>756</v>
      </c>
      <c r="R247" s="240"/>
      <c r="S247" s="240"/>
    </row>
    <row r="248" spans="1:19">
      <c r="A248" s="125" t="e">
        <f>"The spreadsheet generated "&amp;FIXED(S226,0,TRUE)&amp;" warning(s) and "&amp;FIXED(R226,0,TRUE)&amp;" error(s)."</f>
        <v>#NAME?</v>
      </c>
      <c r="R248" s="240"/>
      <c r="S248" s="240"/>
    </row>
    <row r="249" spans="1:19">
      <c r="A249" s="125" t="e">
        <f>IF(S226&gt;0,"The "&amp;FIXED(S226,0,TRUE)&amp;" warning(s) should should be checked to make sure requirements are satisfied.","")</f>
        <v>#NAME?</v>
      </c>
      <c r="B249" s="125"/>
      <c r="C249" s="125"/>
      <c r="D249" s="170"/>
      <c r="E249" s="170"/>
      <c r="F249" s="170"/>
      <c r="G249" s="188"/>
      <c r="H249" s="218"/>
      <c r="I249" s="188"/>
      <c r="J249" s="170"/>
      <c r="K249" s="125"/>
      <c r="R249" s="240"/>
      <c r="S249" s="240"/>
    </row>
    <row r="250" spans="1:19">
      <c r="A250" s="163" t="e">
        <f>IF(R226&gt;0,"The "&amp;FIXED(R226,0,TRUE)&amp;" error(s) must be addressed to satisfy design requirements.","")</f>
        <v>#NAME?</v>
      </c>
      <c r="R250" s="240"/>
      <c r="S250" s="240"/>
    </row>
    <row r="251" spans="1:19">
      <c r="R251" s="240"/>
      <c r="S251" s="240"/>
    </row>
  </sheetData>
  <mergeCells count="18">
    <mergeCell ref="A204:J205"/>
    <mergeCell ref="G67:H67"/>
    <mergeCell ref="A79:J79"/>
    <mergeCell ref="A110:J110"/>
    <mergeCell ref="A77:K77"/>
    <mergeCell ref="A175:J178"/>
    <mergeCell ref="H158:I159"/>
    <mergeCell ref="A132:M133"/>
    <mergeCell ref="A145:M153"/>
    <mergeCell ref="A164:M166"/>
    <mergeCell ref="A198:M200"/>
    <mergeCell ref="A5:M9"/>
    <mergeCell ref="A63:M64"/>
    <mergeCell ref="A82:M85"/>
    <mergeCell ref="A113:M117"/>
    <mergeCell ref="A122:M123"/>
    <mergeCell ref="A12:J13"/>
    <mergeCell ref="A40:M41"/>
  </mergeCells>
  <phoneticPr fontId="27" type="noConversion"/>
  <conditionalFormatting sqref="D224">
    <cfRule type="expression" dxfId="18" priority="1" stopIfTrue="1">
      <formula>IF(J223&gt;1.0049,TRUE,FALSE)</formula>
    </cfRule>
  </conditionalFormatting>
  <conditionalFormatting sqref="C173">
    <cfRule type="expression" dxfId="17" priority="2" stopIfTrue="1">
      <formula>IF(G172&lt;G169,TRUE,FALSE)</formula>
    </cfRule>
  </conditionalFormatting>
  <conditionalFormatting sqref="K173:K174">
    <cfRule type="cellIs" dxfId="16" priority="3" stopIfTrue="1" operator="equal">
      <formula>"OK"</formula>
    </cfRule>
  </conditionalFormatting>
  <conditionalFormatting sqref="B180">
    <cfRule type="expression" dxfId="15" priority="4" stopIfTrue="1">
      <formula>IF(1.54*unbraced&gt;scourfixity,TRUE,FALSE)</formula>
    </cfRule>
  </conditionalFormatting>
  <conditionalFormatting sqref="K223">
    <cfRule type="cellIs" dxfId="14" priority="5" stopIfTrue="1" operator="equal">
      <formula>"&gt; 1.0 NG"</formula>
    </cfRule>
  </conditionalFormatting>
  <conditionalFormatting sqref="B142">
    <cfRule type="expression" dxfId="13" priority="6" stopIfTrue="1">
      <formula>IF(G141&lt;H46,TRUE,FALSE)</formula>
    </cfRule>
  </conditionalFormatting>
  <conditionalFormatting sqref="B141">
    <cfRule type="expression" dxfId="12" priority="7" stopIfTrue="1">
      <formula>IF(G140&lt;D35,TRUE,FALSE)</formula>
    </cfRule>
  </conditionalFormatting>
  <conditionalFormatting sqref="C174">
    <cfRule type="expression" dxfId="11" priority="8" stopIfTrue="1">
      <formula>IF(G173&lt;G15*IF(piletype="P",#REF!,1),TRUE,FALSE)</formula>
    </cfRule>
  </conditionalFormatting>
  <conditionalFormatting sqref="I52">
    <cfRule type="cellIs" dxfId="10" priority="9" stopIfTrue="1" operator="equal">
      <formula>"ERROR"</formula>
    </cfRule>
  </conditionalFormatting>
  <pageMargins left="0.75" right="0.25" top="0.54" bottom="0.51" header="0.24" footer="0"/>
  <pageSetup scale="90" orientation="portrait" horizontalDpi="300" verticalDpi="300" r:id="rId1"/>
  <headerFooter alignWithMargins="0">
    <oddHeader>&amp;L        PennDOT Integral Abutment Spreadsheet, Version 2.0
        &amp;F&amp;C&amp;"Arial,Bold"
&amp;R&amp;A Sheet  
Sheet &amp;P of &amp;N</oddHeader>
    <oddFooter>&amp;L         &amp;Z&amp;F</oddFooter>
  </headerFooter>
  <rowBreaks count="5" manualBreakCount="5">
    <brk id="61" max="12" man="1"/>
    <brk id="108" max="12" man="1"/>
    <brk id="142" max="12" man="1"/>
    <brk id="181" max="12" man="1"/>
    <brk id="224" max="12"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pageSetUpPr autoPageBreaks="0" fitToPage="1"/>
  </sheetPr>
  <dimension ref="B1:L58"/>
  <sheetViews>
    <sheetView workbookViewId="0"/>
  </sheetViews>
  <sheetFormatPr defaultRowHeight="12.75"/>
  <cols>
    <col min="1" max="1" width="2.265625" customWidth="1"/>
    <col min="2" max="5" width="10.73046875" customWidth="1"/>
    <col min="7" max="7" width="5.86328125" customWidth="1"/>
  </cols>
  <sheetData>
    <row r="1" spans="2:12" ht="13.15">
      <c r="B1" s="28" t="s">
        <v>582</v>
      </c>
    </row>
    <row r="3" spans="2:12" ht="14.25" customHeight="1">
      <c r="C3" s="617" t="s">
        <v>286</v>
      </c>
      <c r="D3" s="617"/>
      <c r="E3" s="617"/>
      <c r="F3" s="617"/>
      <c r="G3" s="617"/>
      <c r="H3" s="617"/>
      <c r="I3" s="617"/>
      <c r="J3" s="617"/>
      <c r="K3" s="617"/>
      <c r="L3" s="617"/>
    </row>
    <row r="4" spans="2:12" ht="14.25" customHeight="1">
      <c r="C4" s="617"/>
      <c r="D4" s="617"/>
      <c r="E4" s="617"/>
      <c r="F4" s="617"/>
      <c r="G4" s="617"/>
      <c r="H4" s="617"/>
      <c r="I4" s="617"/>
      <c r="J4" s="617"/>
      <c r="K4" s="617"/>
      <c r="L4" s="617"/>
    </row>
    <row r="5" spans="2:12" ht="14.25" customHeight="1">
      <c r="C5" s="617"/>
      <c r="D5" s="617"/>
      <c r="E5" s="617"/>
      <c r="F5" s="617"/>
      <c r="G5" s="617"/>
      <c r="H5" s="617"/>
      <c r="I5" s="617"/>
      <c r="J5" s="617"/>
      <c r="K5" s="617"/>
      <c r="L5" s="617"/>
    </row>
    <row r="6" spans="2:12" ht="14.25" customHeight="1">
      <c r="C6" s="617"/>
      <c r="D6" s="617"/>
      <c r="E6" s="617"/>
      <c r="F6" s="617"/>
      <c r="G6" s="617"/>
      <c r="H6" s="617"/>
      <c r="I6" s="617"/>
      <c r="J6" s="617"/>
      <c r="K6" s="617"/>
      <c r="L6" s="617"/>
    </row>
    <row r="7" spans="2:12" ht="14.25" customHeight="1">
      <c r="C7" s="617"/>
      <c r="D7" s="617"/>
      <c r="E7" s="617"/>
      <c r="F7" s="617"/>
      <c r="G7" s="617"/>
      <c r="H7" s="617"/>
      <c r="I7" s="617"/>
      <c r="J7" s="617"/>
      <c r="K7" s="617"/>
      <c r="L7" s="617"/>
    </row>
    <row r="8" spans="2:12" ht="14.25" customHeight="1">
      <c r="C8" s="617"/>
      <c r="D8" s="617"/>
      <c r="E8" s="617"/>
      <c r="F8" s="617"/>
      <c r="G8" s="617"/>
      <c r="H8" s="617"/>
      <c r="I8" s="617"/>
      <c r="J8" s="617"/>
      <c r="K8" s="617"/>
      <c r="L8" s="617"/>
    </row>
    <row r="9" spans="2:12" ht="14.25" customHeight="1">
      <c r="C9" s="618"/>
      <c r="D9" s="618"/>
      <c r="E9" s="618"/>
      <c r="F9" s="618"/>
      <c r="G9" s="618"/>
      <c r="H9" s="618"/>
      <c r="I9" s="618"/>
      <c r="J9" s="618"/>
      <c r="K9" s="618"/>
      <c r="L9" s="618"/>
    </row>
    <row r="10" spans="2:12" ht="14.25" customHeight="1">
      <c r="C10" s="618"/>
      <c r="D10" s="618"/>
      <c r="E10" s="618"/>
      <c r="F10" s="618"/>
      <c r="G10" s="618"/>
      <c r="H10" s="618"/>
      <c r="I10" s="618"/>
      <c r="J10" s="618"/>
      <c r="K10" s="618"/>
      <c r="L10" s="618"/>
    </row>
    <row r="11" spans="2:12" ht="14.25" customHeight="1">
      <c r="C11" s="618"/>
      <c r="D11" s="618"/>
      <c r="E11" s="618"/>
      <c r="F11" s="618"/>
      <c r="G11" s="618"/>
      <c r="H11" s="618"/>
      <c r="I11" s="618"/>
      <c r="J11" s="618"/>
      <c r="K11" s="618"/>
      <c r="L11" s="618"/>
    </row>
    <row r="13" spans="2:12" ht="13.15">
      <c r="B13" s="28" t="s">
        <v>287</v>
      </c>
    </row>
    <row r="15" spans="2:12">
      <c r="B15" s="67">
        <f>Main!B1</f>
        <v>0</v>
      </c>
      <c r="C15" s="68"/>
      <c r="D15" s="68"/>
      <c r="E15" s="68"/>
      <c r="F15" s="69"/>
      <c r="H15" t="s">
        <v>293</v>
      </c>
    </row>
    <row r="16" spans="2:12">
      <c r="B16" s="70">
        <v>2</v>
      </c>
      <c r="C16" s="71">
        <v>1</v>
      </c>
      <c r="D16" s="71">
        <v>0</v>
      </c>
      <c r="E16" s="71"/>
      <c r="F16" s="72"/>
      <c r="H16" t="s">
        <v>294</v>
      </c>
    </row>
    <row r="17" spans="2:9">
      <c r="B17" s="70">
        <v>200</v>
      </c>
      <c r="C17" s="73" t="s">
        <v>782</v>
      </c>
      <c r="D17" s="71">
        <v>1</v>
      </c>
      <c r="E17" s="71">
        <v>0</v>
      </c>
      <c r="F17" s="72"/>
      <c r="H17" t="s">
        <v>295</v>
      </c>
    </row>
    <row r="18" spans="2:9">
      <c r="B18" s="74" t="s">
        <v>782</v>
      </c>
      <c r="C18" s="73" t="s">
        <v>782</v>
      </c>
      <c r="D18" s="73" t="s">
        <v>782</v>
      </c>
      <c r="E18" s="71"/>
      <c r="F18" s="72"/>
      <c r="H18" t="s">
        <v>296</v>
      </c>
    </row>
    <row r="19" spans="2:9">
      <c r="B19" s="70">
        <f>pilelength/1000</f>
        <v>0</v>
      </c>
      <c r="C19" s="71">
        <v>200000000</v>
      </c>
      <c r="D19" s="71">
        <v>0</v>
      </c>
      <c r="E19" s="71">
        <v>0</v>
      </c>
      <c r="F19" s="72"/>
      <c r="H19" t="s">
        <v>297</v>
      </c>
    </row>
    <row r="20" spans="2:9">
      <c r="B20" s="70">
        <v>0</v>
      </c>
      <c r="C20" s="71">
        <v>1</v>
      </c>
      <c r="D20" s="71"/>
      <c r="E20" s="71"/>
      <c r="F20" s="72"/>
      <c r="H20" t="s">
        <v>298</v>
      </c>
    </row>
    <row r="21" spans="2:9">
      <c r="B21" s="70">
        <v>4</v>
      </c>
      <c r="C21" s="71">
        <v>1</v>
      </c>
      <c r="D21" s="71">
        <v>0</v>
      </c>
      <c r="E21" s="71">
        <v>100</v>
      </c>
      <c r="F21" s="72"/>
      <c r="H21" t="s">
        <v>574</v>
      </c>
    </row>
    <row r="22" spans="2:9">
      <c r="B22" s="70">
        <v>200</v>
      </c>
      <c r="C22" s="71">
        <v>1E-4</v>
      </c>
      <c r="D22" s="71">
        <v>1</v>
      </c>
      <c r="E22" s="71"/>
      <c r="F22" s="72"/>
      <c r="H22" t="s">
        <v>575</v>
      </c>
    </row>
    <row r="23" spans="2:9">
      <c r="B23" s="70">
        <v>0</v>
      </c>
      <c r="C23" s="71" t="e">
        <f>ROUND(Main!G824,3)</f>
        <v>#VALUE!</v>
      </c>
      <c r="D23" s="71">
        <f>ROUND(Main!G825,7)</f>
        <v>0</v>
      </c>
      <c r="E23" s="71">
        <f>ROUND(Main!G826,4)</f>
        <v>0</v>
      </c>
      <c r="F23" s="72"/>
      <c r="H23" t="s">
        <v>576</v>
      </c>
    </row>
    <row r="24" spans="2:9">
      <c r="B24" s="70">
        <v>1</v>
      </c>
      <c r="C24" s="71">
        <v>4</v>
      </c>
      <c r="D24" s="75">
        <v>0</v>
      </c>
      <c r="E24" s="75">
        <v>3</v>
      </c>
      <c r="F24" s="72">
        <v>6790</v>
      </c>
      <c r="H24" t="s">
        <v>577</v>
      </c>
    </row>
    <row r="25" spans="2:9">
      <c r="B25" s="76" t="s">
        <v>783</v>
      </c>
      <c r="C25" s="17"/>
      <c r="D25" s="17"/>
      <c r="E25" s="17"/>
      <c r="F25" s="72"/>
    </row>
    <row r="26" spans="2:9">
      <c r="B26" s="77">
        <v>0</v>
      </c>
      <c r="C26" s="71">
        <v>14.1</v>
      </c>
      <c r="D26" s="71"/>
      <c r="E26" s="71"/>
      <c r="F26" s="72"/>
      <c r="H26" t="s">
        <v>578</v>
      </c>
    </row>
    <row r="27" spans="2:9">
      <c r="B27" s="77">
        <v>3</v>
      </c>
      <c r="C27" s="71">
        <v>14.1</v>
      </c>
      <c r="D27" s="71"/>
      <c r="E27" s="71"/>
      <c r="F27" s="72"/>
      <c r="I27" s="5" t="s">
        <v>580</v>
      </c>
    </row>
    <row r="28" spans="2:9">
      <c r="B28" s="76" t="s">
        <v>784</v>
      </c>
      <c r="C28" s="17"/>
      <c r="D28" s="17"/>
      <c r="E28" s="17"/>
      <c r="F28" s="72"/>
    </row>
    <row r="29" spans="2:9">
      <c r="B29" s="77">
        <v>0</v>
      </c>
      <c r="C29" s="75">
        <v>0</v>
      </c>
      <c r="D29" s="78">
        <v>26</v>
      </c>
      <c r="E29" s="75">
        <v>0</v>
      </c>
      <c r="F29" s="72"/>
      <c r="H29" t="s">
        <v>579</v>
      </c>
    </row>
    <row r="30" spans="2:9">
      <c r="B30" s="77">
        <v>3</v>
      </c>
      <c r="C30" s="75">
        <v>0</v>
      </c>
      <c r="D30" s="78">
        <v>26</v>
      </c>
      <c r="E30" s="75">
        <v>0</v>
      </c>
      <c r="F30" s="72"/>
      <c r="I30" s="5" t="s">
        <v>580</v>
      </c>
    </row>
    <row r="31" spans="2:9">
      <c r="B31" s="79" t="s">
        <v>785</v>
      </c>
      <c r="C31" s="71"/>
      <c r="D31" s="71"/>
      <c r="E31" s="71"/>
      <c r="F31" s="72"/>
    </row>
    <row r="32" spans="2:9">
      <c r="B32" s="70">
        <v>1</v>
      </c>
      <c r="C32" s="71"/>
      <c r="D32" s="71"/>
      <c r="E32" s="71"/>
      <c r="F32" s="72"/>
      <c r="H32" t="s">
        <v>581</v>
      </c>
    </row>
    <row r="33" spans="2:8">
      <c r="B33" s="70">
        <v>1</v>
      </c>
      <c r="C33" s="71">
        <f>ROUND(Main!G829,4)</f>
        <v>0</v>
      </c>
      <c r="D33" s="80">
        <f>ROUND(Main!G830,1)</f>
        <v>0</v>
      </c>
      <c r="E33" s="80" t="e">
        <f>ROUND(Main!G827,1)</f>
        <v>#DIV/0!</v>
      </c>
      <c r="F33" s="72"/>
      <c r="H33" t="s">
        <v>289</v>
      </c>
    </row>
    <row r="34" spans="2:8">
      <c r="B34" s="81" t="s">
        <v>82</v>
      </c>
      <c r="C34" s="82"/>
      <c r="D34" s="82"/>
      <c r="E34" s="82"/>
      <c r="F34" s="83"/>
    </row>
    <row r="35" spans="2:8">
      <c r="B35" s="14"/>
      <c r="C35" s="1"/>
      <c r="D35" s="1"/>
      <c r="E35" s="1"/>
    </row>
    <row r="37" spans="2:8" ht="13.15">
      <c r="B37" s="28" t="s">
        <v>288</v>
      </c>
    </row>
    <row r="39" spans="2:8">
      <c r="B39" s="67">
        <f>Scour!B1</f>
        <v>0</v>
      </c>
      <c r="C39" s="68"/>
      <c r="D39" s="68"/>
      <c r="E39" s="68"/>
      <c r="F39" s="69"/>
      <c r="H39" t="s">
        <v>293</v>
      </c>
    </row>
    <row r="40" spans="2:8">
      <c r="B40" s="70">
        <v>2</v>
      </c>
      <c r="C40" s="71">
        <v>1</v>
      </c>
      <c r="D40" s="71">
        <v>0</v>
      </c>
      <c r="E40" s="71"/>
      <c r="F40" s="72"/>
      <c r="H40" t="s">
        <v>294</v>
      </c>
    </row>
    <row r="41" spans="2:8">
      <c r="B41" s="70">
        <v>200</v>
      </c>
      <c r="C41" s="73" t="s">
        <v>782</v>
      </c>
      <c r="D41" s="71">
        <v>1</v>
      </c>
      <c r="E41" s="71">
        <v>0</v>
      </c>
      <c r="F41" s="72"/>
      <c r="H41" t="s">
        <v>295</v>
      </c>
    </row>
    <row r="42" spans="2:8">
      <c r="B42" s="74" t="s">
        <v>782</v>
      </c>
      <c r="C42" s="73" t="s">
        <v>782</v>
      </c>
      <c r="D42" s="73" t="s">
        <v>782</v>
      </c>
      <c r="E42" s="71"/>
      <c r="F42" s="72"/>
      <c r="H42" t="s">
        <v>296</v>
      </c>
    </row>
    <row r="43" spans="2:8">
      <c r="B43" s="70">
        <f>pilelength/1000</f>
        <v>0</v>
      </c>
      <c r="C43" s="71">
        <v>200000000</v>
      </c>
      <c r="D43" s="80">
        <f>ROUND(scourdepth/1000,1)</f>
        <v>0</v>
      </c>
      <c r="E43" s="71">
        <v>0</v>
      </c>
      <c r="F43" s="72"/>
      <c r="H43" t="s">
        <v>297</v>
      </c>
    </row>
    <row r="44" spans="2:8">
      <c r="B44" s="70">
        <v>0</v>
      </c>
      <c r="C44" s="71">
        <v>1</v>
      </c>
      <c r="D44" s="71"/>
      <c r="E44" s="71"/>
      <c r="F44" s="72"/>
      <c r="H44" t="s">
        <v>298</v>
      </c>
    </row>
    <row r="45" spans="2:8">
      <c r="B45" s="70">
        <v>4</v>
      </c>
      <c r="C45" s="71">
        <v>1</v>
      </c>
      <c r="D45" s="71">
        <v>0</v>
      </c>
      <c r="E45" s="71">
        <v>100</v>
      </c>
      <c r="F45" s="72"/>
      <c r="H45" t="s">
        <v>574</v>
      </c>
    </row>
    <row r="46" spans="2:8">
      <c r="B46" s="70">
        <v>200</v>
      </c>
      <c r="C46" s="71">
        <v>1E-4</v>
      </c>
      <c r="D46" s="71">
        <v>1</v>
      </c>
      <c r="E46" s="71"/>
      <c r="F46" s="72"/>
      <c r="H46" t="s">
        <v>575</v>
      </c>
    </row>
    <row r="47" spans="2:8">
      <c r="B47" s="70">
        <v>0</v>
      </c>
      <c r="C47" s="71" t="e">
        <f>ROUND(Main!G824,3)</f>
        <v>#VALUE!</v>
      </c>
      <c r="D47" s="71">
        <f>ROUND(Main!G825,7)</f>
        <v>0</v>
      </c>
      <c r="E47" s="71">
        <f>ROUND(Main!G826,4)</f>
        <v>0</v>
      </c>
      <c r="F47" s="72"/>
      <c r="H47" t="s">
        <v>576</v>
      </c>
    </row>
    <row r="48" spans="2:8">
      <c r="B48" s="70">
        <v>1</v>
      </c>
      <c r="C48" s="71">
        <v>4</v>
      </c>
      <c r="D48" s="75">
        <v>0</v>
      </c>
      <c r="E48" s="75">
        <v>3</v>
      </c>
      <c r="F48" s="72">
        <v>5430</v>
      </c>
      <c r="H48" t="s">
        <v>577</v>
      </c>
    </row>
    <row r="49" spans="2:8">
      <c r="B49" s="76" t="s">
        <v>783</v>
      </c>
      <c r="C49" s="17"/>
      <c r="D49" s="17"/>
      <c r="E49" s="17"/>
      <c r="F49" s="72"/>
    </row>
    <row r="50" spans="2:8">
      <c r="B50" s="77">
        <v>0</v>
      </c>
      <c r="C50" s="71">
        <v>7.8</v>
      </c>
      <c r="D50" s="71"/>
      <c r="E50" s="71"/>
      <c r="F50" s="72"/>
      <c r="H50" t="s">
        <v>578</v>
      </c>
    </row>
    <row r="51" spans="2:8">
      <c r="B51" s="77">
        <v>3</v>
      </c>
      <c r="C51" s="71">
        <v>7.8</v>
      </c>
      <c r="D51" s="71"/>
      <c r="E51" s="71"/>
      <c r="F51" s="72"/>
    </row>
    <row r="52" spans="2:8">
      <c r="B52" s="76" t="s">
        <v>784</v>
      </c>
      <c r="C52" s="17"/>
      <c r="D52" s="17"/>
      <c r="E52" s="17"/>
      <c r="F52" s="72"/>
    </row>
    <row r="53" spans="2:8">
      <c r="B53" s="77">
        <v>0</v>
      </c>
      <c r="C53" s="75">
        <v>0</v>
      </c>
      <c r="D53" s="78">
        <v>26</v>
      </c>
      <c r="E53" s="75">
        <v>0</v>
      </c>
      <c r="F53" s="72"/>
      <c r="H53" t="s">
        <v>579</v>
      </c>
    </row>
    <row r="54" spans="2:8">
      <c r="B54" s="77">
        <v>3</v>
      </c>
      <c r="C54" s="75">
        <v>0</v>
      </c>
      <c r="D54" s="78">
        <v>26</v>
      </c>
      <c r="E54" s="75">
        <v>0</v>
      </c>
      <c r="F54" s="72"/>
    </row>
    <row r="55" spans="2:8">
      <c r="B55" s="79" t="s">
        <v>785</v>
      </c>
      <c r="C55" s="71"/>
      <c r="D55" s="71"/>
      <c r="E55" s="71"/>
      <c r="F55" s="72"/>
    </row>
    <row r="56" spans="2:8">
      <c r="B56" s="70">
        <v>1</v>
      </c>
      <c r="C56" s="71"/>
      <c r="D56" s="71"/>
      <c r="E56" s="71"/>
      <c r="F56" s="72"/>
      <c r="H56" t="s">
        <v>581</v>
      </c>
    </row>
    <row r="57" spans="2:8">
      <c r="B57" s="70">
        <v>1</v>
      </c>
      <c r="C57" s="84">
        <f>ROUND(Scour!G73,4)</f>
        <v>0</v>
      </c>
      <c r="D57" s="80">
        <f>ROUND(Scour!G74,1)</f>
        <v>0</v>
      </c>
      <c r="E57" s="80" t="e">
        <f>ROUND(Scour!G71,1)</f>
        <v>#NAME?</v>
      </c>
      <c r="F57" s="72"/>
      <c r="H57" t="s">
        <v>289</v>
      </c>
    </row>
    <row r="58" spans="2:8">
      <c r="B58" s="81" t="s">
        <v>82</v>
      </c>
      <c r="C58" s="82"/>
      <c r="D58" s="82"/>
      <c r="E58" s="82"/>
      <c r="F58" s="83"/>
    </row>
  </sheetData>
  <sheetProtection password="9A49" sheet="1" objects="1" scenarios="1" selectLockedCells="1" selectUnlockedCells="1"/>
  <mergeCells count="1">
    <mergeCell ref="C3:L11"/>
  </mergeCells>
  <phoneticPr fontId="27" type="noConversion"/>
  <printOptions gridLines="1"/>
  <pageMargins left="0.75" right="0.75" top="0.94" bottom="0.5" header="0.21" footer="0.5"/>
  <pageSetup scale="79" orientation="portrait" verticalDpi="300" r:id="rId1"/>
  <headerFooter alignWithMargins="0"/>
  <drawing r:id="rId2"/>
  <legacyDrawing r:id="rId3"/>
  <controls>
    <mc:AlternateContent xmlns:mc="http://schemas.openxmlformats.org/markup-compatibility/2006">
      <mc:Choice Requires="x14">
        <control shapeId="19457" r:id="rId4" name="CommandButton1">
          <controlPr defaultSize="0" autoLine="0" r:id="rId5">
            <anchor moveWithCells="1">
              <from>
                <xdr:col>1</xdr:col>
                <xdr:colOff>0</xdr:colOff>
                <xdr:row>3</xdr:row>
                <xdr:rowOff>0</xdr:rowOff>
              </from>
              <to>
                <xdr:col>1</xdr:col>
                <xdr:colOff>619125</xdr:colOff>
                <xdr:row>5</xdr:row>
                <xdr:rowOff>133350</xdr:rowOff>
              </to>
            </anchor>
          </controlPr>
        </control>
      </mc:Choice>
      <mc:Fallback>
        <control shapeId="19457" r:id="rId4" name="CommandButton1"/>
      </mc:Fallback>
    </mc:AlternateContent>
    <mc:AlternateContent xmlns:mc="http://schemas.openxmlformats.org/markup-compatibility/2006">
      <mc:Choice Requires="x14">
        <control shapeId="19458" r:id="rId6" name="CommandButton2">
          <controlPr defaultSize="0" autoLine="0" r:id="rId7">
            <anchor moveWithCells="1">
              <from>
                <xdr:col>1</xdr:col>
                <xdr:colOff>0</xdr:colOff>
                <xdr:row>7</xdr:row>
                <xdr:rowOff>28575</xdr:rowOff>
              </from>
              <to>
                <xdr:col>1</xdr:col>
                <xdr:colOff>619125</xdr:colOff>
                <xdr:row>9</xdr:row>
                <xdr:rowOff>161925</xdr:rowOff>
              </to>
            </anchor>
          </controlPr>
        </control>
      </mc:Choice>
      <mc:Fallback>
        <control shapeId="19458" r:id="rId6" name="CommandButton2"/>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B1:S27"/>
  <sheetViews>
    <sheetView showGridLines="0" showRowColHeaders="0" zoomScale="140" zoomScaleNormal="140" workbookViewId="0">
      <selection activeCell="G14" sqref="G14"/>
    </sheetView>
  </sheetViews>
  <sheetFormatPr defaultRowHeight="12.75"/>
  <cols>
    <col min="1" max="1" width="0.86328125" customWidth="1"/>
    <col min="2" max="2" width="13.265625" customWidth="1"/>
    <col min="3" max="17" width="6.265625" customWidth="1"/>
    <col min="18" max="18" width="6.265625" hidden="1" customWidth="1"/>
    <col min="19" max="19" width="8.86328125" hidden="1" customWidth="1"/>
    <col min="20" max="20" width="8.86328125" customWidth="1"/>
    <col min="21" max="26" width="8.73046875" customWidth="1"/>
  </cols>
  <sheetData>
    <row r="1" spans="2:19" ht="3.75" customHeight="1" thickBot="1"/>
    <row r="2" spans="2:19" ht="13.15" thickTop="1">
      <c r="B2" s="619" t="s">
        <v>869</v>
      </c>
      <c r="C2" s="620"/>
      <c r="D2" s="620"/>
      <c r="E2" s="620"/>
      <c r="F2" s="620"/>
      <c r="G2" s="620"/>
      <c r="H2" s="620"/>
      <c r="I2" s="620"/>
      <c r="J2" s="620"/>
      <c r="K2" s="620"/>
      <c r="L2" s="620"/>
      <c r="M2" s="620"/>
      <c r="N2" s="621"/>
      <c r="R2" s="36"/>
      <c r="S2" s="64"/>
    </row>
    <row r="3" spans="2:19" ht="13.15" thickBot="1">
      <c r="B3" s="622"/>
      <c r="C3" s="623"/>
      <c r="D3" s="623"/>
      <c r="E3" s="623"/>
      <c r="F3" s="623"/>
      <c r="G3" s="623"/>
      <c r="H3" s="623"/>
      <c r="I3" s="623"/>
      <c r="J3" s="623"/>
      <c r="K3" s="623"/>
      <c r="L3" s="623"/>
      <c r="M3" s="623"/>
      <c r="N3" s="624"/>
      <c r="R3" s="29"/>
      <c r="S3" s="65"/>
    </row>
    <row r="4" spans="2:19">
      <c r="B4" s="625" t="s">
        <v>300</v>
      </c>
      <c r="C4" s="629" t="s">
        <v>351</v>
      </c>
      <c r="D4" s="630"/>
      <c r="E4" s="627" t="s">
        <v>352</v>
      </c>
      <c r="F4" s="628"/>
      <c r="G4" s="629" t="s">
        <v>353</v>
      </c>
      <c r="H4" s="630"/>
      <c r="I4" s="628" t="s">
        <v>354</v>
      </c>
      <c r="J4" s="628"/>
      <c r="K4" s="629" t="s">
        <v>355</v>
      </c>
      <c r="L4" s="630"/>
      <c r="M4" s="628" t="s">
        <v>356</v>
      </c>
      <c r="N4" s="638"/>
      <c r="R4" s="636" t="s">
        <v>536</v>
      </c>
      <c r="S4" s="637"/>
    </row>
    <row r="5" spans="2:19" ht="13.15" thickBot="1">
      <c r="B5" s="626"/>
      <c r="C5" s="406" t="s">
        <v>820</v>
      </c>
      <c r="D5" s="407" t="s">
        <v>821</v>
      </c>
      <c r="E5" s="406" t="s">
        <v>820</v>
      </c>
      <c r="F5" s="408" t="s">
        <v>821</v>
      </c>
      <c r="G5" s="406" t="s">
        <v>820</v>
      </c>
      <c r="H5" s="407" t="s">
        <v>821</v>
      </c>
      <c r="I5" s="409" t="s">
        <v>820</v>
      </c>
      <c r="J5" s="408" t="s">
        <v>821</v>
      </c>
      <c r="K5" s="406" t="s">
        <v>820</v>
      </c>
      <c r="L5" s="407" t="s">
        <v>821</v>
      </c>
      <c r="M5" s="409" t="s">
        <v>820</v>
      </c>
      <c r="N5" s="410" t="s">
        <v>821</v>
      </c>
      <c r="R5" s="30" t="s">
        <v>820</v>
      </c>
      <c r="S5" s="32" t="s">
        <v>821</v>
      </c>
    </row>
    <row r="6" spans="2:19" ht="14.25" customHeight="1">
      <c r="B6" s="400" t="s">
        <v>339</v>
      </c>
      <c r="C6" s="401">
        <v>1</v>
      </c>
      <c r="D6" s="402">
        <v>1</v>
      </c>
      <c r="E6" s="401">
        <v>1.25</v>
      </c>
      <c r="F6" s="403">
        <v>0.9</v>
      </c>
      <c r="G6" s="401">
        <v>1.25</v>
      </c>
      <c r="H6" s="402">
        <v>0.9</v>
      </c>
      <c r="I6" s="404">
        <v>1.25</v>
      </c>
      <c r="J6" s="403">
        <v>0.9</v>
      </c>
      <c r="K6" s="401">
        <v>1.25</v>
      </c>
      <c r="L6" s="402">
        <v>0.9</v>
      </c>
      <c r="M6" s="404">
        <v>1.25</v>
      </c>
      <c r="N6" s="405">
        <v>0.9</v>
      </c>
      <c r="R6" s="31">
        <v>1.25</v>
      </c>
      <c r="S6" s="34">
        <v>0.9</v>
      </c>
    </row>
    <row r="7" spans="2:19" ht="14.25" customHeight="1">
      <c r="B7" s="394" t="s">
        <v>340</v>
      </c>
      <c r="C7" s="33">
        <v>1</v>
      </c>
      <c r="D7" s="34">
        <v>1</v>
      </c>
      <c r="E7" s="33">
        <v>1.5</v>
      </c>
      <c r="F7" s="35" t="str">
        <f>dwmin</f>
        <v>Error - must be Y or N above</v>
      </c>
      <c r="G7" s="33">
        <v>1.5</v>
      </c>
      <c r="H7" s="34" t="str">
        <f>dwmin</f>
        <v>Error - must be Y or N above</v>
      </c>
      <c r="I7" s="31">
        <v>1.5</v>
      </c>
      <c r="J7" s="35" t="str">
        <f>dwmin</f>
        <v>Error - must be Y or N above</v>
      </c>
      <c r="K7" s="33">
        <v>1.5</v>
      </c>
      <c r="L7" s="34" t="str">
        <f>dwmin</f>
        <v>Error - must be Y or N above</v>
      </c>
      <c r="M7" s="31">
        <v>1.5</v>
      </c>
      <c r="N7" s="395" t="str">
        <f>dwmin</f>
        <v>Error - must be Y or N above</v>
      </c>
      <c r="R7" s="60">
        <v>1.5</v>
      </c>
      <c r="S7" s="61" t="str">
        <f>dwmin</f>
        <v>Error - must be Y or N above</v>
      </c>
    </row>
    <row r="8" spans="2:19" ht="14.25" customHeight="1">
      <c r="B8" s="394" t="s">
        <v>341</v>
      </c>
      <c r="C8" s="33">
        <v>1</v>
      </c>
      <c r="D8" s="34">
        <v>1</v>
      </c>
      <c r="E8" s="33">
        <v>1.35</v>
      </c>
      <c r="F8" s="35">
        <v>1</v>
      </c>
      <c r="G8" s="33">
        <v>1.35</v>
      </c>
      <c r="H8" s="34">
        <v>1</v>
      </c>
      <c r="I8" s="31">
        <v>1.35</v>
      </c>
      <c r="J8" s="35">
        <v>1</v>
      </c>
      <c r="K8" s="33">
        <v>1.35</v>
      </c>
      <c r="L8" s="34">
        <v>1</v>
      </c>
      <c r="M8" s="31">
        <v>1.35</v>
      </c>
      <c r="N8" s="395">
        <v>1</v>
      </c>
      <c r="R8" s="31">
        <v>1.35</v>
      </c>
      <c r="S8" s="34">
        <v>1</v>
      </c>
    </row>
    <row r="9" spans="2:19" ht="14.25" customHeight="1">
      <c r="B9" s="394" t="s">
        <v>342</v>
      </c>
      <c r="C9" s="33">
        <v>1</v>
      </c>
      <c r="D9" s="34">
        <v>1</v>
      </c>
      <c r="E9" s="33">
        <v>1.5</v>
      </c>
      <c r="F9" s="35">
        <v>1.5</v>
      </c>
      <c r="G9" s="33">
        <v>1.5</v>
      </c>
      <c r="H9" s="34">
        <v>1.5</v>
      </c>
      <c r="I9" s="31">
        <v>1.5</v>
      </c>
      <c r="J9" s="35">
        <v>1.5</v>
      </c>
      <c r="K9" s="33">
        <v>1.5</v>
      </c>
      <c r="L9" s="34">
        <v>1.5</v>
      </c>
      <c r="M9" s="31">
        <v>1.5</v>
      </c>
      <c r="N9" s="395">
        <v>1.5</v>
      </c>
      <c r="R9" s="31">
        <v>1.5</v>
      </c>
      <c r="S9" s="34">
        <v>1.5</v>
      </c>
    </row>
    <row r="10" spans="2:19" ht="14.25" customHeight="1">
      <c r="B10" s="394" t="s">
        <v>343</v>
      </c>
      <c r="C10" s="33">
        <v>1</v>
      </c>
      <c r="D10" s="34">
        <v>1</v>
      </c>
      <c r="E10" s="33">
        <v>1.5</v>
      </c>
      <c r="F10" s="35">
        <v>1.5</v>
      </c>
      <c r="G10" s="33">
        <v>1.5</v>
      </c>
      <c r="H10" s="34">
        <v>1.5</v>
      </c>
      <c r="I10" s="31">
        <v>1.5</v>
      </c>
      <c r="J10" s="35">
        <v>1.5</v>
      </c>
      <c r="K10" s="33">
        <v>1.5</v>
      </c>
      <c r="L10" s="34">
        <v>1.5</v>
      </c>
      <c r="M10" s="31">
        <v>1.5</v>
      </c>
      <c r="N10" s="395">
        <v>1.5</v>
      </c>
      <c r="R10" s="31">
        <v>1.5</v>
      </c>
      <c r="S10" s="34">
        <v>1.5</v>
      </c>
    </row>
    <row r="11" spans="2:19" ht="14.25" customHeight="1">
      <c r="B11" s="394" t="s">
        <v>344</v>
      </c>
      <c r="C11" s="33">
        <v>1</v>
      </c>
      <c r="D11" s="34">
        <v>1</v>
      </c>
      <c r="E11" s="33">
        <v>1.75</v>
      </c>
      <c r="F11" s="35">
        <v>1.75</v>
      </c>
      <c r="G11" s="33">
        <v>1.35</v>
      </c>
      <c r="H11" s="34">
        <v>1.35</v>
      </c>
      <c r="I11" s="31">
        <v>1.35</v>
      </c>
      <c r="J11" s="35">
        <v>1.35</v>
      </c>
      <c r="K11" s="33">
        <v>0</v>
      </c>
      <c r="L11" s="34">
        <v>0</v>
      </c>
      <c r="M11" s="31">
        <v>1.35</v>
      </c>
      <c r="N11" s="395">
        <v>1.35</v>
      </c>
      <c r="R11" s="31">
        <v>0.5</v>
      </c>
      <c r="S11" s="34">
        <v>0.5</v>
      </c>
    </row>
    <row r="12" spans="2:19" ht="14.25" customHeight="1">
      <c r="B12" s="394" t="s">
        <v>345</v>
      </c>
      <c r="C12" s="33">
        <v>1</v>
      </c>
      <c r="D12" s="34">
        <v>1</v>
      </c>
      <c r="E12" s="33">
        <v>1.75</v>
      </c>
      <c r="F12" s="35">
        <v>1.75</v>
      </c>
      <c r="G12" s="33">
        <v>1.35</v>
      </c>
      <c r="H12" s="34">
        <v>1.35</v>
      </c>
      <c r="I12" s="31">
        <v>1.35</v>
      </c>
      <c r="J12" s="35">
        <v>1.35</v>
      </c>
      <c r="K12" s="33">
        <v>0</v>
      </c>
      <c r="L12" s="34">
        <v>0</v>
      </c>
      <c r="M12" s="31">
        <v>1.35</v>
      </c>
      <c r="N12" s="395">
        <v>1.35</v>
      </c>
      <c r="R12" s="60">
        <v>0.5</v>
      </c>
      <c r="S12" s="61">
        <v>0.5</v>
      </c>
    </row>
    <row r="13" spans="2:19" ht="14.25" customHeight="1">
      <c r="B13" s="394" t="s">
        <v>346</v>
      </c>
      <c r="C13" s="33">
        <v>0</v>
      </c>
      <c r="D13" s="34">
        <v>0</v>
      </c>
      <c r="E13" s="33">
        <v>0</v>
      </c>
      <c r="F13" s="35">
        <v>0</v>
      </c>
      <c r="G13" s="33">
        <v>1.75</v>
      </c>
      <c r="H13" s="34">
        <v>1.75</v>
      </c>
      <c r="I13" s="31">
        <v>0</v>
      </c>
      <c r="J13" s="35">
        <v>0</v>
      </c>
      <c r="K13" s="33">
        <v>0</v>
      </c>
      <c r="L13" s="34">
        <v>0</v>
      </c>
      <c r="M13" s="31">
        <v>0</v>
      </c>
      <c r="N13" s="395">
        <v>0</v>
      </c>
      <c r="R13" s="31">
        <v>0</v>
      </c>
      <c r="S13" s="34">
        <v>0</v>
      </c>
    </row>
    <row r="14" spans="2:19" ht="14.25" customHeight="1">
      <c r="B14" s="394" t="s">
        <v>347</v>
      </c>
      <c r="C14" s="33">
        <v>0.3</v>
      </c>
      <c r="D14" s="34">
        <v>0.3</v>
      </c>
      <c r="E14" s="33">
        <v>0</v>
      </c>
      <c r="F14" s="35">
        <v>0</v>
      </c>
      <c r="G14" s="33">
        <v>0</v>
      </c>
      <c r="H14" s="34">
        <v>0</v>
      </c>
      <c r="I14" s="31">
        <v>0</v>
      </c>
      <c r="J14" s="35">
        <v>0</v>
      </c>
      <c r="K14" s="33">
        <v>1.4</v>
      </c>
      <c r="L14" s="34">
        <v>1.4</v>
      </c>
      <c r="M14" s="31">
        <v>0.4</v>
      </c>
      <c r="N14" s="395">
        <v>0.4</v>
      </c>
      <c r="R14" s="31">
        <v>0</v>
      </c>
      <c r="S14" s="34">
        <v>0</v>
      </c>
    </row>
    <row r="15" spans="2:19" ht="14.25" customHeight="1">
      <c r="B15" s="394" t="s">
        <v>348</v>
      </c>
      <c r="C15" s="33">
        <v>1</v>
      </c>
      <c r="D15" s="34">
        <v>1</v>
      </c>
      <c r="E15" s="33">
        <v>0</v>
      </c>
      <c r="F15" s="35">
        <v>0</v>
      </c>
      <c r="G15" s="33">
        <v>0</v>
      </c>
      <c r="H15" s="34">
        <v>0</v>
      </c>
      <c r="I15" s="31">
        <v>0</v>
      </c>
      <c r="J15" s="35">
        <v>0</v>
      </c>
      <c r="K15" s="33">
        <v>0</v>
      </c>
      <c r="L15" s="34">
        <v>0</v>
      </c>
      <c r="M15" s="60">
        <v>1</v>
      </c>
      <c r="N15" s="396">
        <v>1</v>
      </c>
      <c r="R15" s="60">
        <v>0</v>
      </c>
      <c r="S15" s="61">
        <v>0</v>
      </c>
    </row>
    <row r="16" spans="2:19" ht="14.25" customHeight="1">
      <c r="B16" s="394" t="s">
        <v>600</v>
      </c>
      <c r="C16" s="33">
        <v>1</v>
      </c>
      <c r="D16" s="34">
        <v>1</v>
      </c>
      <c r="E16" s="33">
        <v>1.75</v>
      </c>
      <c r="F16" s="35">
        <v>1.75</v>
      </c>
      <c r="G16" s="33">
        <v>1.35</v>
      </c>
      <c r="H16" s="34">
        <v>1.35</v>
      </c>
      <c r="I16" s="31">
        <v>1.35</v>
      </c>
      <c r="J16" s="35">
        <v>1.35</v>
      </c>
      <c r="K16" s="33">
        <v>0</v>
      </c>
      <c r="L16" s="34">
        <v>0</v>
      </c>
      <c r="M16" s="60">
        <v>1.35</v>
      </c>
      <c r="N16" s="396">
        <v>1.35</v>
      </c>
      <c r="R16" s="60">
        <v>0.5</v>
      </c>
      <c r="S16" s="61">
        <v>0.5</v>
      </c>
    </row>
    <row r="17" spans="2:19" ht="14.25" customHeight="1">
      <c r="B17" s="394" t="s">
        <v>349</v>
      </c>
      <c r="C17" s="33">
        <v>1</v>
      </c>
      <c r="D17" s="34">
        <v>1</v>
      </c>
      <c r="E17" s="58">
        <v>1</v>
      </c>
      <c r="F17" s="59">
        <v>1</v>
      </c>
      <c r="G17" s="58">
        <v>1</v>
      </c>
      <c r="H17" s="61">
        <v>1</v>
      </c>
      <c r="I17" s="60">
        <v>1</v>
      </c>
      <c r="J17" s="59">
        <v>1</v>
      </c>
      <c r="K17" s="58">
        <v>1</v>
      </c>
      <c r="L17" s="61">
        <v>1</v>
      </c>
      <c r="M17" s="60">
        <v>1</v>
      </c>
      <c r="N17" s="396">
        <v>1</v>
      </c>
      <c r="R17" s="60">
        <v>1</v>
      </c>
      <c r="S17" s="61">
        <v>1</v>
      </c>
    </row>
    <row r="18" spans="2:19" ht="14.25" customHeight="1" thickBot="1">
      <c r="B18" s="397" t="s">
        <v>350</v>
      </c>
      <c r="C18" s="631" t="s">
        <v>357</v>
      </c>
      <c r="D18" s="632"/>
      <c r="E18" s="633" t="s">
        <v>357</v>
      </c>
      <c r="F18" s="634"/>
      <c r="G18" s="631" t="s">
        <v>357</v>
      </c>
      <c r="H18" s="632"/>
      <c r="I18" s="634" t="s">
        <v>819</v>
      </c>
      <c r="J18" s="634"/>
      <c r="K18" s="639" t="s">
        <v>358</v>
      </c>
      <c r="L18" s="640"/>
      <c r="M18" s="634" t="s">
        <v>357</v>
      </c>
      <c r="N18" s="641"/>
      <c r="R18" s="635" t="s">
        <v>357</v>
      </c>
      <c r="S18" s="632"/>
    </row>
    <row r="19" spans="2:19" ht="13.15" thickBot="1">
      <c r="B19" s="411" t="s">
        <v>711</v>
      </c>
      <c r="C19" s="398"/>
      <c r="D19" s="398"/>
      <c r="E19" s="398"/>
      <c r="F19" s="398"/>
      <c r="G19" s="398"/>
      <c r="H19" s="398"/>
      <c r="I19" s="398"/>
      <c r="J19" s="398"/>
      <c r="K19" s="398"/>
      <c r="L19" s="398"/>
      <c r="M19" s="398"/>
      <c r="N19" s="399"/>
    </row>
    <row r="20" spans="2:19" ht="13.5" customHeight="1" thickTop="1"/>
    <row r="21" spans="2:19" ht="13.5" customHeight="1"/>
    <row r="22" spans="2:19" ht="13.5" customHeight="1"/>
    <row r="23" spans="2:19" ht="13.5" customHeight="1"/>
    <row r="24" spans="2:19" ht="13.5" customHeight="1"/>
    <row r="25" spans="2:19" ht="13.5" customHeight="1"/>
    <row r="26" spans="2:19" ht="13.5" customHeight="1"/>
    <row r="27" spans="2:19" ht="13.5" customHeight="1"/>
  </sheetData>
  <sheetProtection password="9A49" sheet="1" objects="1" scenarios="1" selectLockedCells="1" selectUnlockedCells="1"/>
  <mergeCells count="16">
    <mergeCell ref="R18:S18"/>
    <mergeCell ref="G4:H4"/>
    <mergeCell ref="I4:J4"/>
    <mergeCell ref="K4:L4"/>
    <mergeCell ref="R4:S4"/>
    <mergeCell ref="M4:N4"/>
    <mergeCell ref="I18:J18"/>
    <mergeCell ref="K18:L18"/>
    <mergeCell ref="M18:N18"/>
    <mergeCell ref="G18:H18"/>
    <mergeCell ref="B2:N3"/>
    <mergeCell ref="B4:B5"/>
    <mergeCell ref="E4:F4"/>
    <mergeCell ref="C4:D4"/>
    <mergeCell ref="C18:D18"/>
    <mergeCell ref="E18:F18"/>
  </mergeCells>
  <phoneticPr fontId="27" type="noConversion"/>
  <printOptions horizontalCentered="1" verticalCentered="1" gridLines="1"/>
  <pageMargins left="0.21" right="0.21" top="0.4" bottom="0.5" header="0.21" footer="0.5"/>
  <pageSetup scale="13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autoPageBreaks="0"/>
  </sheetPr>
  <dimension ref="A1:V52"/>
  <sheetViews>
    <sheetView zoomScaleNormal="100" workbookViewId="0">
      <selection activeCell="I10" sqref="I10 I14 I18"/>
    </sheetView>
  </sheetViews>
  <sheetFormatPr defaultColWidth="9.1328125" defaultRowHeight="12.75"/>
  <cols>
    <col min="1" max="1" width="5.3984375" style="9" customWidth="1"/>
    <col min="2" max="2" width="9.1328125" style="9"/>
    <col min="3" max="3" width="5.86328125" style="9" customWidth="1"/>
    <col min="4" max="4" width="3.86328125" style="9" customWidth="1"/>
    <col min="5" max="5" width="12.86328125" style="9" customWidth="1"/>
    <col min="6" max="6" width="7.73046875" style="9" customWidth="1"/>
    <col min="7" max="7" width="3.73046875" style="9" customWidth="1"/>
    <col min="8" max="8" width="12.73046875" style="9" customWidth="1"/>
    <col min="9" max="9" width="7.265625" style="9" customWidth="1"/>
    <col min="10" max="10" width="3.73046875" style="9" customWidth="1"/>
    <col min="11" max="11" width="12.73046875" style="9" customWidth="1"/>
    <col min="12" max="12" width="7.59765625" style="9" customWidth="1"/>
    <col min="13" max="13" width="5.3984375" style="9" customWidth="1"/>
    <col min="14" max="14" width="6.59765625" style="9" customWidth="1"/>
    <col min="15" max="15" width="5.3984375" style="9" customWidth="1"/>
    <col min="16" max="17" width="6.265625" style="9" customWidth="1"/>
    <col min="18" max="18" width="6.1328125" style="9" customWidth="1"/>
    <col min="19" max="19" width="6.3984375" style="9" customWidth="1"/>
    <col min="20" max="20" width="8.1328125" style="9" customWidth="1"/>
    <col min="21" max="21" width="8.265625" style="9" customWidth="1"/>
    <col min="22" max="16384" width="9.1328125" style="9"/>
  </cols>
  <sheetData>
    <row r="1" spans="1:22" ht="6.75" customHeight="1"/>
    <row r="2" spans="1:22" ht="12.75" customHeight="1">
      <c r="A2" s="644" t="s">
        <v>285</v>
      </c>
      <c r="B2" s="644"/>
      <c r="C2" s="644"/>
      <c r="D2" s="644"/>
      <c r="E2" s="644"/>
      <c r="F2" s="644"/>
      <c r="G2" s="644"/>
      <c r="H2" s="644"/>
      <c r="I2" s="644"/>
      <c r="J2" s="644"/>
      <c r="K2" s="644"/>
      <c r="L2" s="644"/>
      <c r="M2" s="644"/>
      <c r="N2"/>
    </row>
    <row r="3" spans="1:22">
      <c r="A3" s="644"/>
      <c r="B3" s="644"/>
      <c r="C3" s="644"/>
      <c r="D3" s="644"/>
      <c r="E3" s="644"/>
      <c r="F3" s="644"/>
      <c r="G3" s="644"/>
      <c r="H3" s="644"/>
      <c r="I3" s="644"/>
      <c r="J3" s="644"/>
      <c r="K3" s="644"/>
      <c r="L3" s="644"/>
      <c r="M3" s="644"/>
      <c r="N3"/>
    </row>
    <row r="4" spans="1:22">
      <c r="B4" s="15"/>
      <c r="C4" s="15"/>
      <c r="D4" s="15"/>
      <c r="E4" s="15"/>
      <c r="F4" s="15"/>
      <c r="G4" s="15"/>
      <c r="H4" s="15"/>
      <c r="I4" s="15"/>
      <c r="J4" s="15"/>
      <c r="K4" s="15"/>
      <c r="L4" s="15"/>
      <c r="M4" s="15"/>
      <c r="N4" s="15"/>
    </row>
    <row r="5" spans="1:22">
      <c r="B5" s="642" t="s">
        <v>301</v>
      </c>
      <c r="C5" s="642"/>
      <c r="D5" s="642"/>
      <c r="E5" s="642"/>
      <c r="F5" s="642"/>
      <c r="G5" s="642"/>
      <c r="H5" s="642"/>
      <c r="I5" s="642"/>
      <c r="J5" s="642"/>
      <c r="K5" s="642"/>
      <c r="L5" s="642"/>
      <c r="O5"/>
      <c r="P5"/>
      <c r="Q5"/>
      <c r="R5"/>
      <c r="S5"/>
      <c r="T5"/>
      <c r="U5"/>
      <c r="V5" s="25"/>
    </row>
    <row r="6" spans="1:22">
      <c r="B6" s="62"/>
      <c r="C6" s="62"/>
      <c r="D6" s="62"/>
      <c r="E6" s="62"/>
      <c r="F6" s="62"/>
      <c r="G6" s="62"/>
      <c r="H6" s="62"/>
      <c r="I6" s="62"/>
      <c r="J6" s="62"/>
      <c r="K6" s="62"/>
      <c r="L6" s="62"/>
      <c r="O6"/>
      <c r="P6"/>
      <c r="Q6"/>
      <c r="R6"/>
      <c r="S6"/>
      <c r="T6"/>
      <c r="U6"/>
      <c r="V6" s="25"/>
    </row>
    <row r="7" spans="1:22">
      <c r="B7" s="10" t="s">
        <v>532</v>
      </c>
      <c r="E7" s="10" t="s">
        <v>533</v>
      </c>
      <c r="H7" s="11" t="s">
        <v>534</v>
      </c>
      <c r="K7" s="10" t="s">
        <v>535</v>
      </c>
      <c r="N7" s="11"/>
      <c r="O7"/>
      <c r="P7"/>
      <c r="Q7"/>
      <c r="R7"/>
      <c r="S7"/>
      <c r="T7"/>
      <c r="U7"/>
      <c r="V7" s="25"/>
    </row>
    <row r="8" spans="1:22">
      <c r="B8" s="42" t="s">
        <v>5</v>
      </c>
      <c r="C8" s="9" t="e">
        <f>+Ru</f>
        <v>#DIV/0!</v>
      </c>
      <c r="E8" s="42" t="s">
        <v>11</v>
      </c>
      <c r="F8" s="104">
        <f>C$11-C$13</f>
        <v>-4.26</v>
      </c>
      <c r="H8" s="42" t="s">
        <v>25</v>
      </c>
      <c r="I8" s="9" t="e">
        <f>($F$10*12/(0.9*$C$10*POWER($F$8,2)))</f>
        <v>#DIV/0!</v>
      </c>
      <c r="K8" s="42" t="s">
        <v>19</v>
      </c>
      <c r="L8" s="103" t="e">
        <f>MAX(I10,MIN(I14,I18))</f>
        <v>#DIV/0!</v>
      </c>
      <c r="M8" s="105" t="e">
        <f>IF(L8=I10,"(1)",IF(L8=I14,"(2)",IF(L8=I18,"(3)","")))</f>
        <v>#DIV/0!</v>
      </c>
      <c r="O8"/>
      <c r="P8"/>
      <c r="Q8"/>
      <c r="R8"/>
      <c r="S8"/>
      <c r="T8"/>
      <c r="U8"/>
      <c r="V8" s="25"/>
    </row>
    <row r="9" spans="1:22">
      <c r="B9" s="42" t="s">
        <v>16</v>
      </c>
      <c r="C9" s="9">
        <f>+Lpile*12</f>
        <v>0</v>
      </c>
      <c r="E9" s="42" t="s">
        <v>20</v>
      </c>
      <c r="F9" s="9">
        <f>(1.25*0.15*C$10*(C$11+C$12))/(144)</f>
        <v>0</v>
      </c>
      <c r="H9" s="9" t="s">
        <v>788</v>
      </c>
      <c r="I9" s="12" t="e">
        <f>0.85*($C$14/$C$15)*(1-SQRT(1-((2*I8)/(0.85*$C$14))))</f>
        <v>#DIV/0!</v>
      </c>
      <c r="K9" s="14" t="s">
        <v>627</v>
      </c>
      <c r="L9" s="4" t="e">
        <f>MAX(F10,MIN(F16,1.33*F10))</f>
        <v>#DIV/0!</v>
      </c>
      <c r="M9" s="342" t="s">
        <v>830</v>
      </c>
      <c r="O9"/>
      <c r="P9"/>
      <c r="Q9"/>
      <c r="R9"/>
      <c r="S9"/>
      <c r="T9"/>
      <c r="U9"/>
      <c r="V9" s="25"/>
    </row>
    <row r="10" spans="1:22">
      <c r="B10" s="42" t="s">
        <v>6</v>
      </c>
      <c r="C10" s="9">
        <v>48</v>
      </c>
      <c r="E10" s="42" t="s">
        <v>21</v>
      </c>
      <c r="F10" s="104" t="e">
        <f>(0.125*F$9*POWER(C$9/12,2)+(0.2*C$8*C$9/12))</f>
        <v>#DIV/0!</v>
      </c>
      <c r="H10" s="42" t="s">
        <v>12</v>
      </c>
      <c r="I10" s="103" t="e">
        <f>I9*$C$10*$F$8</f>
        <v>#DIV/0!</v>
      </c>
      <c r="J10" s="43" t="s">
        <v>374</v>
      </c>
      <c r="P10"/>
      <c r="Q10" s="344" t="s">
        <v>595</v>
      </c>
      <c r="R10" s="344"/>
      <c r="S10"/>
      <c r="T10"/>
      <c r="V10" s="25"/>
    </row>
    <row r="11" spans="1:22" ht="13.15">
      <c r="B11" s="42" t="s">
        <v>10</v>
      </c>
      <c r="C11" s="9">
        <f>+MIN(Main!G183:'Main'!G188)*12</f>
        <v>0</v>
      </c>
      <c r="K11" s="643" t="s">
        <v>28</v>
      </c>
      <c r="L11" s="643"/>
      <c r="M11" s="643"/>
      <c r="N11" s="337" t="s">
        <v>596</v>
      </c>
      <c r="O11" s="343" t="s">
        <v>625</v>
      </c>
      <c r="P11" s="340" t="s">
        <v>592</v>
      </c>
      <c r="Q11" s="341" t="s">
        <v>593</v>
      </c>
      <c r="R11" s="340" t="s">
        <v>594</v>
      </c>
      <c r="S11" s="337" t="s">
        <v>624</v>
      </c>
      <c r="T11" s="341" t="s">
        <v>626</v>
      </c>
      <c r="U11" s="340" t="s">
        <v>628</v>
      </c>
      <c r="V11" s="25"/>
    </row>
    <row r="12" spans="1:22" ht="14.25">
      <c r="B12" s="42" t="s">
        <v>9</v>
      </c>
      <c r="C12" s="9">
        <f>+diaphragm*12</f>
        <v>0</v>
      </c>
      <c r="E12" s="42" t="s">
        <v>15</v>
      </c>
      <c r="F12" s="103">
        <f>0.24*SQRT(C$14)</f>
        <v>0</v>
      </c>
      <c r="H12" s="42" t="s">
        <v>26</v>
      </c>
      <c r="I12" s="9" t="e">
        <f>($F$16*12/(0.9*$C$10*POWER($F$8,2)))</f>
        <v>#DIV/0!</v>
      </c>
      <c r="K12" s="106" t="s">
        <v>29</v>
      </c>
      <c r="L12" s="9">
        <f>4*0.79</f>
        <v>3.16</v>
      </c>
      <c r="M12" s="42" t="s">
        <v>510</v>
      </c>
      <c r="N12" s="339">
        <f>C11-(3+0.625+1/2)</f>
        <v>-4.125</v>
      </c>
      <c r="O12" s="105">
        <f>IF($C$14&lt;=4,0.85,MAX(0.85-($C$14-4)*0.05,0.65))</f>
        <v>0.85</v>
      </c>
      <c r="P12" s="97" t="e">
        <f>L12*$C$15/(0.85*$C$14*O12*$C$10)</f>
        <v>#DIV/0!</v>
      </c>
      <c r="Q12" s="97" t="e">
        <f>0.65+0.15*(N12/P12-1)</f>
        <v>#DIV/0!</v>
      </c>
      <c r="R12" s="97" t="e">
        <f>IF(Q12&lt;0.75,0.75,IF(Q12&gt;0.9,0.9,Q12))</f>
        <v>#DIV/0!</v>
      </c>
      <c r="S12" s="97" t="e">
        <f>0.85*P12</f>
        <v>#DIV/0!</v>
      </c>
      <c r="T12" s="4" t="e">
        <f>R12*L12*$C$15*(N12-S12/2)/12</f>
        <v>#DIV/0!</v>
      </c>
      <c r="U12" s="105" t="e">
        <f>IF(T12&gt;=$L$9,"OK","NG")</f>
        <v>#DIV/0!</v>
      </c>
      <c r="V12" s="25"/>
    </row>
    <row r="13" spans="1:22" ht="12.75" customHeight="1">
      <c r="B13" s="42" t="s">
        <v>24</v>
      </c>
      <c r="C13" s="9">
        <f>3+0.625+1.27/2</f>
        <v>4.26</v>
      </c>
      <c r="D13" s="63" t="s">
        <v>423</v>
      </c>
      <c r="E13" s="42" t="s">
        <v>17</v>
      </c>
      <c r="F13" s="9">
        <f>(C$10*POWER(C$11,3))/12</f>
        <v>0</v>
      </c>
      <c r="H13" s="9" t="s">
        <v>789</v>
      </c>
      <c r="I13" s="12" t="e">
        <f>0.85*($C$14/$C$15)*(1-SQRT(1-((2*I12)/(0.85*$C$14))))</f>
        <v>#DIV/0!</v>
      </c>
      <c r="K13" s="106" t="s">
        <v>30</v>
      </c>
      <c r="L13" s="104">
        <f>4*1</f>
        <v>4</v>
      </c>
      <c r="M13" s="42" t="s">
        <v>510</v>
      </c>
      <c r="N13" s="339">
        <f>C11-(3+0.625+1.128/2)</f>
        <v>-4.1890000000000001</v>
      </c>
      <c r="O13" s="105">
        <f>IF($C$14&lt;=4,0.85,MAX(0.85-($C$14-4)*0.05,0.65))</f>
        <v>0.85</v>
      </c>
      <c r="P13" s="97" t="e">
        <f>L13*$C$15/(0.85*$C$14*O13*$C$10)</f>
        <v>#DIV/0!</v>
      </c>
      <c r="Q13" s="97" t="e">
        <f>0.65+0.15*(N13/P13-1)</f>
        <v>#DIV/0!</v>
      </c>
      <c r="R13" s="97" t="e">
        <f>IF(Q13&lt;0.75,0.75,IF(Q13&gt;0.9,0.9,Q13))</f>
        <v>#DIV/0!</v>
      </c>
      <c r="S13" s="97" t="e">
        <f>0.85*P13</f>
        <v>#DIV/0!</v>
      </c>
      <c r="T13" s="4" t="e">
        <f>R13*L13*$C$15*(N13-S13/2)/12</f>
        <v>#DIV/0!</v>
      </c>
      <c r="U13" s="105" t="e">
        <f>IF(T13&gt;=$L$9,"OK","NG")</f>
        <v>#DIV/0!</v>
      </c>
      <c r="V13" s="25"/>
    </row>
    <row r="14" spans="1:22" ht="14.25">
      <c r="B14" s="42" t="s">
        <v>7</v>
      </c>
      <c r="C14" s="9">
        <f>+capfc</f>
        <v>0</v>
      </c>
      <c r="E14" s="42" t="s">
        <v>18</v>
      </c>
      <c r="F14" s="9">
        <f>C$11/2</f>
        <v>0</v>
      </c>
      <c r="H14" s="42" t="s">
        <v>13</v>
      </c>
      <c r="I14" s="103" t="e">
        <f>I13*$C$10*$F$8</f>
        <v>#DIV/0!</v>
      </c>
      <c r="J14" s="43" t="s">
        <v>375</v>
      </c>
      <c r="K14" s="106" t="s">
        <v>31</v>
      </c>
      <c r="L14" s="9">
        <f>4*1.27</f>
        <v>5.08</v>
      </c>
      <c r="M14" s="42" t="s">
        <v>510</v>
      </c>
      <c r="N14" s="339">
        <f>C11-(3+0.625+1.27/2)</f>
        <v>-4.26</v>
      </c>
      <c r="O14" s="105">
        <f>IF($C$14&lt;=4,0.85,MAX(0.85-($C$14-4)*0.05,0.65))</f>
        <v>0.85</v>
      </c>
      <c r="P14" s="97" t="e">
        <f>L14*$C$15/(0.85*$C$14*O14*$C$10)</f>
        <v>#DIV/0!</v>
      </c>
      <c r="Q14" s="97" t="e">
        <f>0.65+0.15*(N14/P14-1)</f>
        <v>#DIV/0!</v>
      </c>
      <c r="R14" s="97" t="e">
        <f>IF(Q14&lt;0.75,0.75,IF(Q14&gt;0.9,0.9,Q14))</f>
        <v>#DIV/0!</v>
      </c>
      <c r="S14" s="97" t="e">
        <f>0.85*P14</f>
        <v>#DIV/0!</v>
      </c>
      <c r="T14" s="4" t="e">
        <f>R14*L14*$C$15*(N14-S14/2)/12</f>
        <v>#DIV/0!</v>
      </c>
      <c r="U14" s="105" t="e">
        <f>IF(T14&gt;=$L$9,"OK","NG")</f>
        <v>#DIV/0!</v>
      </c>
      <c r="V14" s="25"/>
    </row>
    <row r="15" spans="1:22" ht="14.25">
      <c r="B15" s="42" t="s">
        <v>8</v>
      </c>
      <c r="C15" s="9">
        <f>+capfy</f>
        <v>0</v>
      </c>
      <c r="E15" s="42" t="s">
        <v>22</v>
      </c>
      <c r="F15" s="9" t="e">
        <f>(F$12*(F$13/F$14))/12</f>
        <v>#DIV/0!</v>
      </c>
      <c r="K15" s="106" t="s">
        <v>87</v>
      </c>
      <c r="L15" s="9">
        <f>4*1.56</f>
        <v>6.24</v>
      </c>
      <c r="M15" s="42" t="s">
        <v>510</v>
      </c>
      <c r="N15" s="339">
        <f>C11-(3+0.625+1.41/2)</f>
        <v>-4.33</v>
      </c>
      <c r="O15" s="105">
        <f>IF($C$14&lt;=4,0.85,MAX(0.85-($C$14-4)*0.05,0.65))</f>
        <v>0.85</v>
      </c>
      <c r="P15" s="97" t="e">
        <f>L15*$C$15/(0.85*$C$14*O15*$C$10)</f>
        <v>#DIV/0!</v>
      </c>
      <c r="Q15" s="97" t="e">
        <f>0.65+0.15*(N15/P15-1)</f>
        <v>#DIV/0!</v>
      </c>
      <c r="R15" s="97" t="e">
        <f>IF(Q15&lt;0.75,0.75,IF(Q15&gt;0.9,0.9,Q15))</f>
        <v>#DIV/0!</v>
      </c>
      <c r="S15" s="97" t="e">
        <f>0.85*P15</f>
        <v>#DIV/0!</v>
      </c>
      <c r="T15" s="4" t="e">
        <f>R15*L15*$C$15*(N15-S15/2)/12</f>
        <v>#DIV/0!</v>
      </c>
      <c r="U15" s="105" t="e">
        <f>IF(T15&gt;=$L$9,"OK","NG")</f>
        <v>#DIV/0!</v>
      </c>
      <c r="V15" s="25"/>
    </row>
    <row r="16" spans="1:22">
      <c r="E16" s="42" t="s">
        <v>23</v>
      </c>
      <c r="F16" s="104" t="e">
        <f>1.2*F15</f>
        <v>#DIV/0!</v>
      </c>
      <c r="H16" s="42" t="s">
        <v>27</v>
      </c>
      <c r="I16" s="9" t="e">
        <f>((1.33*$F$10*12)/(0.9*$C$10*POWER($F$8,2)))</f>
        <v>#DIV/0!</v>
      </c>
      <c r="O16"/>
      <c r="P16"/>
      <c r="Q16"/>
      <c r="R16"/>
      <c r="S16"/>
      <c r="T16"/>
      <c r="U16"/>
      <c r="V16" s="25"/>
    </row>
    <row r="17" spans="2:22">
      <c r="H17" s="9" t="s">
        <v>790</v>
      </c>
      <c r="I17" s="12" t="e">
        <f>0.85*($C$14/$C$15)*(1-SQRT(1-((2*I16)/(0.85*$C$14))))</f>
        <v>#DIV/0!</v>
      </c>
      <c r="L17" s="12"/>
      <c r="O17"/>
      <c r="U17"/>
      <c r="V17" s="25"/>
    </row>
    <row r="18" spans="2:22">
      <c r="H18" s="42" t="s">
        <v>14</v>
      </c>
      <c r="I18" s="103" t="e">
        <f>I17*$C$10*$F$8</f>
        <v>#DIV/0!</v>
      </c>
      <c r="J18" s="43" t="s">
        <v>376</v>
      </c>
      <c r="O18"/>
      <c r="U18"/>
      <c r="V18" s="25"/>
    </row>
    <row r="19" spans="2:22">
      <c r="O19"/>
      <c r="U19"/>
      <c r="V19" s="25"/>
    </row>
    <row r="20" spans="2:22">
      <c r="H20" s="42"/>
      <c r="I20" s="12"/>
      <c r="O20"/>
      <c r="U20"/>
      <c r="V20" s="25"/>
    </row>
    <row r="21" spans="2:22">
      <c r="H21" s="42"/>
      <c r="I21" s="103"/>
      <c r="J21" s="43"/>
      <c r="O21"/>
      <c r="U21"/>
      <c r="V21" s="25"/>
    </row>
    <row r="22" spans="2:22">
      <c r="O22"/>
      <c r="U22"/>
      <c r="V22" s="25"/>
    </row>
    <row r="23" spans="2:22">
      <c r="B23" s="11" t="s">
        <v>791</v>
      </c>
      <c r="O23"/>
      <c r="P23"/>
      <c r="Q23"/>
      <c r="R23"/>
      <c r="S23"/>
      <c r="T23"/>
      <c r="U23"/>
      <c r="V23" s="25"/>
    </row>
    <row r="24" spans="2:22">
      <c r="B24" s="9" t="s">
        <v>792</v>
      </c>
      <c r="O24"/>
      <c r="P24"/>
      <c r="Q24"/>
      <c r="R24"/>
      <c r="S24"/>
      <c r="T24"/>
      <c r="U24"/>
      <c r="V24" s="25"/>
    </row>
    <row r="25" spans="2:22">
      <c r="B25" s="9" t="s">
        <v>793</v>
      </c>
      <c r="O25"/>
      <c r="P25"/>
      <c r="Q25"/>
      <c r="R25"/>
      <c r="S25"/>
      <c r="T25"/>
      <c r="U25"/>
      <c r="V25" s="25"/>
    </row>
    <row r="26" spans="2:22">
      <c r="B26" s="42" t="s">
        <v>318</v>
      </c>
      <c r="O26"/>
      <c r="P26"/>
      <c r="Q26"/>
      <c r="R26"/>
      <c r="S26"/>
      <c r="T26"/>
      <c r="U26"/>
      <c r="V26" s="25"/>
    </row>
    <row r="27" spans="2:22">
      <c r="O27" s="25"/>
      <c r="P27" s="25"/>
      <c r="Q27" s="25"/>
      <c r="R27" s="25"/>
      <c r="S27" s="25"/>
      <c r="T27" s="25"/>
      <c r="U27" s="25"/>
      <c r="V27" s="25"/>
    </row>
    <row r="28" spans="2:22">
      <c r="O28" s="25"/>
      <c r="P28" s="25"/>
      <c r="Q28" s="25"/>
      <c r="R28" s="25"/>
      <c r="S28" s="25"/>
      <c r="T28" s="25"/>
      <c r="U28" s="25"/>
      <c r="V28" s="25"/>
    </row>
    <row r="29" spans="2:22">
      <c r="O29" s="25"/>
      <c r="P29" s="25"/>
      <c r="Q29" s="25"/>
      <c r="R29" s="25"/>
      <c r="S29" s="25"/>
      <c r="T29" s="25"/>
      <c r="U29" s="25"/>
      <c r="V29" s="25"/>
    </row>
    <row r="30" spans="2:22">
      <c r="O30" s="25"/>
      <c r="P30" s="25"/>
      <c r="Q30" s="25"/>
      <c r="R30" s="25"/>
      <c r="S30" s="25"/>
      <c r="T30" s="25"/>
      <c r="U30" s="25"/>
      <c r="V30" s="25"/>
    </row>
    <row r="31" spans="2:22">
      <c r="O31" s="25"/>
      <c r="P31" s="25"/>
      <c r="Q31" s="25"/>
      <c r="R31" s="25"/>
      <c r="S31" s="25"/>
      <c r="T31" s="25"/>
      <c r="U31" s="25"/>
      <c r="V31" s="25"/>
    </row>
    <row r="32" spans="2:22">
      <c r="O32" s="25"/>
      <c r="P32" s="25"/>
      <c r="Q32" s="25"/>
      <c r="R32" s="25"/>
      <c r="S32" s="25"/>
      <c r="T32" s="25"/>
      <c r="U32" s="25"/>
      <c r="V32" s="25"/>
    </row>
    <row r="33" spans="15:22">
      <c r="O33" s="25"/>
      <c r="P33" s="25"/>
      <c r="Q33" s="25"/>
      <c r="R33" s="25"/>
      <c r="S33" s="25"/>
      <c r="T33" s="25"/>
      <c r="U33" s="25"/>
      <c r="V33" s="25"/>
    </row>
    <row r="34" spans="15:22">
      <c r="O34" s="25"/>
      <c r="P34" s="25"/>
      <c r="Q34" s="25"/>
      <c r="R34" s="25"/>
      <c r="S34" s="25"/>
      <c r="T34" s="25"/>
      <c r="U34" s="25"/>
      <c r="V34" s="25"/>
    </row>
    <row r="35" spans="15:22">
      <c r="O35" s="25"/>
      <c r="P35" s="25"/>
      <c r="Q35" s="25"/>
      <c r="R35" s="25"/>
      <c r="S35" s="25"/>
      <c r="T35" s="25"/>
      <c r="U35" s="25"/>
      <c r="V35" s="25"/>
    </row>
    <row r="36" spans="15:22">
      <c r="O36" s="25"/>
      <c r="P36" s="25"/>
      <c r="Q36" s="25"/>
      <c r="R36" s="25"/>
      <c r="S36" s="25"/>
      <c r="T36" s="25"/>
      <c r="U36" s="25"/>
      <c r="V36" s="25"/>
    </row>
    <row r="37" spans="15:22">
      <c r="O37" s="25"/>
      <c r="P37" s="25"/>
      <c r="Q37" s="25"/>
      <c r="R37" s="25"/>
      <c r="S37" s="25"/>
      <c r="T37" s="25"/>
      <c r="U37" s="25"/>
      <c r="V37" s="25"/>
    </row>
    <row r="38" spans="15:22">
      <c r="O38" s="25"/>
      <c r="P38" s="25"/>
      <c r="Q38" s="25"/>
      <c r="R38" s="25"/>
      <c r="S38" s="25"/>
      <c r="T38" s="25"/>
      <c r="U38" s="25"/>
      <c r="V38" s="25"/>
    </row>
    <row r="39" spans="15:22">
      <c r="O39" s="25"/>
      <c r="P39" s="25"/>
      <c r="Q39" s="25"/>
      <c r="R39" s="25"/>
      <c r="S39" s="25"/>
      <c r="T39" s="25"/>
      <c r="U39" s="25"/>
      <c r="V39" s="25"/>
    </row>
    <row r="40" spans="15:22">
      <c r="O40" s="25"/>
      <c r="P40" s="25"/>
      <c r="Q40" s="25"/>
      <c r="R40" s="25"/>
      <c r="S40" s="25"/>
      <c r="T40" s="25"/>
      <c r="U40" s="25"/>
      <c r="V40" s="25"/>
    </row>
    <row r="41" spans="15:22">
      <c r="O41" s="25"/>
      <c r="P41" s="25"/>
      <c r="Q41" s="25"/>
      <c r="R41" s="25"/>
      <c r="S41" s="25"/>
      <c r="T41" s="25"/>
      <c r="U41" s="25"/>
      <c r="V41" s="25"/>
    </row>
    <row r="42" spans="15:22">
      <c r="O42" s="25"/>
      <c r="P42" s="25"/>
      <c r="Q42" s="25"/>
      <c r="R42" s="25"/>
      <c r="S42" s="25"/>
      <c r="T42" s="25"/>
      <c r="U42" s="25"/>
      <c r="V42" s="25"/>
    </row>
    <row r="43" spans="15:22">
      <c r="O43" s="25"/>
      <c r="P43" s="25"/>
      <c r="Q43" s="25"/>
      <c r="R43" s="25"/>
      <c r="S43" s="25"/>
      <c r="T43" s="25"/>
      <c r="U43" s="25"/>
      <c r="V43" s="25"/>
    </row>
    <row r="44" spans="15:22">
      <c r="O44" s="25"/>
      <c r="P44" s="25"/>
      <c r="Q44" s="25"/>
      <c r="R44" s="25"/>
      <c r="S44" s="25"/>
      <c r="T44" s="25"/>
      <c r="U44" s="25"/>
      <c r="V44" s="25"/>
    </row>
    <row r="45" spans="15:22">
      <c r="O45" s="25"/>
      <c r="P45" s="25"/>
      <c r="Q45" s="25"/>
      <c r="R45" s="25"/>
      <c r="S45" s="25"/>
      <c r="T45" s="25"/>
      <c r="U45" s="25"/>
      <c r="V45" s="25"/>
    </row>
    <row r="46" spans="15:22">
      <c r="O46" s="25"/>
      <c r="P46" s="25"/>
      <c r="Q46" s="25"/>
      <c r="R46" s="25"/>
      <c r="S46" s="25"/>
      <c r="T46" s="25"/>
      <c r="U46" s="25"/>
      <c r="V46" s="25"/>
    </row>
    <row r="47" spans="15:22">
      <c r="O47" s="25"/>
      <c r="P47" s="25"/>
      <c r="Q47" s="25"/>
      <c r="R47" s="25"/>
      <c r="S47" s="25"/>
      <c r="T47" s="25"/>
      <c r="U47" s="25"/>
      <c r="V47" s="25"/>
    </row>
    <row r="48" spans="15:22">
      <c r="O48" s="25"/>
      <c r="P48" s="25"/>
      <c r="Q48" s="25"/>
      <c r="R48" s="25"/>
      <c r="S48" s="25"/>
      <c r="T48" s="25"/>
      <c r="U48" s="25"/>
      <c r="V48" s="25"/>
    </row>
    <row r="49" spans="15:22">
      <c r="O49" s="25"/>
      <c r="P49" s="25"/>
      <c r="Q49" s="25"/>
      <c r="R49" s="25"/>
      <c r="S49" s="25"/>
      <c r="T49" s="25"/>
      <c r="U49" s="25"/>
      <c r="V49" s="25"/>
    </row>
    <row r="50" spans="15:22">
      <c r="O50" s="25"/>
      <c r="P50" s="25"/>
      <c r="Q50" s="25"/>
      <c r="R50" s="25"/>
      <c r="S50" s="25"/>
      <c r="T50" s="25"/>
      <c r="U50" s="25"/>
      <c r="V50" s="25"/>
    </row>
    <row r="51" spans="15:22">
      <c r="O51" s="25"/>
      <c r="P51" s="25"/>
      <c r="Q51" s="25"/>
      <c r="R51" s="25"/>
      <c r="S51" s="25"/>
      <c r="T51" s="25"/>
      <c r="U51" s="25"/>
      <c r="V51" s="25"/>
    </row>
    <row r="52" spans="15:22">
      <c r="O52" s="25"/>
      <c r="P52" s="25"/>
      <c r="Q52" s="25"/>
      <c r="R52" s="25"/>
      <c r="S52" s="25"/>
      <c r="T52" s="25"/>
      <c r="U52" s="25"/>
      <c r="V52" s="25"/>
    </row>
  </sheetData>
  <sheetProtection password="9A49" sheet="1" objects="1" scenarios="1" selectLockedCells="1" selectUnlockedCells="1"/>
  <mergeCells count="3">
    <mergeCell ref="B5:L5"/>
    <mergeCell ref="K11:M11"/>
    <mergeCell ref="A2:M3"/>
  </mergeCells>
  <phoneticPr fontId="27" type="noConversion"/>
  <pageMargins left="0.25" right="0.25" top="1" bottom="1" header="0.5" footer="0.5"/>
  <pageSetup scale="135"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B674"/>
  <sheetViews>
    <sheetView topLeftCell="B1" zoomScaleNormal="100" zoomScaleSheetLayoutView="100" workbookViewId="0">
      <selection activeCell="D28" sqref="D28"/>
    </sheetView>
  </sheetViews>
  <sheetFormatPr defaultRowHeight="12.75"/>
  <cols>
    <col min="1" max="1" width="10.73046875" hidden="1" customWidth="1"/>
    <col min="2" max="2" width="10.73046875" customWidth="1"/>
    <col min="3" max="3" width="10" bestFit="1" customWidth="1"/>
    <col min="8" max="9" width="10" bestFit="1" customWidth="1"/>
    <col min="15" max="15" width="8.59765625" customWidth="1"/>
    <col min="16" max="16" width="9" customWidth="1"/>
    <col min="17" max="17" width="7.1328125" customWidth="1"/>
    <col min="18" max="18" width="7.73046875" customWidth="1"/>
    <col min="19" max="19" width="8.73046875" customWidth="1"/>
    <col min="20" max="21" width="7.73046875" customWidth="1"/>
    <col min="22" max="22" width="8.265625" customWidth="1"/>
    <col min="23" max="25" width="7.73046875" customWidth="1"/>
    <col min="26" max="26" width="9.59765625" customWidth="1"/>
  </cols>
  <sheetData>
    <row r="1" spans="1:28" ht="15">
      <c r="A1" s="15" t="s">
        <v>119</v>
      </c>
      <c r="B1" s="15" t="s">
        <v>119</v>
      </c>
      <c r="C1" s="3" t="s">
        <v>122</v>
      </c>
      <c r="D1" s="3" t="s">
        <v>123</v>
      </c>
      <c r="E1" s="3" t="s">
        <v>130</v>
      </c>
      <c r="F1" s="3" t="s">
        <v>129</v>
      </c>
      <c r="G1" s="3" t="s">
        <v>128</v>
      </c>
      <c r="H1" s="3" t="s">
        <v>124</v>
      </c>
      <c r="I1" s="3" t="s">
        <v>125</v>
      </c>
      <c r="J1" s="3" t="s">
        <v>126</v>
      </c>
      <c r="K1" s="3" t="s">
        <v>127</v>
      </c>
      <c r="L1" s="3" t="s">
        <v>203</v>
      </c>
      <c r="N1" s="2"/>
      <c r="O1" s="2"/>
      <c r="P1" s="2"/>
      <c r="Q1" s="2"/>
      <c r="R1" s="2"/>
      <c r="S1" s="2"/>
      <c r="T1" s="2"/>
      <c r="U1" s="2"/>
      <c r="V1" s="2"/>
      <c r="W1" s="2"/>
      <c r="X1" s="2"/>
      <c r="Y1" s="2"/>
      <c r="Z1" s="38" t="s">
        <v>481</v>
      </c>
      <c r="AA1" s="2"/>
    </row>
    <row r="2" spans="1:28" ht="14.25">
      <c r="A2" s="91" t="s">
        <v>120</v>
      </c>
      <c r="B2" s="16" t="s">
        <v>121</v>
      </c>
      <c r="C2" s="3" t="s">
        <v>510</v>
      </c>
      <c r="D2" s="3" t="s">
        <v>516</v>
      </c>
      <c r="E2" s="3" t="s">
        <v>516</v>
      </c>
      <c r="F2" s="3" t="s">
        <v>516</v>
      </c>
      <c r="G2" s="3" t="s">
        <v>516</v>
      </c>
      <c r="H2" s="3" t="s">
        <v>512</v>
      </c>
      <c r="I2" s="3" t="s">
        <v>515</v>
      </c>
      <c r="J2" s="3" t="s">
        <v>516</v>
      </c>
      <c r="K2" s="3" t="s">
        <v>515</v>
      </c>
      <c r="L2" s="3" t="s">
        <v>516</v>
      </c>
      <c r="N2" s="2"/>
      <c r="O2" s="2"/>
      <c r="P2" s="2"/>
      <c r="Q2" s="2"/>
      <c r="R2" s="645" t="s">
        <v>327</v>
      </c>
      <c r="S2" s="645"/>
      <c r="T2" s="645"/>
      <c r="U2" s="645"/>
      <c r="V2" s="645"/>
      <c r="W2" s="645"/>
      <c r="X2" s="645" t="s">
        <v>567</v>
      </c>
      <c r="Y2" s="645"/>
      <c r="Z2" s="38" t="s">
        <v>482</v>
      </c>
      <c r="AA2" s="2"/>
      <c r="AB2" s="26"/>
    </row>
    <row r="3" spans="1:28" ht="15">
      <c r="A3" t="s">
        <v>109</v>
      </c>
      <c r="B3" t="s">
        <v>109</v>
      </c>
      <c r="C3" s="3">
        <v>34.4</v>
      </c>
      <c r="D3" s="3">
        <v>14.2</v>
      </c>
      <c r="E3" s="3">
        <v>0.80500000000000005</v>
      </c>
      <c r="F3" s="3">
        <v>14.9</v>
      </c>
      <c r="G3" s="3">
        <v>0.80500000000000005</v>
      </c>
      <c r="H3" s="3">
        <v>443</v>
      </c>
      <c r="I3" s="3">
        <v>59.5</v>
      </c>
      <c r="J3" s="3">
        <v>3.59</v>
      </c>
      <c r="K3" s="3">
        <v>91.4</v>
      </c>
      <c r="L3" s="3">
        <v>11.25</v>
      </c>
      <c r="N3" s="2"/>
      <c r="O3" s="38" t="s">
        <v>323</v>
      </c>
      <c r="P3" s="38" t="s">
        <v>323</v>
      </c>
      <c r="Q3" s="38" t="s">
        <v>326</v>
      </c>
      <c r="R3" s="38" t="s">
        <v>758</v>
      </c>
      <c r="S3" s="38" t="s">
        <v>759</v>
      </c>
      <c r="T3" s="38" t="s">
        <v>760</v>
      </c>
      <c r="U3" s="38" t="s">
        <v>761</v>
      </c>
      <c r="V3" s="38" t="s">
        <v>762</v>
      </c>
      <c r="W3" s="38" t="s">
        <v>506</v>
      </c>
      <c r="X3" s="38" t="s">
        <v>758</v>
      </c>
      <c r="Y3" s="38" t="s">
        <v>759</v>
      </c>
      <c r="Z3" s="38" t="s">
        <v>483</v>
      </c>
      <c r="AA3" s="38" t="s">
        <v>328</v>
      </c>
      <c r="AB3" s="26"/>
    </row>
    <row r="4" spans="1:28" ht="14.25">
      <c r="A4" t="s">
        <v>110</v>
      </c>
      <c r="B4" t="s">
        <v>110</v>
      </c>
      <c r="C4" s="3">
        <v>30.1</v>
      </c>
      <c r="D4" s="90">
        <v>14</v>
      </c>
      <c r="E4" s="3">
        <v>0.70499999999999996</v>
      </c>
      <c r="F4" s="3">
        <v>14.8</v>
      </c>
      <c r="G4" s="3">
        <v>0.70499999999999996</v>
      </c>
      <c r="H4" s="3">
        <v>380</v>
      </c>
      <c r="I4" s="3">
        <v>51.4</v>
      </c>
      <c r="J4" s="3">
        <v>3.56</v>
      </c>
      <c r="K4" s="3">
        <v>78.8</v>
      </c>
      <c r="L4" s="3">
        <v>11.25</v>
      </c>
      <c r="N4" s="2"/>
      <c r="O4" s="39" t="s">
        <v>324</v>
      </c>
      <c r="P4" s="39" t="s">
        <v>325</v>
      </c>
      <c r="Q4" s="38" t="s">
        <v>564</v>
      </c>
      <c r="R4" s="38" t="s">
        <v>565</v>
      </c>
      <c r="S4" s="39" t="s">
        <v>564</v>
      </c>
      <c r="T4" s="38" t="s">
        <v>565</v>
      </c>
      <c r="U4" s="39" t="s">
        <v>564</v>
      </c>
      <c r="V4" s="38" t="s">
        <v>565</v>
      </c>
      <c r="W4" s="39" t="s">
        <v>564</v>
      </c>
      <c r="X4" s="38" t="s">
        <v>565</v>
      </c>
      <c r="Y4" s="39" t="s">
        <v>564</v>
      </c>
      <c r="Z4" s="38" t="s">
        <v>484</v>
      </c>
      <c r="AA4" s="38" t="s">
        <v>485</v>
      </c>
      <c r="AB4" s="26"/>
    </row>
    <row r="5" spans="1:28">
      <c r="A5" t="s">
        <v>519</v>
      </c>
      <c r="B5" t="s">
        <v>519</v>
      </c>
      <c r="C5" s="3">
        <v>26.1</v>
      </c>
      <c r="D5" s="3">
        <v>13.8</v>
      </c>
      <c r="E5" s="3">
        <v>0.61499999999999999</v>
      </c>
      <c r="F5" s="3">
        <v>14.7</v>
      </c>
      <c r="G5" s="3">
        <v>0.61499999999999999</v>
      </c>
      <c r="H5" s="3">
        <v>326</v>
      </c>
      <c r="I5" s="3">
        <v>44.3</v>
      </c>
      <c r="J5" s="3">
        <v>3.53</v>
      </c>
      <c r="K5" s="3">
        <v>67.7</v>
      </c>
      <c r="L5" s="3">
        <v>11.25</v>
      </c>
      <c r="N5" s="2"/>
      <c r="O5" s="38">
        <v>0</v>
      </c>
      <c r="P5" s="98">
        <f>+O5*PI()/180</f>
        <v>0</v>
      </c>
      <c r="Q5" s="117">
        <f t="shared" ref="Q5:Q36" si="0">COS(P5/2)*($D$25-2*$E$25)/2</f>
        <v>0</v>
      </c>
      <c r="R5" s="117" t="e">
        <f t="shared" ref="R5:R36" si="1">+(($D$25-$E$25)*ACOS(Q5*2/($D$25-$E$25)))*$E$25</f>
        <v>#DIV/0!</v>
      </c>
      <c r="S5" s="117" t="e">
        <f t="shared" ref="S5:S36" si="2">+(($D$25-$E$25)/2)*SIN(ACOS(2*Q5/($D$25-$E$25)))/(ACOS(2*Q5/($D$25-$E$25)))</f>
        <v>#DIV/0!</v>
      </c>
      <c r="T5" s="117" t="e">
        <f>+(As/2)-R5</f>
        <v>#DIV/0!</v>
      </c>
      <c r="U5" s="117" t="e">
        <f t="shared" ref="U5:U68" si="3">+(V5*W5-R5*S5)/T5</f>
        <v>#DIV/0!</v>
      </c>
      <c r="V5" s="117">
        <f>+(As/2)</f>
        <v>0</v>
      </c>
      <c r="W5" s="117">
        <f t="shared" ref="W5:W36" si="4">($D$25-$E$25)/PI()</f>
        <v>0</v>
      </c>
      <c r="X5" s="117">
        <f t="shared" ref="X5:X36" si="5">+($D$25/2-$E$25)^2*(P5-SIN(P5))/2</f>
        <v>0</v>
      </c>
      <c r="Y5" s="117">
        <f>+Q5</f>
        <v>0</v>
      </c>
      <c r="Z5" s="117" t="e">
        <f>ABS(0.4*0.85*Main!$G$546*'Pile Data'!X5+Main!$G$545*'Pile Data'!R5-Main!$G$545*('Pile Data'!T5+'Pile Data'!V5))</f>
        <v>#DIV/0!</v>
      </c>
      <c r="AA5" s="117" t="e">
        <f>(0.4*0.85*Main!$G$546*'Pile Data'!X5*Y5+Main!$G$545*('Pile Data'!R5*S5+'Pile Data'!T5*U5+'Pile Data'!V5*W5))</f>
        <v>#DIV/0!</v>
      </c>
      <c r="AB5" s="37"/>
    </row>
    <row r="6" spans="1:28">
      <c r="A6" t="s">
        <v>111</v>
      </c>
      <c r="B6" t="s">
        <v>111</v>
      </c>
      <c r="C6" s="3">
        <v>21.4</v>
      </c>
      <c r="D6" s="3">
        <v>13.6</v>
      </c>
      <c r="E6" s="3">
        <v>0.505</v>
      </c>
      <c r="F6" s="3">
        <v>14.6</v>
      </c>
      <c r="G6" s="3">
        <v>0.505</v>
      </c>
      <c r="H6" s="3">
        <v>261</v>
      </c>
      <c r="I6" s="3">
        <v>35.799999999999997</v>
      </c>
      <c r="J6" s="3">
        <v>3.49</v>
      </c>
      <c r="K6" s="3">
        <v>54.6</v>
      </c>
      <c r="L6" s="3">
        <v>11.25</v>
      </c>
      <c r="N6" s="2"/>
      <c r="O6" s="38">
        <f>+O5+1</f>
        <v>1</v>
      </c>
      <c r="P6" s="98">
        <f t="shared" ref="P6:P69" si="6">+O6*PI()/180</f>
        <v>1.7453292519943295E-2</v>
      </c>
      <c r="Q6" s="117">
        <f t="shared" si="0"/>
        <v>0</v>
      </c>
      <c r="R6" s="117" t="e">
        <f t="shared" si="1"/>
        <v>#DIV/0!</v>
      </c>
      <c r="S6" s="117" t="e">
        <f t="shared" si="2"/>
        <v>#DIV/0!</v>
      </c>
      <c r="T6" s="117" t="e">
        <f t="shared" ref="T6:T69" si="7">+(As/2)-R6</f>
        <v>#DIV/0!</v>
      </c>
      <c r="U6" s="117" t="e">
        <f t="shared" si="3"/>
        <v>#DIV/0!</v>
      </c>
      <c r="V6" s="117">
        <f t="shared" ref="V6:V69" si="8">+(As/2)</f>
        <v>0</v>
      </c>
      <c r="W6" s="117">
        <f t="shared" si="4"/>
        <v>0</v>
      </c>
      <c r="X6" s="117">
        <f t="shared" si="5"/>
        <v>0</v>
      </c>
      <c r="Y6" s="117" t="e">
        <f t="shared" ref="Y6:Y37" si="9">2*($D$25/2-$E$25)^3*SIN(P6/2)^3/(3*X6)</f>
        <v>#DIV/0!</v>
      </c>
      <c r="Z6" s="117" t="e">
        <f>ABS(0.4*0.85*Main!$G$546*'Pile Data'!X6+Main!$G$545*'Pile Data'!R6-Main!$G$545*('Pile Data'!T6+'Pile Data'!V6))</f>
        <v>#DIV/0!</v>
      </c>
      <c r="AA6" s="117" t="e">
        <f>(0.4*0.85*Main!$G$546*'Pile Data'!X6*Y6+Main!$G$545*('Pile Data'!R6*S6+'Pile Data'!T6*U6+'Pile Data'!V6*W6))</f>
        <v>#DIV/0!</v>
      </c>
      <c r="AB6" s="37"/>
    </row>
    <row r="7" spans="1:28">
      <c r="A7" t="s">
        <v>112</v>
      </c>
      <c r="B7" t="s">
        <v>112</v>
      </c>
      <c r="C7" s="3">
        <v>24.6</v>
      </c>
      <c r="D7" s="3">
        <v>12.3</v>
      </c>
      <c r="E7" s="3">
        <v>0.68500000000000005</v>
      </c>
      <c r="F7" s="3">
        <v>12.3</v>
      </c>
      <c r="G7" s="3">
        <v>0.68500000000000005</v>
      </c>
      <c r="H7" s="3">
        <v>213</v>
      </c>
      <c r="I7" s="3">
        <v>34.6</v>
      </c>
      <c r="J7" s="3">
        <v>2.94</v>
      </c>
      <c r="K7" s="3">
        <v>53.2</v>
      </c>
      <c r="L7" s="3">
        <v>9.5</v>
      </c>
      <c r="N7" s="2"/>
      <c r="O7" s="38">
        <f t="shared" ref="O7:O70" si="10">+O6+1</f>
        <v>2</v>
      </c>
      <c r="P7" s="98">
        <f t="shared" si="6"/>
        <v>3.4906585039886591E-2</v>
      </c>
      <c r="Q7" s="117">
        <f t="shared" si="0"/>
        <v>0</v>
      </c>
      <c r="R7" s="117" t="e">
        <f t="shared" si="1"/>
        <v>#DIV/0!</v>
      </c>
      <c r="S7" s="117" t="e">
        <f t="shared" si="2"/>
        <v>#DIV/0!</v>
      </c>
      <c r="T7" s="117" t="e">
        <f t="shared" si="7"/>
        <v>#DIV/0!</v>
      </c>
      <c r="U7" s="117" t="e">
        <f t="shared" si="3"/>
        <v>#DIV/0!</v>
      </c>
      <c r="V7" s="117">
        <f t="shared" si="8"/>
        <v>0</v>
      </c>
      <c r="W7" s="117">
        <f t="shared" si="4"/>
        <v>0</v>
      </c>
      <c r="X7" s="117">
        <f t="shared" si="5"/>
        <v>0</v>
      </c>
      <c r="Y7" s="117" t="e">
        <f t="shared" si="9"/>
        <v>#DIV/0!</v>
      </c>
      <c r="Z7" s="117" t="e">
        <f>ABS(0.4*0.85*Main!$G$546*'Pile Data'!X7+Main!$G$545*'Pile Data'!R7-Main!$G$545*('Pile Data'!T7+'Pile Data'!V7))</f>
        <v>#DIV/0!</v>
      </c>
      <c r="AA7" s="117" t="e">
        <f>(0.4*0.85*Main!$G$546*'Pile Data'!X7*Y7+Main!$G$545*('Pile Data'!R7*S7+'Pile Data'!T7*U7+'Pile Data'!V7*W7))</f>
        <v>#DIV/0!</v>
      </c>
      <c r="AB7" s="37"/>
    </row>
    <row r="8" spans="1:28">
      <c r="A8" t="s">
        <v>113</v>
      </c>
      <c r="B8" t="s">
        <v>113</v>
      </c>
      <c r="C8" s="3">
        <v>21.8</v>
      </c>
      <c r="D8" s="3">
        <v>12.1</v>
      </c>
      <c r="E8" s="3">
        <v>0.60499999999999998</v>
      </c>
      <c r="F8" s="3">
        <v>12.2</v>
      </c>
      <c r="G8" s="97">
        <v>0.61</v>
      </c>
      <c r="H8" s="3">
        <v>186</v>
      </c>
      <c r="I8" s="3">
        <v>30.4</v>
      </c>
      <c r="J8" s="3">
        <v>2.92</v>
      </c>
      <c r="K8" s="3">
        <v>46.6</v>
      </c>
      <c r="L8" s="3">
        <v>9.5</v>
      </c>
      <c r="N8" s="2"/>
      <c r="O8" s="38">
        <f t="shared" si="10"/>
        <v>3</v>
      </c>
      <c r="P8" s="98">
        <f t="shared" si="6"/>
        <v>5.2359877559829883E-2</v>
      </c>
      <c r="Q8" s="117">
        <f t="shared" si="0"/>
        <v>0</v>
      </c>
      <c r="R8" s="117" t="e">
        <f t="shared" si="1"/>
        <v>#DIV/0!</v>
      </c>
      <c r="S8" s="117" t="e">
        <f t="shared" si="2"/>
        <v>#DIV/0!</v>
      </c>
      <c r="T8" s="117" t="e">
        <f t="shared" si="7"/>
        <v>#DIV/0!</v>
      </c>
      <c r="U8" s="117" t="e">
        <f t="shared" si="3"/>
        <v>#DIV/0!</v>
      </c>
      <c r="V8" s="117">
        <f t="shared" si="8"/>
        <v>0</v>
      </c>
      <c r="W8" s="117">
        <f t="shared" si="4"/>
        <v>0</v>
      </c>
      <c r="X8" s="117">
        <f t="shared" si="5"/>
        <v>0</v>
      </c>
      <c r="Y8" s="117" t="e">
        <f t="shared" si="9"/>
        <v>#DIV/0!</v>
      </c>
      <c r="Z8" s="117" t="e">
        <f>ABS(0.4*0.85*Main!$G$546*'Pile Data'!X8+Main!$G$545*'Pile Data'!R8-Main!$G$545*('Pile Data'!T8+'Pile Data'!V8))</f>
        <v>#DIV/0!</v>
      </c>
      <c r="AA8" s="117" t="e">
        <f>(0.4*0.85*Main!$G$546*'Pile Data'!X8*Y8+Main!$G$545*('Pile Data'!R8*S8+'Pile Data'!T8*U8+'Pile Data'!V8*W8))</f>
        <v>#DIV/0!</v>
      </c>
      <c r="AB8" s="37"/>
    </row>
    <row r="9" spans="1:28">
      <c r="A9" t="s">
        <v>114</v>
      </c>
      <c r="B9" t="s">
        <v>114</v>
      </c>
      <c r="C9" s="3">
        <v>18.399999999999999</v>
      </c>
      <c r="D9" s="3">
        <v>11.9</v>
      </c>
      <c r="E9" s="3">
        <v>0.51500000000000001</v>
      </c>
      <c r="F9" s="3">
        <v>12.1</v>
      </c>
      <c r="G9" s="3">
        <v>0.51500000000000001</v>
      </c>
      <c r="H9" s="3">
        <v>153</v>
      </c>
      <c r="I9" s="3">
        <v>25.3</v>
      </c>
      <c r="J9" s="3">
        <v>2.88</v>
      </c>
      <c r="K9" s="3">
        <v>38.700000000000003</v>
      </c>
      <c r="L9" s="3">
        <v>9.5</v>
      </c>
      <c r="N9" s="2"/>
      <c r="O9" s="38">
        <f t="shared" si="10"/>
        <v>4</v>
      </c>
      <c r="P9" s="98">
        <f t="shared" si="6"/>
        <v>6.9813170079773182E-2</v>
      </c>
      <c r="Q9" s="117">
        <f t="shared" si="0"/>
        <v>0</v>
      </c>
      <c r="R9" s="117" t="e">
        <f t="shared" si="1"/>
        <v>#DIV/0!</v>
      </c>
      <c r="S9" s="117" t="e">
        <f t="shared" si="2"/>
        <v>#DIV/0!</v>
      </c>
      <c r="T9" s="117" t="e">
        <f t="shared" si="7"/>
        <v>#DIV/0!</v>
      </c>
      <c r="U9" s="117" t="e">
        <f t="shared" si="3"/>
        <v>#DIV/0!</v>
      </c>
      <c r="V9" s="117">
        <f t="shared" si="8"/>
        <v>0</v>
      </c>
      <c r="W9" s="117">
        <f t="shared" si="4"/>
        <v>0</v>
      </c>
      <c r="X9" s="117">
        <f t="shared" si="5"/>
        <v>0</v>
      </c>
      <c r="Y9" s="117" t="e">
        <f t="shared" si="9"/>
        <v>#DIV/0!</v>
      </c>
      <c r="Z9" s="117" t="e">
        <f>ABS(0.4*0.85*Main!$G$546*'Pile Data'!X9+Main!$G$545*'Pile Data'!R9-Main!$G$545*('Pile Data'!T9+'Pile Data'!V9))</f>
        <v>#DIV/0!</v>
      </c>
      <c r="AA9" s="117" t="e">
        <f>(0.4*0.85*Main!$G$546*'Pile Data'!X9*Y9+Main!$G$545*('Pile Data'!R9*S9+'Pile Data'!T9*U9+'Pile Data'!V9*W9))</f>
        <v>#DIV/0!</v>
      </c>
      <c r="AB9" s="37"/>
    </row>
    <row r="10" spans="1:28">
      <c r="A10" t="s">
        <v>115</v>
      </c>
      <c r="B10" t="s">
        <v>115</v>
      </c>
      <c r="C10" s="3">
        <v>15.5</v>
      </c>
      <c r="D10" s="3">
        <v>11.8</v>
      </c>
      <c r="E10" s="3">
        <v>0.435</v>
      </c>
      <c r="F10" s="90">
        <v>12</v>
      </c>
      <c r="G10" s="3">
        <v>0.435</v>
      </c>
      <c r="H10" s="3">
        <v>127</v>
      </c>
      <c r="I10" s="3">
        <v>21.1</v>
      </c>
      <c r="J10" s="3">
        <v>2.86</v>
      </c>
      <c r="K10" s="3">
        <v>32.200000000000003</v>
      </c>
      <c r="L10" s="3">
        <v>9.5</v>
      </c>
      <c r="N10" s="2"/>
      <c r="O10" s="38">
        <f t="shared" si="10"/>
        <v>5</v>
      </c>
      <c r="P10" s="98">
        <f t="shared" si="6"/>
        <v>8.7266462599716474E-2</v>
      </c>
      <c r="Q10" s="117">
        <f t="shared" si="0"/>
        <v>0</v>
      </c>
      <c r="R10" s="117" t="e">
        <f t="shared" si="1"/>
        <v>#DIV/0!</v>
      </c>
      <c r="S10" s="117" t="e">
        <f t="shared" si="2"/>
        <v>#DIV/0!</v>
      </c>
      <c r="T10" s="117" t="e">
        <f t="shared" si="7"/>
        <v>#DIV/0!</v>
      </c>
      <c r="U10" s="117" t="e">
        <f t="shared" si="3"/>
        <v>#DIV/0!</v>
      </c>
      <c r="V10" s="117">
        <f t="shared" si="8"/>
        <v>0</v>
      </c>
      <c r="W10" s="117">
        <f t="shared" si="4"/>
        <v>0</v>
      </c>
      <c r="X10" s="117">
        <f t="shared" si="5"/>
        <v>0</v>
      </c>
      <c r="Y10" s="117" t="e">
        <f t="shared" si="9"/>
        <v>#DIV/0!</v>
      </c>
      <c r="Z10" s="117" t="e">
        <f>ABS(0.4*0.85*Main!$G$546*'Pile Data'!X10+Main!$G$545*'Pile Data'!R10-Main!$G$545*('Pile Data'!T10+'Pile Data'!V10))</f>
        <v>#DIV/0!</v>
      </c>
      <c r="AA10" s="117" t="e">
        <f>(0.4*0.85*Main!$G$546*'Pile Data'!X10*Y10+Main!$G$545*('Pile Data'!R10*S10+'Pile Data'!T10*U10+'Pile Data'!V10*W10))</f>
        <v>#DIV/0!</v>
      </c>
      <c r="AB10" s="37"/>
    </row>
    <row r="11" spans="1:28">
      <c r="A11" t="s">
        <v>116</v>
      </c>
      <c r="B11" t="s">
        <v>116</v>
      </c>
      <c r="C11" s="3">
        <v>16.7</v>
      </c>
      <c r="D11" s="3">
        <v>9.99</v>
      </c>
      <c r="E11" s="3">
        <v>0.56499999999999995</v>
      </c>
      <c r="F11" s="3">
        <v>10.199999999999999</v>
      </c>
      <c r="G11" s="3">
        <v>0.56499999999999995</v>
      </c>
      <c r="H11" s="3">
        <v>101</v>
      </c>
      <c r="I11" s="3">
        <v>19.7</v>
      </c>
      <c r="J11" s="3">
        <v>2.4500000000000002</v>
      </c>
      <c r="K11" s="3">
        <v>30.3</v>
      </c>
      <c r="L11" s="3">
        <v>7.5</v>
      </c>
      <c r="N11" s="2"/>
      <c r="O11" s="38">
        <f t="shared" si="10"/>
        <v>6</v>
      </c>
      <c r="P11" s="98">
        <f t="shared" si="6"/>
        <v>0.10471975511965977</v>
      </c>
      <c r="Q11" s="117">
        <f t="shared" si="0"/>
        <v>0</v>
      </c>
      <c r="R11" s="117" t="e">
        <f t="shared" si="1"/>
        <v>#DIV/0!</v>
      </c>
      <c r="S11" s="117" t="e">
        <f t="shared" si="2"/>
        <v>#DIV/0!</v>
      </c>
      <c r="T11" s="117" t="e">
        <f t="shared" si="7"/>
        <v>#DIV/0!</v>
      </c>
      <c r="U11" s="117" t="e">
        <f t="shared" si="3"/>
        <v>#DIV/0!</v>
      </c>
      <c r="V11" s="117">
        <f t="shared" si="8"/>
        <v>0</v>
      </c>
      <c r="W11" s="117">
        <f t="shared" si="4"/>
        <v>0</v>
      </c>
      <c r="X11" s="117">
        <f t="shared" si="5"/>
        <v>0</v>
      </c>
      <c r="Y11" s="117" t="e">
        <f t="shared" si="9"/>
        <v>#DIV/0!</v>
      </c>
      <c r="Z11" s="117" t="e">
        <f>ABS(0.4*0.85*Main!$G$546*'Pile Data'!X11+Main!$G$545*'Pile Data'!R11-Main!$G$545*('Pile Data'!T11+'Pile Data'!V11))</f>
        <v>#DIV/0!</v>
      </c>
      <c r="AA11" s="117" t="e">
        <f>(0.4*0.85*Main!$G$546*'Pile Data'!X11*Y11+Main!$G$545*('Pile Data'!R11*S11+'Pile Data'!T11*U11+'Pile Data'!V11*W11))</f>
        <v>#DIV/0!</v>
      </c>
      <c r="AB11" s="37"/>
    </row>
    <row r="12" spans="1:28">
      <c r="A12" t="s">
        <v>117</v>
      </c>
      <c r="B12" t="s">
        <v>117</v>
      </c>
      <c r="C12" s="3">
        <v>12.4</v>
      </c>
      <c r="D12" s="4">
        <v>9.6999999999999993</v>
      </c>
      <c r="E12" s="3">
        <v>0.41499999999999998</v>
      </c>
      <c r="F12" s="3">
        <v>10.1</v>
      </c>
      <c r="G12" s="97">
        <v>0.42</v>
      </c>
      <c r="H12" s="3">
        <v>71.7</v>
      </c>
      <c r="I12" s="3">
        <v>14.2</v>
      </c>
      <c r="J12" s="3">
        <v>2.41</v>
      </c>
      <c r="K12" s="3">
        <v>21.8</v>
      </c>
      <c r="L12" s="3">
        <v>7.5</v>
      </c>
      <c r="N12" s="2"/>
      <c r="O12" s="38">
        <f t="shared" si="10"/>
        <v>7</v>
      </c>
      <c r="P12" s="98">
        <f t="shared" si="6"/>
        <v>0.12217304763960307</v>
      </c>
      <c r="Q12" s="117">
        <f t="shared" si="0"/>
        <v>0</v>
      </c>
      <c r="R12" s="117" t="e">
        <f t="shared" si="1"/>
        <v>#DIV/0!</v>
      </c>
      <c r="S12" s="117" t="e">
        <f t="shared" si="2"/>
        <v>#DIV/0!</v>
      </c>
      <c r="T12" s="117" t="e">
        <f t="shared" si="7"/>
        <v>#DIV/0!</v>
      </c>
      <c r="U12" s="117" t="e">
        <f t="shared" si="3"/>
        <v>#DIV/0!</v>
      </c>
      <c r="V12" s="117">
        <f t="shared" si="8"/>
        <v>0</v>
      </c>
      <c r="W12" s="117">
        <f t="shared" si="4"/>
        <v>0</v>
      </c>
      <c r="X12" s="117">
        <f t="shared" si="5"/>
        <v>0</v>
      </c>
      <c r="Y12" s="117" t="e">
        <f t="shared" si="9"/>
        <v>#DIV/0!</v>
      </c>
      <c r="Z12" s="117" t="e">
        <f>ABS(0.4*0.85*Main!$G$546*'Pile Data'!X12+Main!$G$545*'Pile Data'!R12-Main!$G$545*('Pile Data'!T12+'Pile Data'!V12))</f>
        <v>#DIV/0!</v>
      </c>
      <c r="AA12" s="117" t="e">
        <f>(0.4*0.85*Main!$G$546*'Pile Data'!X12*Y12+Main!$G$545*('Pile Data'!R12*S12+'Pile Data'!T12*U12+'Pile Data'!V12*W12))</f>
        <v>#DIV/0!</v>
      </c>
      <c r="AB12" s="37"/>
    </row>
    <row r="13" spans="1:28">
      <c r="A13" t="s">
        <v>118</v>
      </c>
      <c r="B13" t="s">
        <v>118</v>
      </c>
      <c r="C13" s="3">
        <v>10.6</v>
      </c>
      <c r="D13" s="3">
        <v>8.02</v>
      </c>
      <c r="E13" s="3">
        <v>0.44500000000000001</v>
      </c>
      <c r="F13" s="3">
        <v>8.16</v>
      </c>
      <c r="G13" s="3">
        <v>0.44500000000000001</v>
      </c>
      <c r="H13" s="3">
        <v>40.299999999999997</v>
      </c>
      <c r="I13" s="3">
        <v>9.8800000000000008</v>
      </c>
      <c r="J13" s="3">
        <v>1.95</v>
      </c>
      <c r="K13" s="3">
        <v>15.2</v>
      </c>
      <c r="L13" s="3">
        <v>5.75</v>
      </c>
      <c r="N13" s="2"/>
      <c r="O13" s="38">
        <f t="shared" si="10"/>
        <v>8</v>
      </c>
      <c r="P13" s="98">
        <f t="shared" si="6"/>
        <v>0.13962634015954636</v>
      </c>
      <c r="Q13" s="117">
        <f t="shared" si="0"/>
        <v>0</v>
      </c>
      <c r="R13" s="117" t="e">
        <f t="shared" si="1"/>
        <v>#DIV/0!</v>
      </c>
      <c r="S13" s="117" t="e">
        <f t="shared" si="2"/>
        <v>#DIV/0!</v>
      </c>
      <c r="T13" s="117" t="e">
        <f t="shared" si="7"/>
        <v>#DIV/0!</v>
      </c>
      <c r="U13" s="117" t="e">
        <f t="shared" si="3"/>
        <v>#DIV/0!</v>
      </c>
      <c r="V13" s="117">
        <f t="shared" si="8"/>
        <v>0</v>
      </c>
      <c r="W13" s="117">
        <f t="shared" si="4"/>
        <v>0</v>
      </c>
      <c r="X13" s="117">
        <f t="shared" si="5"/>
        <v>0</v>
      </c>
      <c r="Y13" s="117" t="e">
        <f t="shared" si="9"/>
        <v>#DIV/0!</v>
      </c>
      <c r="Z13" s="117" t="e">
        <f>ABS(0.4*0.85*Main!$G$546*'Pile Data'!X13+Main!$G$545*'Pile Data'!R13-Main!$G$545*('Pile Data'!T13+'Pile Data'!V13))</f>
        <v>#DIV/0!</v>
      </c>
      <c r="AA13" s="117" t="e">
        <f>(0.4*0.85*Main!$G$546*'Pile Data'!X13*Y13+Main!$G$545*('Pile Data'!R13*S13+'Pile Data'!T13*U13+'Pile Data'!V13*W13))</f>
        <v>#DIV/0!</v>
      </c>
      <c r="AB13" s="37"/>
    </row>
    <row r="14" spans="1:28">
      <c r="A14" t="s">
        <v>933</v>
      </c>
      <c r="B14" t="s">
        <v>933</v>
      </c>
      <c r="C14" s="4">
        <v>28.726600000000005</v>
      </c>
      <c r="D14" s="3">
        <v>14.085000000000001</v>
      </c>
      <c r="E14" s="97">
        <v>0.68</v>
      </c>
      <c r="F14" s="97">
        <v>14.76</v>
      </c>
      <c r="G14" s="97">
        <v>0.68</v>
      </c>
      <c r="H14" s="561">
        <v>364.76562221333336</v>
      </c>
      <c r="I14" s="90">
        <v>49.426236072267372</v>
      </c>
      <c r="J14" s="4">
        <v>3.5634021435237702</v>
      </c>
      <c r="K14" s="90">
        <v>75.542594000000008</v>
      </c>
      <c r="L14" s="3"/>
      <c r="N14" s="2"/>
      <c r="O14" s="38">
        <f t="shared" si="10"/>
        <v>9</v>
      </c>
      <c r="P14" s="98">
        <f t="shared" si="6"/>
        <v>0.15707963267948966</v>
      </c>
      <c r="Q14" s="117">
        <f t="shared" si="0"/>
        <v>0</v>
      </c>
      <c r="R14" s="117" t="e">
        <f t="shared" si="1"/>
        <v>#DIV/0!</v>
      </c>
      <c r="S14" s="117" t="e">
        <f t="shared" si="2"/>
        <v>#DIV/0!</v>
      </c>
      <c r="T14" s="117" t="e">
        <f t="shared" si="7"/>
        <v>#DIV/0!</v>
      </c>
      <c r="U14" s="117" t="e">
        <f t="shared" si="3"/>
        <v>#DIV/0!</v>
      </c>
      <c r="V14" s="117">
        <f t="shared" si="8"/>
        <v>0</v>
      </c>
      <c r="W14" s="117">
        <f t="shared" si="4"/>
        <v>0</v>
      </c>
      <c r="X14" s="117">
        <f t="shared" si="5"/>
        <v>0</v>
      </c>
      <c r="Y14" s="117" t="e">
        <f t="shared" si="9"/>
        <v>#DIV/0!</v>
      </c>
      <c r="Z14" s="117" t="e">
        <f>ABS(0.4*0.85*Main!$G$546*'Pile Data'!X14+Main!$G$545*'Pile Data'!R14-Main!$G$545*('Pile Data'!T14+'Pile Data'!V14))</f>
        <v>#DIV/0!</v>
      </c>
      <c r="AA14" s="117" t="e">
        <f>(0.4*0.85*Main!$G$546*'Pile Data'!X14*Y14+Main!$G$545*('Pile Data'!R14*S14+'Pile Data'!T14*U14+'Pile Data'!V14*W14))</f>
        <v>#DIV/0!</v>
      </c>
      <c r="AB14" s="37"/>
    </row>
    <row r="15" spans="1:28">
      <c r="A15" t="s">
        <v>934</v>
      </c>
      <c r="B15" t="s">
        <v>934</v>
      </c>
      <c r="C15" s="4">
        <v>24.386099999999999</v>
      </c>
      <c r="D15" s="3">
        <v>13.885</v>
      </c>
      <c r="E15" s="97">
        <v>0.57999999999999996</v>
      </c>
      <c r="F15" s="97">
        <v>14.66</v>
      </c>
      <c r="G15" s="97">
        <v>0.57999999999999996</v>
      </c>
      <c r="H15" s="561">
        <v>304.77096062999999</v>
      </c>
      <c r="I15" s="90">
        <v>41.578575802182812</v>
      </c>
      <c r="J15" s="4">
        <v>3.5352132539104812</v>
      </c>
      <c r="K15" s="90">
        <v>63.3956965</v>
      </c>
      <c r="L15" s="3"/>
      <c r="N15" s="2"/>
      <c r="O15" s="38">
        <f t="shared" si="10"/>
        <v>10</v>
      </c>
      <c r="P15" s="98">
        <f t="shared" si="6"/>
        <v>0.17453292519943295</v>
      </c>
      <c r="Q15" s="117">
        <f t="shared" si="0"/>
        <v>0</v>
      </c>
      <c r="R15" s="117" t="e">
        <f t="shared" si="1"/>
        <v>#DIV/0!</v>
      </c>
      <c r="S15" s="117" t="e">
        <f t="shared" si="2"/>
        <v>#DIV/0!</v>
      </c>
      <c r="T15" s="117" t="e">
        <f t="shared" si="7"/>
        <v>#DIV/0!</v>
      </c>
      <c r="U15" s="117" t="e">
        <f t="shared" si="3"/>
        <v>#DIV/0!</v>
      </c>
      <c r="V15" s="117">
        <f t="shared" si="8"/>
        <v>0</v>
      </c>
      <c r="W15" s="117">
        <f t="shared" si="4"/>
        <v>0</v>
      </c>
      <c r="X15" s="117">
        <f t="shared" si="5"/>
        <v>0</v>
      </c>
      <c r="Y15" s="117" t="e">
        <f t="shared" si="9"/>
        <v>#DIV/0!</v>
      </c>
      <c r="Z15" s="117" t="e">
        <f>ABS(0.4*0.85*Main!$G$546*'Pile Data'!X15+Main!$G$545*'Pile Data'!R15-Main!$G$545*('Pile Data'!T15+'Pile Data'!V15))</f>
        <v>#DIV/0!</v>
      </c>
      <c r="AA15" s="117" t="e">
        <f>(0.4*0.85*Main!$G$546*'Pile Data'!X15*Y15+Main!$G$545*('Pile Data'!R15*S15+'Pile Data'!T15*U15+'Pile Data'!V15*W15))</f>
        <v>#DIV/0!</v>
      </c>
      <c r="AB15" s="37"/>
    </row>
    <row r="16" spans="1:28">
      <c r="A16" t="s">
        <v>935</v>
      </c>
      <c r="B16" t="s">
        <v>935</v>
      </c>
      <c r="C16" s="4">
        <v>20.513850000000001</v>
      </c>
      <c r="D16" s="3">
        <v>13.705</v>
      </c>
      <c r="E16" s="97">
        <v>0.49</v>
      </c>
      <c r="F16" s="97">
        <v>14.57</v>
      </c>
      <c r="G16" s="97">
        <v>0.49</v>
      </c>
      <c r="H16" s="561">
        <v>252.71902138875001</v>
      </c>
      <c r="I16" s="90">
        <v>34.690325516643803</v>
      </c>
      <c r="J16" s="4">
        <v>3.5099051285052036</v>
      </c>
      <c r="K16" s="90">
        <v>52.773618625000005</v>
      </c>
      <c r="L16" s="3"/>
      <c r="N16" s="2"/>
      <c r="O16" s="38">
        <f t="shared" si="10"/>
        <v>11</v>
      </c>
      <c r="P16" s="98">
        <f t="shared" si="6"/>
        <v>0.19198621771937624</v>
      </c>
      <c r="Q16" s="117">
        <f t="shared" si="0"/>
        <v>0</v>
      </c>
      <c r="R16" s="117" t="e">
        <f t="shared" si="1"/>
        <v>#DIV/0!</v>
      </c>
      <c r="S16" s="117" t="e">
        <f t="shared" si="2"/>
        <v>#DIV/0!</v>
      </c>
      <c r="T16" s="117" t="e">
        <f t="shared" si="7"/>
        <v>#DIV/0!</v>
      </c>
      <c r="U16" s="117" t="e">
        <f t="shared" si="3"/>
        <v>#DIV/0!</v>
      </c>
      <c r="V16" s="117">
        <f t="shared" si="8"/>
        <v>0</v>
      </c>
      <c r="W16" s="117">
        <f t="shared" si="4"/>
        <v>0</v>
      </c>
      <c r="X16" s="117">
        <f t="shared" si="5"/>
        <v>0</v>
      </c>
      <c r="Y16" s="117" t="e">
        <f t="shared" si="9"/>
        <v>#DIV/0!</v>
      </c>
      <c r="Z16" s="117" t="e">
        <f>ABS(0.4*0.85*Main!$G$546*'Pile Data'!X16+Main!$G$545*'Pile Data'!R16-Main!$G$545*('Pile Data'!T16+'Pile Data'!V16))</f>
        <v>#DIV/0!</v>
      </c>
      <c r="AA16" s="117" t="e">
        <f>(0.4*0.85*Main!$G$546*'Pile Data'!X16*Y16+Main!$G$545*('Pile Data'!R16*S16+'Pile Data'!T16*U16+'Pile Data'!V16*W16))</f>
        <v>#DIV/0!</v>
      </c>
      <c r="AB16" s="37"/>
    </row>
    <row r="17" spans="1:28">
      <c r="A17" t="s">
        <v>936</v>
      </c>
      <c r="B17" t="s">
        <v>936</v>
      </c>
      <c r="C17" s="4">
        <v>15.825100000000001</v>
      </c>
      <c r="D17" s="3">
        <v>13.484999999999999</v>
      </c>
      <c r="E17" s="97">
        <v>0.38</v>
      </c>
      <c r="F17" s="97">
        <v>14.46</v>
      </c>
      <c r="G17" s="97">
        <v>0.38</v>
      </c>
      <c r="H17" s="561">
        <v>191.54427446333335</v>
      </c>
      <c r="I17" s="90">
        <v>26.492984019824799</v>
      </c>
      <c r="J17" s="4">
        <v>3.4790554916671468</v>
      </c>
      <c r="K17" s="90">
        <v>40.186776500000008</v>
      </c>
      <c r="L17" s="3"/>
      <c r="N17" s="2"/>
      <c r="O17" s="38">
        <f t="shared" si="10"/>
        <v>12</v>
      </c>
      <c r="P17" s="98">
        <f t="shared" si="6"/>
        <v>0.20943951023931953</v>
      </c>
      <c r="Q17" s="117">
        <f t="shared" si="0"/>
        <v>0</v>
      </c>
      <c r="R17" s="117" t="e">
        <f t="shared" si="1"/>
        <v>#DIV/0!</v>
      </c>
      <c r="S17" s="117" t="e">
        <f t="shared" si="2"/>
        <v>#DIV/0!</v>
      </c>
      <c r="T17" s="117" t="e">
        <f t="shared" si="7"/>
        <v>#DIV/0!</v>
      </c>
      <c r="U17" s="117" t="e">
        <f t="shared" si="3"/>
        <v>#DIV/0!</v>
      </c>
      <c r="V17" s="117">
        <f t="shared" si="8"/>
        <v>0</v>
      </c>
      <c r="W17" s="117">
        <f t="shared" si="4"/>
        <v>0</v>
      </c>
      <c r="X17" s="117">
        <f t="shared" si="5"/>
        <v>0</v>
      </c>
      <c r="Y17" s="117" t="e">
        <f t="shared" si="9"/>
        <v>#DIV/0!</v>
      </c>
      <c r="Z17" s="117" t="e">
        <f>ABS(0.4*0.85*Main!$G$546*'Pile Data'!X17+Main!$G$545*'Pile Data'!R17-Main!$G$545*('Pile Data'!T17+'Pile Data'!V17))</f>
        <v>#DIV/0!</v>
      </c>
      <c r="AA17" s="117" t="e">
        <f>(0.4*0.85*Main!$G$546*'Pile Data'!X17*Y17+Main!$G$545*('Pile Data'!R17*S17+'Pile Data'!T17*U17+'Pile Data'!V17*W17))</f>
        <v>#DIV/0!</v>
      </c>
      <c r="AB17" s="37"/>
    </row>
    <row r="18" spans="1:28">
      <c r="A18" t="s">
        <v>937</v>
      </c>
      <c r="B18" t="s">
        <v>937</v>
      </c>
      <c r="C18" s="4">
        <v>19.810000000000002</v>
      </c>
      <c r="D18" s="3">
        <v>12.154999999999999</v>
      </c>
      <c r="E18" s="97">
        <v>0.56000000000000005</v>
      </c>
      <c r="F18" s="97">
        <v>12.17</v>
      </c>
      <c r="G18" s="97">
        <v>0.56000000000000005</v>
      </c>
      <c r="H18" s="561">
        <v>168.39345609333336</v>
      </c>
      <c r="I18" s="90">
        <v>27.673534279923288</v>
      </c>
      <c r="J18" s="4">
        <v>2.9155491523613697</v>
      </c>
      <c r="K18" s="90">
        <v>42.335636000000008</v>
      </c>
      <c r="L18" s="3"/>
      <c r="N18" s="2"/>
      <c r="O18" s="38">
        <f t="shared" si="10"/>
        <v>13</v>
      </c>
      <c r="P18" s="98">
        <f t="shared" si="6"/>
        <v>0.22689280275926285</v>
      </c>
      <c r="Q18" s="117">
        <f t="shared" si="0"/>
        <v>0</v>
      </c>
      <c r="R18" s="117" t="e">
        <f t="shared" si="1"/>
        <v>#DIV/0!</v>
      </c>
      <c r="S18" s="117" t="e">
        <f t="shared" si="2"/>
        <v>#DIV/0!</v>
      </c>
      <c r="T18" s="117" t="e">
        <f t="shared" si="7"/>
        <v>#DIV/0!</v>
      </c>
      <c r="U18" s="117" t="e">
        <f t="shared" si="3"/>
        <v>#DIV/0!</v>
      </c>
      <c r="V18" s="117">
        <f t="shared" si="8"/>
        <v>0</v>
      </c>
      <c r="W18" s="117">
        <f t="shared" si="4"/>
        <v>0</v>
      </c>
      <c r="X18" s="117">
        <f t="shared" si="5"/>
        <v>0</v>
      </c>
      <c r="Y18" s="117" t="e">
        <f t="shared" si="9"/>
        <v>#DIV/0!</v>
      </c>
      <c r="Z18" s="117" t="e">
        <f>ABS(0.4*0.85*Main!$G$546*'Pile Data'!X18+Main!$G$545*'Pile Data'!R18-Main!$G$545*('Pile Data'!T18+'Pile Data'!V18))</f>
        <v>#DIV/0!</v>
      </c>
      <c r="AA18" s="117" t="e">
        <f>(0.4*0.85*Main!$G$546*'Pile Data'!X18*Y18+Main!$G$545*('Pile Data'!R18*S18+'Pile Data'!T18*U18+'Pile Data'!V18*W18))</f>
        <v>#DIV/0!</v>
      </c>
      <c r="AB18" s="37"/>
    </row>
    <row r="19" spans="1:28">
      <c r="A19" t="s">
        <v>938</v>
      </c>
      <c r="B19" t="s">
        <v>938</v>
      </c>
      <c r="C19" s="4">
        <v>17.079274999999999</v>
      </c>
      <c r="D19" s="3">
        <v>12.005000000000001</v>
      </c>
      <c r="E19" s="97">
        <v>0.48499999999999999</v>
      </c>
      <c r="F19" s="97">
        <v>12.09</v>
      </c>
      <c r="G19" s="97">
        <v>0.48499999999999999</v>
      </c>
      <c r="H19" s="561">
        <v>142.95133978744792</v>
      </c>
      <c r="I19" s="90">
        <v>23.64786431554144</v>
      </c>
      <c r="J19" s="4">
        <v>2.8930730477311251</v>
      </c>
      <c r="K19" s="90">
        <v>36.09469121875</v>
      </c>
      <c r="L19" s="3"/>
      <c r="N19" s="2"/>
      <c r="O19" s="38">
        <f t="shared" si="10"/>
        <v>14</v>
      </c>
      <c r="P19" s="98">
        <f t="shared" si="6"/>
        <v>0.24434609527920614</v>
      </c>
      <c r="Q19" s="117">
        <f t="shared" si="0"/>
        <v>0</v>
      </c>
      <c r="R19" s="117" t="e">
        <f t="shared" si="1"/>
        <v>#DIV/0!</v>
      </c>
      <c r="S19" s="117" t="e">
        <f t="shared" si="2"/>
        <v>#DIV/0!</v>
      </c>
      <c r="T19" s="117" t="e">
        <f t="shared" si="7"/>
        <v>#DIV/0!</v>
      </c>
      <c r="U19" s="117" t="e">
        <f t="shared" si="3"/>
        <v>#DIV/0!</v>
      </c>
      <c r="V19" s="117">
        <f t="shared" si="8"/>
        <v>0</v>
      </c>
      <c r="W19" s="117">
        <f t="shared" si="4"/>
        <v>0</v>
      </c>
      <c r="X19" s="117">
        <f t="shared" si="5"/>
        <v>0</v>
      </c>
      <c r="Y19" s="117" t="e">
        <f t="shared" si="9"/>
        <v>#DIV/0!</v>
      </c>
      <c r="Z19" s="117" t="e">
        <f>ABS(0.4*0.85*Main!$G$546*'Pile Data'!X19+Main!$G$545*'Pile Data'!R19-Main!$G$545*('Pile Data'!T19+'Pile Data'!V19))</f>
        <v>#DIV/0!</v>
      </c>
      <c r="AA19" s="117" t="e">
        <f>(0.4*0.85*Main!$G$546*'Pile Data'!X19*Y19+Main!$G$545*('Pile Data'!R19*S19+'Pile Data'!T19*U19+'Pile Data'!V19*W19))</f>
        <v>#DIV/0!</v>
      </c>
      <c r="AB19" s="37"/>
    </row>
    <row r="20" spans="1:28">
      <c r="A20" t="s">
        <v>939</v>
      </c>
      <c r="B20" t="s">
        <v>939</v>
      </c>
      <c r="C20" s="4">
        <v>13.663650000000001</v>
      </c>
      <c r="D20" s="3">
        <v>11.815</v>
      </c>
      <c r="E20" s="97">
        <v>0.39</v>
      </c>
      <c r="F20" s="97">
        <v>12</v>
      </c>
      <c r="G20" s="97">
        <v>0.39</v>
      </c>
      <c r="H20" s="561">
        <v>112.37454876375001</v>
      </c>
      <c r="I20" s="90">
        <v>18.729091460624986</v>
      </c>
      <c r="J20" s="4">
        <v>2.8678115927773802</v>
      </c>
      <c r="K20" s="90">
        <v>28.499605875</v>
      </c>
      <c r="L20" s="3"/>
      <c r="N20" s="2"/>
      <c r="O20" s="38">
        <f t="shared" si="10"/>
        <v>15</v>
      </c>
      <c r="P20" s="98">
        <f t="shared" si="6"/>
        <v>0.26179938779914941</v>
      </c>
      <c r="Q20" s="117">
        <f t="shared" si="0"/>
        <v>0</v>
      </c>
      <c r="R20" s="117" t="e">
        <f t="shared" si="1"/>
        <v>#DIV/0!</v>
      </c>
      <c r="S20" s="117" t="e">
        <f t="shared" si="2"/>
        <v>#DIV/0!</v>
      </c>
      <c r="T20" s="117" t="e">
        <f t="shared" si="7"/>
        <v>#DIV/0!</v>
      </c>
      <c r="U20" s="117" t="e">
        <f t="shared" si="3"/>
        <v>#DIV/0!</v>
      </c>
      <c r="V20" s="117">
        <f t="shared" si="8"/>
        <v>0</v>
      </c>
      <c r="W20" s="117">
        <f t="shared" si="4"/>
        <v>0</v>
      </c>
      <c r="X20" s="117">
        <f t="shared" si="5"/>
        <v>0</v>
      </c>
      <c r="Y20" s="117" t="e">
        <f t="shared" si="9"/>
        <v>#DIV/0!</v>
      </c>
      <c r="Z20" s="117" t="e">
        <f>ABS(0.4*0.85*Main!$G$546*'Pile Data'!X20+Main!$G$545*'Pile Data'!R20-Main!$G$545*('Pile Data'!T20+'Pile Data'!V20))</f>
        <v>#DIV/0!</v>
      </c>
      <c r="AA20" s="117" t="e">
        <f>(0.4*0.85*Main!$G$546*'Pile Data'!X20*Y20+Main!$G$545*('Pile Data'!R20*S20+'Pile Data'!T20*U20+'Pile Data'!V20*W20))</f>
        <v>#DIV/0!</v>
      </c>
      <c r="AB20" s="37"/>
    </row>
    <row r="21" spans="1:28">
      <c r="A21" t="s">
        <v>940</v>
      </c>
      <c r="B21" t="s">
        <v>940</v>
      </c>
      <c r="C21" s="4">
        <v>10.811249999999999</v>
      </c>
      <c r="D21" s="3">
        <v>11.654999999999999</v>
      </c>
      <c r="E21" s="97">
        <v>0.31</v>
      </c>
      <c r="F21" s="97">
        <v>11.92</v>
      </c>
      <c r="G21" s="97">
        <v>0.31</v>
      </c>
      <c r="H21" s="90">
        <v>87.533672853749991</v>
      </c>
      <c r="I21" s="90">
        <v>14.686857861367432</v>
      </c>
      <c r="J21" s="4">
        <v>2.8454412341857105</v>
      </c>
      <c r="K21" s="90">
        <v>22.288507875000001</v>
      </c>
      <c r="L21" s="3"/>
      <c r="N21" s="2"/>
      <c r="O21" s="38">
        <f t="shared" si="10"/>
        <v>16</v>
      </c>
      <c r="P21" s="98">
        <f t="shared" si="6"/>
        <v>0.27925268031909273</v>
      </c>
      <c r="Q21" s="117">
        <f t="shared" si="0"/>
        <v>0</v>
      </c>
      <c r="R21" s="117" t="e">
        <f t="shared" si="1"/>
        <v>#DIV/0!</v>
      </c>
      <c r="S21" s="117" t="e">
        <f t="shared" si="2"/>
        <v>#DIV/0!</v>
      </c>
      <c r="T21" s="117" t="e">
        <f t="shared" si="7"/>
        <v>#DIV/0!</v>
      </c>
      <c r="U21" s="117" t="e">
        <f t="shared" si="3"/>
        <v>#DIV/0!</v>
      </c>
      <c r="V21" s="117">
        <f t="shared" si="8"/>
        <v>0</v>
      </c>
      <c r="W21" s="117">
        <f t="shared" si="4"/>
        <v>0</v>
      </c>
      <c r="X21" s="117">
        <f t="shared" si="5"/>
        <v>0</v>
      </c>
      <c r="Y21" s="117" t="e">
        <f t="shared" si="9"/>
        <v>#DIV/0!</v>
      </c>
      <c r="Z21" s="117" t="e">
        <f>ABS(0.4*0.85*Main!$G$546*'Pile Data'!X21+Main!$G$545*'Pile Data'!R21-Main!$G$545*('Pile Data'!T21+'Pile Data'!V21))</f>
        <v>#DIV/0!</v>
      </c>
      <c r="AA21" s="117" t="e">
        <f>(0.4*0.85*Main!$G$546*'Pile Data'!X21*Y21+Main!$G$545*('Pile Data'!R21*S21+'Pile Data'!T21*U21+'Pile Data'!V21*W21))</f>
        <v>#DIV/0!</v>
      </c>
      <c r="AB21" s="37"/>
    </row>
    <row r="22" spans="1:28">
      <c r="A22" t="s">
        <v>941</v>
      </c>
      <c r="B22" t="s">
        <v>941</v>
      </c>
      <c r="C22" s="4">
        <v>12.841399999999997</v>
      </c>
      <c r="D22" s="3">
        <v>9.8650000000000002</v>
      </c>
      <c r="E22" s="97">
        <v>0.43999999999999995</v>
      </c>
      <c r="F22" s="97">
        <v>10.1</v>
      </c>
      <c r="G22" s="97">
        <v>0.43999999999999995</v>
      </c>
      <c r="H22" s="90">
        <v>75.619188186666662</v>
      </c>
      <c r="I22" s="90">
        <v>14.974096670627075</v>
      </c>
      <c r="J22" s="4">
        <v>2.4266649550260957</v>
      </c>
      <c r="K22" s="90">
        <v>22.877073999999997</v>
      </c>
      <c r="L22" s="3"/>
      <c r="N22" s="2"/>
      <c r="O22" s="38">
        <f t="shared" si="10"/>
        <v>17</v>
      </c>
      <c r="P22" s="98">
        <f t="shared" si="6"/>
        <v>0.29670597283903605</v>
      </c>
      <c r="Q22" s="117">
        <f t="shared" si="0"/>
        <v>0</v>
      </c>
      <c r="R22" s="117" t="e">
        <f t="shared" si="1"/>
        <v>#DIV/0!</v>
      </c>
      <c r="S22" s="117" t="e">
        <f t="shared" si="2"/>
        <v>#DIV/0!</v>
      </c>
      <c r="T22" s="117" t="e">
        <f t="shared" si="7"/>
        <v>#DIV/0!</v>
      </c>
      <c r="U22" s="117" t="e">
        <f t="shared" si="3"/>
        <v>#DIV/0!</v>
      </c>
      <c r="V22" s="117">
        <f t="shared" si="8"/>
        <v>0</v>
      </c>
      <c r="W22" s="117">
        <f t="shared" si="4"/>
        <v>0</v>
      </c>
      <c r="X22" s="117">
        <f t="shared" si="5"/>
        <v>0</v>
      </c>
      <c r="Y22" s="117" t="e">
        <f t="shared" si="9"/>
        <v>#DIV/0!</v>
      </c>
      <c r="Z22" s="117" t="e">
        <f>ABS(0.4*0.85*Main!$G$546*'Pile Data'!X22+Main!$G$545*'Pile Data'!R22-Main!$G$545*('Pile Data'!T22+'Pile Data'!V22))</f>
        <v>#DIV/0!</v>
      </c>
      <c r="AA22" s="117" t="e">
        <f>(0.4*0.85*Main!$G$546*'Pile Data'!X22*Y22+Main!$G$545*('Pile Data'!R22*S22+'Pile Data'!T22*U22+'Pile Data'!V22*W22))</f>
        <v>#DIV/0!</v>
      </c>
      <c r="AB22" s="37"/>
    </row>
    <row r="23" spans="1:28">
      <c r="A23" t="s">
        <v>942</v>
      </c>
      <c r="B23" t="s">
        <v>942</v>
      </c>
      <c r="C23" s="4">
        <v>8.5210749999999997</v>
      </c>
      <c r="D23" s="3">
        <v>9.5749999999999993</v>
      </c>
      <c r="E23" s="97">
        <v>0.29499999999999998</v>
      </c>
      <c r="F23" s="97">
        <v>9.9499999999999993</v>
      </c>
      <c r="G23" s="97">
        <v>0.29499999999999998</v>
      </c>
      <c r="H23" s="90">
        <v>48.452070211614569</v>
      </c>
      <c r="I23" s="90">
        <v>9.7391095902742837</v>
      </c>
      <c r="J23" s="4">
        <v>2.3845639557069882</v>
      </c>
      <c r="K23" s="90">
        <v>14.798348656249997</v>
      </c>
      <c r="L23" s="3"/>
      <c r="N23" s="2"/>
      <c r="O23" s="38">
        <f t="shared" si="10"/>
        <v>18</v>
      </c>
      <c r="P23" s="98">
        <f t="shared" si="6"/>
        <v>0.31415926535897931</v>
      </c>
      <c r="Q23" s="117">
        <f t="shared" si="0"/>
        <v>0</v>
      </c>
      <c r="R23" s="117" t="e">
        <f t="shared" si="1"/>
        <v>#DIV/0!</v>
      </c>
      <c r="S23" s="117" t="e">
        <f t="shared" si="2"/>
        <v>#DIV/0!</v>
      </c>
      <c r="T23" s="117" t="e">
        <f t="shared" si="7"/>
        <v>#DIV/0!</v>
      </c>
      <c r="U23" s="117" t="e">
        <f t="shared" si="3"/>
        <v>#DIV/0!</v>
      </c>
      <c r="V23" s="117">
        <f t="shared" si="8"/>
        <v>0</v>
      </c>
      <c r="W23" s="117">
        <f t="shared" si="4"/>
        <v>0</v>
      </c>
      <c r="X23" s="117">
        <f t="shared" si="5"/>
        <v>0</v>
      </c>
      <c r="Y23" s="117" t="e">
        <f t="shared" si="9"/>
        <v>#DIV/0!</v>
      </c>
      <c r="Z23" s="117" t="e">
        <f>ABS(0.4*0.85*Main!$G$546*'Pile Data'!X23+Main!$G$545*'Pile Data'!R23-Main!$G$545*('Pile Data'!T23+'Pile Data'!V23))</f>
        <v>#DIV/0!</v>
      </c>
      <c r="AA23" s="117" t="e">
        <f>(0.4*0.85*Main!$G$546*'Pile Data'!X23*Y23+Main!$G$545*('Pile Data'!R23*S23+'Pile Data'!T23*U23+'Pile Data'!V23*W23))</f>
        <v>#DIV/0!</v>
      </c>
      <c r="AB23" s="37"/>
    </row>
    <row r="24" spans="1:28">
      <c r="A24" t="s">
        <v>943</v>
      </c>
      <c r="B24" t="s">
        <v>943</v>
      </c>
      <c r="C24" s="3"/>
      <c r="D24" s="3"/>
      <c r="E24" s="3"/>
      <c r="F24" s="3"/>
      <c r="G24" s="3"/>
      <c r="H24" s="3"/>
      <c r="I24" s="3"/>
      <c r="J24" s="3"/>
      <c r="K24" s="3"/>
      <c r="L24" s="3"/>
      <c r="N24" s="2"/>
      <c r="O24" s="38">
        <f t="shared" si="10"/>
        <v>19</v>
      </c>
      <c r="P24" s="98">
        <f t="shared" si="6"/>
        <v>0.33161255787892258</v>
      </c>
      <c r="Q24" s="117">
        <f t="shared" si="0"/>
        <v>0</v>
      </c>
      <c r="R24" s="117" t="e">
        <f t="shared" si="1"/>
        <v>#DIV/0!</v>
      </c>
      <c r="S24" s="117" t="e">
        <f t="shared" si="2"/>
        <v>#DIV/0!</v>
      </c>
      <c r="T24" s="117" t="e">
        <f t="shared" si="7"/>
        <v>#DIV/0!</v>
      </c>
      <c r="U24" s="117" t="e">
        <f t="shared" si="3"/>
        <v>#DIV/0!</v>
      </c>
      <c r="V24" s="117">
        <f t="shared" si="8"/>
        <v>0</v>
      </c>
      <c r="W24" s="117">
        <f t="shared" si="4"/>
        <v>0</v>
      </c>
      <c r="X24" s="117">
        <f t="shared" si="5"/>
        <v>0</v>
      </c>
      <c r="Y24" s="117" t="e">
        <f t="shared" si="9"/>
        <v>#DIV/0!</v>
      </c>
      <c r="Z24" s="117" t="e">
        <f>ABS(0.4*0.85*Main!$G$546*'Pile Data'!X24+Main!$G$545*'Pile Data'!R24-Main!$G$545*('Pile Data'!T24+'Pile Data'!V24))</f>
        <v>#DIV/0!</v>
      </c>
      <c r="AA24" s="117" t="e">
        <f>(0.4*0.85*Main!$G$546*'Pile Data'!X24*Y24+Main!$G$545*('Pile Data'!R24*S24+'Pile Data'!T24*U24+'Pile Data'!V24*W24))</f>
        <v>#DIV/0!</v>
      </c>
      <c r="AB24" s="37"/>
    </row>
    <row r="25" spans="1:28">
      <c r="A25" s="14" t="s">
        <v>136</v>
      </c>
      <c r="B25" t="str">
        <f>+FIXED(F25,1,TRUE)&amp;" inch diameter pipe pile"</f>
        <v>0.0 inch diameter pipe pile</v>
      </c>
      <c r="C25" s="97" t="e">
        <f>+J26</f>
        <v>#DIV/0!</v>
      </c>
      <c r="D25" s="97">
        <f>+Main!G547</f>
        <v>0</v>
      </c>
      <c r="E25" s="97">
        <f>+Main!G548</f>
        <v>0</v>
      </c>
      <c r="F25" s="119">
        <f>+D25</f>
        <v>0</v>
      </c>
      <c r="G25" s="119">
        <f>+E25</f>
        <v>0</v>
      </c>
      <c r="H25" s="97" t="e">
        <f>PI()*(((D25-E25)/2)^3*E25+0.1*(D25/2-E25)^4/n)</f>
        <v>#DIV/0!</v>
      </c>
      <c r="I25" s="97" t="e">
        <f>+H25/(D25/2)</f>
        <v>#DIV/0!</v>
      </c>
      <c r="J25" s="97" t="e">
        <f>+(H25/C25)^0.5</f>
        <v>#DIV/0!</v>
      </c>
      <c r="K25" s="97">
        <f>(D25-E25)^2*E25</f>
        <v>0</v>
      </c>
      <c r="N25" s="2"/>
      <c r="O25" s="38">
        <f t="shared" si="10"/>
        <v>20</v>
      </c>
      <c r="P25" s="98">
        <f t="shared" si="6"/>
        <v>0.3490658503988659</v>
      </c>
      <c r="Q25" s="117">
        <f t="shared" si="0"/>
        <v>0</v>
      </c>
      <c r="R25" s="117" t="e">
        <f t="shared" si="1"/>
        <v>#DIV/0!</v>
      </c>
      <c r="S25" s="117" t="e">
        <f t="shared" si="2"/>
        <v>#DIV/0!</v>
      </c>
      <c r="T25" s="117" t="e">
        <f t="shared" si="7"/>
        <v>#DIV/0!</v>
      </c>
      <c r="U25" s="117" t="e">
        <f t="shared" si="3"/>
        <v>#DIV/0!</v>
      </c>
      <c r="V25" s="117">
        <f t="shared" si="8"/>
        <v>0</v>
      </c>
      <c r="W25" s="117">
        <f t="shared" si="4"/>
        <v>0</v>
      </c>
      <c r="X25" s="117">
        <f t="shared" si="5"/>
        <v>0</v>
      </c>
      <c r="Y25" s="117" t="e">
        <f t="shared" si="9"/>
        <v>#DIV/0!</v>
      </c>
      <c r="Z25" s="117" t="e">
        <f>ABS(0.4*0.85*Main!$G$546*'Pile Data'!X25+Main!$G$545*'Pile Data'!R25-Main!$G$545*('Pile Data'!T25+'Pile Data'!V25))</f>
        <v>#DIV/0!</v>
      </c>
      <c r="AA25" s="117" t="e">
        <f>(0.4*0.85*Main!$G$546*'Pile Data'!X25*Y25+Main!$G$545*('Pile Data'!R25*S25+'Pile Data'!T25*U25+'Pile Data'!V25*W25))</f>
        <v>#DIV/0!</v>
      </c>
      <c r="AB25" s="37"/>
    </row>
    <row r="26" spans="1:28" ht="15">
      <c r="B26" s="3" t="e">
        <f>ROUND(29000/1820/Main!G546^0.5,0)</f>
        <v>#DIV/0!</v>
      </c>
      <c r="C26" s="1" t="s">
        <v>563</v>
      </c>
      <c r="D26" s="8">
        <f>+PI()*(D25^2/4-(D25-2*E25)^2/4)</f>
        <v>0</v>
      </c>
      <c r="E26" s="7" t="s">
        <v>510</v>
      </c>
      <c r="F26" s="1" t="s">
        <v>475</v>
      </c>
      <c r="G26" s="8">
        <f>PI()*(D25/2-E25)^2</f>
        <v>0</v>
      </c>
      <c r="H26" s="7" t="s">
        <v>510</v>
      </c>
      <c r="I26" s="6" t="s">
        <v>476</v>
      </c>
      <c r="J26" s="8" t="e">
        <f>+As+0.4*Ac/n</f>
        <v>#DIV/0!</v>
      </c>
      <c r="K26" s="7" t="s">
        <v>510</v>
      </c>
      <c r="N26" s="2"/>
      <c r="O26" s="38">
        <f t="shared" si="10"/>
        <v>21</v>
      </c>
      <c r="P26" s="98">
        <f t="shared" si="6"/>
        <v>0.36651914291880922</v>
      </c>
      <c r="Q26" s="117">
        <f t="shared" si="0"/>
        <v>0</v>
      </c>
      <c r="R26" s="117" t="e">
        <f t="shared" si="1"/>
        <v>#DIV/0!</v>
      </c>
      <c r="S26" s="117" t="e">
        <f t="shared" si="2"/>
        <v>#DIV/0!</v>
      </c>
      <c r="T26" s="117" t="e">
        <f t="shared" si="7"/>
        <v>#DIV/0!</v>
      </c>
      <c r="U26" s="117" t="e">
        <f t="shared" si="3"/>
        <v>#DIV/0!</v>
      </c>
      <c r="V26" s="117">
        <f t="shared" si="8"/>
        <v>0</v>
      </c>
      <c r="W26" s="117">
        <f t="shared" si="4"/>
        <v>0</v>
      </c>
      <c r="X26" s="117">
        <f t="shared" si="5"/>
        <v>0</v>
      </c>
      <c r="Y26" s="117" t="e">
        <f t="shared" si="9"/>
        <v>#DIV/0!</v>
      </c>
      <c r="Z26" s="117" t="e">
        <f>ABS(0.4*0.85*Main!$G$546*'Pile Data'!X26+Main!$G$545*'Pile Data'!R26-Main!$G$545*('Pile Data'!T26+'Pile Data'!V26))</f>
        <v>#DIV/0!</v>
      </c>
      <c r="AA26" s="117" t="e">
        <f>(0.4*0.85*Main!$G$546*'Pile Data'!X26*Y26+Main!$G$545*('Pile Data'!R26*S26+'Pile Data'!T26*U26+'Pile Data'!V26*W26))</f>
        <v>#DIV/0!</v>
      </c>
      <c r="AB26" s="37"/>
    </row>
    <row r="27" spans="1:28">
      <c r="B27" t="s">
        <v>146</v>
      </c>
      <c r="N27" s="2"/>
      <c r="O27" s="38">
        <f t="shared" si="10"/>
        <v>22</v>
      </c>
      <c r="P27" s="98">
        <f t="shared" si="6"/>
        <v>0.38397243543875248</v>
      </c>
      <c r="Q27" s="117">
        <f t="shared" si="0"/>
        <v>0</v>
      </c>
      <c r="R27" s="117" t="e">
        <f t="shared" si="1"/>
        <v>#DIV/0!</v>
      </c>
      <c r="S27" s="117" t="e">
        <f t="shared" si="2"/>
        <v>#DIV/0!</v>
      </c>
      <c r="T27" s="117" t="e">
        <f t="shared" si="7"/>
        <v>#DIV/0!</v>
      </c>
      <c r="U27" s="117" t="e">
        <f t="shared" si="3"/>
        <v>#DIV/0!</v>
      </c>
      <c r="V27" s="117">
        <f t="shared" si="8"/>
        <v>0</v>
      </c>
      <c r="W27" s="117">
        <f t="shared" si="4"/>
        <v>0</v>
      </c>
      <c r="X27" s="117">
        <f t="shared" si="5"/>
        <v>0</v>
      </c>
      <c r="Y27" s="117" t="e">
        <f t="shared" si="9"/>
        <v>#DIV/0!</v>
      </c>
      <c r="Z27" s="117" t="e">
        <f>ABS(0.4*0.85*Main!$G$546*'Pile Data'!X27+Main!$G$545*'Pile Data'!R27-Main!$G$545*('Pile Data'!T27+'Pile Data'!V27))</f>
        <v>#DIV/0!</v>
      </c>
      <c r="AA27" s="117" t="e">
        <f>(0.4*0.85*Main!$G$546*'Pile Data'!X27*Y27+Main!$G$545*('Pile Data'!R27*S27+'Pile Data'!T27*U27+'Pile Data'!V27*W27))</f>
        <v>#DIV/0!</v>
      </c>
      <c r="AB27" s="37"/>
    </row>
    <row r="28" spans="1:28">
      <c r="A28" s="85" t="e">
        <f>VLOOKUP(piledesig,piledata,1,FALSE)</f>
        <v>#N/A</v>
      </c>
      <c r="B28" t="e">
        <f>VLOOKUP(piledesig,piledata,2,FALSE)</f>
        <v>#N/A</v>
      </c>
      <c r="C28" s="90" t="e">
        <f>VLOOKUP(piledesig,piledata,3,FALSE)</f>
        <v>#N/A</v>
      </c>
      <c r="D28" s="90" t="e">
        <f>VLOOKUP(piledesig,piledata,4,FALSE)</f>
        <v>#N/A</v>
      </c>
      <c r="E28" s="3" t="e">
        <f>VLOOKUP(piledesig,piledata,5,FALSE)</f>
        <v>#N/A</v>
      </c>
      <c r="F28" s="3" t="e">
        <f>VLOOKUP(piledesig,piledata,6,FALSE)</f>
        <v>#N/A</v>
      </c>
      <c r="G28" s="3" t="e">
        <f>VLOOKUP(piledesig,piledata,7,FALSE)</f>
        <v>#N/A</v>
      </c>
      <c r="H28" s="3" t="e">
        <f>VLOOKUP(piledesig,piledata,8,FALSE)</f>
        <v>#N/A</v>
      </c>
      <c r="I28" s="90" t="e">
        <f>VLOOKUP(piledesig,piledata,9,FALSE)</f>
        <v>#N/A</v>
      </c>
      <c r="J28" s="4" t="e">
        <f>VLOOKUP(piledesig,piledata,10,FALSE)</f>
        <v>#N/A</v>
      </c>
      <c r="K28" s="3" t="e">
        <f>VLOOKUP(piledesig,piledata,11,FALSE)</f>
        <v>#N/A</v>
      </c>
      <c r="N28" s="2"/>
      <c r="O28" s="38">
        <f t="shared" si="10"/>
        <v>23</v>
      </c>
      <c r="P28" s="98">
        <f t="shared" si="6"/>
        <v>0.40142572795869574</v>
      </c>
      <c r="Q28" s="117">
        <f t="shared" si="0"/>
        <v>0</v>
      </c>
      <c r="R28" s="117" t="e">
        <f t="shared" si="1"/>
        <v>#DIV/0!</v>
      </c>
      <c r="S28" s="117" t="e">
        <f t="shared" si="2"/>
        <v>#DIV/0!</v>
      </c>
      <c r="T28" s="117" t="e">
        <f t="shared" si="7"/>
        <v>#DIV/0!</v>
      </c>
      <c r="U28" s="117" t="e">
        <f t="shared" si="3"/>
        <v>#DIV/0!</v>
      </c>
      <c r="V28" s="117">
        <f t="shared" si="8"/>
        <v>0</v>
      </c>
      <c r="W28" s="117">
        <f t="shared" si="4"/>
        <v>0</v>
      </c>
      <c r="X28" s="117">
        <f t="shared" si="5"/>
        <v>0</v>
      </c>
      <c r="Y28" s="117" t="e">
        <f t="shared" si="9"/>
        <v>#DIV/0!</v>
      </c>
      <c r="Z28" s="117" t="e">
        <f>ABS(0.4*0.85*Main!$G$546*'Pile Data'!X28+Main!$G$545*'Pile Data'!R28-Main!$G$545*('Pile Data'!T28+'Pile Data'!V28))</f>
        <v>#DIV/0!</v>
      </c>
      <c r="AA28" s="117" t="e">
        <f>(0.4*0.85*Main!$G$546*'Pile Data'!X28*Y28+Main!$G$545*('Pile Data'!R28*S28+'Pile Data'!T28*U28+'Pile Data'!V28*W28))</f>
        <v>#DIV/0!</v>
      </c>
      <c r="AB28" s="37"/>
    </row>
    <row r="29" spans="1:28">
      <c r="A29" s="85" t="s">
        <v>99</v>
      </c>
      <c r="N29" s="2"/>
      <c r="O29" s="38">
        <f t="shared" si="10"/>
        <v>24</v>
      </c>
      <c r="P29" s="98">
        <f t="shared" si="6"/>
        <v>0.41887902047863906</v>
      </c>
      <c r="Q29" s="117">
        <f t="shared" si="0"/>
        <v>0</v>
      </c>
      <c r="R29" s="117" t="e">
        <f t="shared" si="1"/>
        <v>#DIV/0!</v>
      </c>
      <c r="S29" s="117" t="e">
        <f t="shared" si="2"/>
        <v>#DIV/0!</v>
      </c>
      <c r="T29" s="117" t="e">
        <f t="shared" si="7"/>
        <v>#DIV/0!</v>
      </c>
      <c r="U29" s="117" t="e">
        <f t="shared" si="3"/>
        <v>#DIV/0!</v>
      </c>
      <c r="V29" s="117">
        <f t="shared" si="8"/>
        <v>0</v>
      </c>
      <c r="W29" s="117">
        <f t="shared" si="4"/>
        <v>0</v>
      </c>
      <c r="X29" s="117">
        <f t="shared" si="5"/>
        <v>0</v>
      </c>
      <c r="Y29" s="117" t="e">
        <f t="shared" si="9"/>
        <v>#DIV/0!</v>
      </c>
      <c r="Z29" s="117" t="e">
        <f>ABS(0.4*0.85*Main!$G$546*'Pile Data'!X29+Main!$G$545*'Pile Data'!R29-Main!$G$545*('Pile Data'!T29+'Pile Data'!V29))</f>
        <v>#DIV/0!</v>
      </c>
      <c r="AA29" s="117" t="e">
        <f>(0.4*0.85*Main!$G$546*'Pile Data'!X29*Y29+Main!$G$545*('Pile Data'!R29*S29+'Pile Data'!T29*U29+'Pile Data'!V29*W29))</f>
        <v>#DIV/0!</v>
      </c>
      <c r="AB29" s="37"/>
    </row>
    <row r="30" spans="1:28">
      <c r="A30" s="85" t="s">
        <v>100</v>
      </c>
      <c r="B30" s="99" t="s">
        <v>566</v>
      </c>
      <c r="N30" s="2"/>
      <c r="O30" s="38">
        <f t="shared" si="10"/>
        <v>25</v>
      </c>
      <c r="P30" s="98">
        <f t="shared" si="6"/>
        <v>0.43633231299858238</v>
      </c>
      <c r="Q30" s="117">
        <f t="shared" si="0"/>
        <v>0</v>
      </c>
      <c r="R30" s="117" t="e">
        <f t="shared" si="1"/>
        <v>#DIV/0!</v>
      </c>
      <c r="S30" s="117" t="e">
        <f t="shared" si="2"/>
        <v>#DIV/0!</v>
      </c>
      <c r="T30" s="117" t="e">
        <f t="shared" si="7"/>
        <v>#DIV/0!</v>
      </c>
      <c r="U30" s="117" t="e">
        <f t="shared" si="3"/>
        <v>#DIV/0!</v>
      </c>
      <c r="V30" s="117">
        <f t="shared" si="8"/>
        <v>0</v>
      </c>
      <c r="W30" s="117">
        <f t="shared" si="4"/>
        <v>0</v>
      </c>
      <c r="X30" s="117">
        <f t="shared" si="5"/>
        <v>0</v>
      </c>
      <c r="Y30" s="117" t="e">
        <f t="shared" si="9"/>
        <v>#DIV/0!</v>
      </c>
      <c r="Z30" s="117" t="e">
        <f>ABS(0.4*0.85*Main!$G$546*'Pile Data'!X30+Main!$G$545*'Pile Data'!R30-Main!$G$545*('Pile Data'!T30+'Pile Data'!V30))</f>
        <v>#DIV/0!</v>
      </c>
      <c r="AA30" s="117" t="e">
        <f>(0.4*0.85*Main!$G$546*'Pile Data'!X30*Y30+Main!$G$545*('Pile Data'!R30*S30+'Pile Data'!T30*U30+'Pile Data'!V30*W30))</f>
        <v>#DIV/0!</v>
      </c>
      <c r="AB30" s="37"/>
    </row>
    <row r="31" spans="1:28">
      <c r="A31" s="85" t="s">
        <v>511</v>
      </c>
      <c r="B31" s="100"/>
      <c r="N31" s="2"/>
      <c r="O31" s="38">
        <f t="shared" si="10"/>
        <v>26</v>
      </c>
      <c r="P31" s="98">
        <f t="shared" si="6"/>
        <v>0.4537856055185257</v>
      </c>
      <c r="Q31" s="117">
        <f t="shared" si="0"/>
        <v>0</v>
      </c>
      <c r="R31" s="117" t="e">
        <f t="shared" si="1"/>
        <v>#DIV/0!</v>
      </c>
      <c r="S31" s="117" t="e">
        <f t="shared" si="2"/>
        <v>#DIV/0!</v>
      </c>
      <c r="T31" s="117" t="e">
        <f t="shared" si="7"/>
        <v>#DIV/0!</v>
      </c>
      <c r="U31" s="117" t="e">
        <f t="shared" si="3"/>
        <v>#DIV/0!</v>
      </c>
      <c r="V31" s="117">
        <f t="shared" si="8"/>
        <v>0</v>
      </c>
      <c r="W31" s="117">
        <f t="shared" si="4"/>
        <v>0</v>
      </c>
      <c r="X31" s="117">
        <f t="shared" si="5"/>
        <v>0</v>
      </c>
      <c r="Y31" s="117" t="e">
        <f t="shared" si="9"/>
        <v>#DIV/0!</v>
      </c>
      <c r="Z31" s="117" t="e">
        <f>ABS(0.4*0.85*Main!$G$546*'Pile Data'!X31+Main!$G$545*'Pile Data'!R31-Main!$G$545*('Pile Data'!T31+'Pile Data'!V31))</f>
        <v>#DIV/0!</v>
      </c>
      <c r="AA31" s="117" t="e">
        <f>(0.4*0.85*Main!$G$546*'Pile Data'!X31*Y31+Main!$G$545*('Pile Data'!R31*S31+'Pile Data'!T31*U31+'Pile Data'!V31*W31))</f>
        <v>#DIV/0!</v>
      </c>
      <c r="AB31" s="37"/>
    </row>
    <row r="32" spans="1:28">
      <c r="A32" s="85" t="s">
        <v>101</v>
      </c>
      <c r="B32" s="99" t="s">
        <v>540</v>
      </c>
      <c r="N32" s="2"/>
      <c r="O32" s="38">
        <f t="shared" si="10"/>
        <v>27</v>
      </c>
      <c r="P32" s="98">
        <f t="shared" si="6"/>
        <v>0.47123889803846897</v>
      </c>
      <c r="Q32" s="117">
        <f t="shared" si="0"/>
        <v>0</v>
      </c>
      <c r="R32" s="117" t="e">
        <f t="shared" si="1"/>
        <v>#DIV/0!</v>
      </c>
      <c r="S32" s="117" t="e">
        <f t="shared" si="2"/>
        <v>#DIV/0!</v>
      </c>
      <c r="T32" s="117" t="e">
        <f t="shared" si="7"/>
        <v>#DIV/0!</v>
      </c>
      <c r="U32" s="117" t="e">
        <f t="shared" si="3"/>
        <v>#DIV/0!</v>
      </c>
      <c r="V32" s="117">
        <f t="shared" si="8"/>
        <v>0</v>
      </c>
      <c r="W32" s="117">
        <f t="shared" si="4"/>
        <v>0</v>
      </c>
      <c r="X32" s="117">
        <f t="shared" si="5"/>
        <v>0</v>
      </c>
      <c r="Y32" s="117" t="e">
        <f t="shared" si="9"/>
        <v>#DIV/0!</v>
      </c>
      <c r="Z32" s="117" t="e">
        <f>ABS(0.4*0.85*Main!$G$546*'Pile Data'!X32+Main!$G$545*'Pile Data'!R32-Main!$G$545*('Pile Data'!T32+'Pile Data'!V32))</f>
        <v>#DIV/0!</v>
      </c>
      <c r="AA32" s="117" t="e">
        <f>(0.4*0.85*Main!$G$546*'Pile Data'!X32*Y32+Main!$G$545*('Pile Data'!R32*S32+'Pile Data'!T32*U32+'Pile Data'!V32*W32))</f>
        <v>#DIV/0!</v>
      </c>
      <c r="AB32" s="37"/>
    </row>
    <row r="33" spans="1:28">
      <c r="A33" s="85" t="s">
        <v>102</v>
      </c>
      <c r="N33" s="2"/>
      <c r="O33" s="38">
        <f t="shared" si="10"/>
        <v>28</v>
      </c>
      <c r="P33" s="98">
        <f t="shared" si="6"/>
        <v>0.48869219055841229</v>
      </c>
      <c r="Q33" s="117">
        <f t="shared" si="0"/>
        <v>0</v>
      </c>
      <c r="R33" s="117" t="e">
        <f t="shared" si="1"/>
        <v>#DIV/0!</v>
      </c>
      <c r="S33" s="117" t="e">
        <f t="shared" si="2"/>
        <v>#DIV/0!</v>
      </c>
      <c r="T33" s="117" t="e">
        <f t="shared" si="7"/>
        <v>#DIV/0!</v>
      </c>
      <c r="U33" s="117" t="e">
        <f t="shared" si="3"/>
        <v>#DIV/0!</v>
      </c>
      <c r="V33" s="117">
        <f t="shared" si="8"/>
        <v>0</v>
      </c>
      <c r="W33" s="117">
        <f t="shared" si="4"/>
        <v>0</v>
      </c>
      <c r="X33" s="117">
        <f t="shared" si="5"/>
        <v>0</v>
      </c>
      <c r="Y33" s="117" t="e">
        <f t="shared" si="9"/>
        <v>#DIV/0!</v>
      </c>
      <c r="Z33" s="117" t="e">
        <f>ABS(0.4*0.85*Main!$G$546*'Pile Data'!X33+Main!$G$545*'Pile Data'!R33-Main!$G$545*('Pile Data'!T33+'Pile Data'!V33))</f>
        <v>#DIV/0!</v>
      </c>
      <c r="AA33" s="117" t="e">
        <f>(0.4*0.85*Main!$G$546*'Pile Data'!X33*Y33+Main!$G$545*('Pile Data'!R33*S33+'Pile Data'!T33*U33+'Pile Data'!V33*W33))</f>
        <v>#DIV/0!</v>
      </c>
      <c r="AB33" s="37"/>
    </row>
    <row r="34" spans="1:28">
      <c r="A34" s="85" t="s">
        <v>103</v>
      </c>
      <c r="N34" s="2"/>
      <c r="O34" s="38">
        <f t="shared" si="10"/>
        <v>29</v>
      </c>
      <c r="P34" s="98">
        <f t="shared" si="6"/>
        <v>0.50614548307835561</v>
      </c>
      <c r="Q34" s="117">
        <f t="shared" si="0"/>
        <v>0</v>
      </c>
      <c r="R34" s="117" t="e">
        <f t="shared" si="1"/>
        <v>#DIV/0!</v>
      </c>
      <c r="S34" s="117" t="e">
        <f t="shared" si="2"/>
        <v>#DIV/0!</v>
      </c>
      <c r="T34" s="117" t="e">
        <f t="shared" si="7"/>
        <v>#DIV/0!</v>
      </c>
      <c r="U34" s="117" t="e">
        <f t="shared" si="3"/>
        <v>#DIV/0!</v>
      </c>
      <c r="V34" s="117">
        <f t="shared" si="8"/>
        <v>0</v>
      </c>
      <c r="W34" s="117">
        <f t="shared" si="4"/>
        <v>0</v>
      </c>
      <c r="X34" s="117">
        <f t="shared" si="5"/>
        <v>0</v>
      </c>
      <c r="Y34" s="117" t="e">
        <f t="shared" si="9"/>
        <v>#DIV/0!</v>
      </c>
      <c r="Z34" s="117" t="e">
        <f>ABS(0.4*0.85*Main!$G$546*'Pile Data'!X34+Main!$G$545*'Pile Data'!R34-Main!$G$545*('Pile Data'!T34+'Pile Data'!V34))</f>
        <v>#DIV/0!</v>
      </c>
      <c r="AA34" s="117" t="e">
        <f>(0.4*0.85*Main!$G$546*'Pile Data'!X34*Y34+Main!$G$545*('Pile Data'!R34*S34+'Pile Data'!T34*U34+'Pile Data'!V34*W34))</f>
        <v>#DIV/0!</v>
      </c>
      <c r="AB34" s="37"/>
    </row>
    <row r="35" spans="1:28">
      <c r="A35" s="85" t="s">
        <v>104</v>
      </c>
      <c r="N35" s="2"/>
      <c r="O35" s="38">
        <f t="shared" si="10"/>
        <v>30</v>
      </c>
      <c r="P35" s="98">
        <f t="shared" si="6"/>
        <v>0.52359877559829882</v>
      </c>
      <c r="Q35" s="117">
        <f t="shared" si="0"/>
        <v>0</v>
      </c>
      <c r="R35" s="117" t="e">
        <f t="shared" si="1"/>
        <v>#DIV/0!</v>
      </c>
      <c r="S35" s="117" t="e">
        <f t="shared" si="2"/>
        <v>#DIV/0!</v>
      </c>
      <c r="T35" s="117" t="e">
        <f t="shared" si="7"/>
        <v>#DIV/0!</v>
      </c>
      <c r="U35" s="117" t="e">
        <f t="shared" si="3"/>
        <v>#DIV/0!</v>
      </c>
      <c r="V35" s="117">
        <f t="shared" si="8"/>
        <v>0</v>
      </c>
      <c r="W35" s="117">
        <f t="shared" si="4"/>
        <v>0</v>
      </c>
      <c r="X35" s="117">
        <f t="shared" si="5"/>
        <v>0</v>
      </c>
      <c r="Y35" s="117" t="e">
        <f t="shared" si="9"/>
        <v>#DIV/0!</v>
      </c>
      <c r="Z35" s="117" t="e">
        <f>ABS(0.4*0.85*Main!$G$546*'Pile Data'!X35+Main!$G$545*'Pile Data'!R35-Main!$G$545*('Pile Data'!T35+'Pile Data'!V35))</f>
        <v>#DIV/0!</v>
      </c>
      <c r="AA35" s="117" t="e">
        <f>(0.4*0.85*Main!$G$546*'Pile Data'!X35*Y35+Main!$G$545*('Pile Data'!R35*S35+'Pile Data'!T35*U35+'Pile Data'!V35*W35))</f>
        <v>#DIV/0!</v>
      </c>
      <c r="AB35" s="37"/>
    </row>
    <row r="36" spans="1:28">
      <c r="A36" s="85" t="s">
        <v>105</v>
      </c>
      <c r="B36" t="s">
        <v>568</v>
      </c>
      <c r="N36" s="2"/>
      <c r="O36" s="38">
        <f t="shared" si="10"/>
        <v>31</v>
      </c>
      <c r="P36" s="98">
        <f t="shared" si="6"/>
        <v>0.54105206811824214</v>
      </c>
      <c r="Q36" s="117">
        <f t="shared" si="0"/>
        <v>0</v>
      </c>
      <c r="R36" s="117" t="e">
        <f t="shared" si="1"/>
        <v>#DIV/0!</v>
      </c>
      <c r="S36" s="117" t="e">
        <f t="shared" si="2"/>
        <v>#DIV/0!</v>
      </c>
      <c r="T36" s="117" t="e">
        <f t="shared" si="7"/>
        <v>#DIV/0!</v>
      </c>
      <c r="U36" s="117" t="e">
        <f t="shared" si="3"/>
        <v>#DIV/0!</v>
      </c>
      <c r="V36" s="117">
        <f t="shared" si="8"/>
        <v>0</v>
      </c>
      <c r="W36" s="117">
        <f t="shared" si="4"/>
        <v>0</v>
      </c>
      <c r="X36" s="117">
        <f t="shared" si="5"/>
        <v>0</v>
      </c>
      <c r="Y36" s="117" t="e">
        <f t="shared" si="9"/>
        <v>#DIV/0!</v>
      </c>
      <c r="Z36" s="117" t="e">
        <f>ABS(0.4*0.85*Main!$G$546*'Pile Data'!X36+Main!$G$545*'Pile Data'!R36-Main!$G$545*('Pile Data'!T36+'Pile Data'!V36))</f>
        <v>#DIV/0!</v>
      </c>
      <c r="AA36" s="117" t="e">
        <f>(0.4*0.85*Main!$G$546*'Pile Data'!X36*Y36+Main!$G$545*('Pile Data'!R36*S36+'Pile Data'!T36*U36+'Pile Data'!V36*W36))</f>
        <v>#DIV/0!</v>
      </c>
      <c r="AB36" s="37"/>
    </row>
    <row r="37" spans="1:28">
      <c r="A37" s="85" t="s">
        <v>106</v>
      </c>
      <c r="N37" s="2"/>
      <c r="O37" s="38">
        <f t="shared" si="10"/>
        <v>32</v>
      </c>
      <c r="P37" s="98">
        <f t="shared" si="6"/>
        <v>0.55850536063818546</v>
      </c>
      <c r="Q37" s="117">
        <f t="shared" ref="Q37:Q68" si="11">COS(P37/2)*($D$25-2*$E$25)/2</f>
        <v>0</v>
      </c>
      <c r="R37" s="117" t="e">
        <f t="shared" ref="R37:R68" si="12">+(($D$25-$E$25)*ACOS(Q37*2/($D$25-$E$25)))*$E$25</f>
        <v>#DIV/0!</v>
      </c>
      <c r="S37" s="117" t="e">
        <f t="shared" ref="S37:S68" si="13">+(($D$25-$E$25)/2)*SIN(ACOS(2*Q37/($D$25-$E$25)))/(ACOS(2*Q37/($D$25-$E$25)))</f>
        <v>#DIV/0!</v>
      </c>
      <c r="T37" s="117" t="e">
        <f t="shared" si="7"/>
        <v>#DIV/0!</v>
      </c>
      <c r="U37" s="117" t="e">
        <f t="shared" si="3"/>
        <v>#DIV/0!</v>
      </c>
      <c r="V37" s="117">
        <f t="shared" si="8"/>
        <v>0</v>
      </c>
      <c r="W37" s="117">
        <f t="shared" ref="W37:W68" si="14">($D$25-$E$25)/PI()</f>
        <v>0</v>
      </c>
      <c r="X37" s="117">
        <f t="shared" ref="X37:X68" si="15">+($D$25/2-$E$25)^2*(P37-SIN(P37))/2</f>
        <v>0</v>
      </c>
      <c r="Y37" s="117" t="e">
        <f t="shared" si="9"/>
        <v>#DIV/0!</v>
      </c>
      <c r="Z37" s="117" t="e">
        <f>ABS(0.4*0.85*Main!$G$546*'Pile Data'!X37+Main!$G$545*'Pile Data'!R37-Main!$G$545*('Pile Data'!T37+'Pile Data'!V37))</f>
        <v>#DIV/0!</v>
      </c>
      <c r="AA37" s="117" t="e">
        <f>(0.4*0.85*Main!$G$546*'Pile Data'!X37*Y37+Main!$G$545*('Pile Data'!R37*S37+'Pile Data'!T37*U37+'Pile Data'!V37*W37))</f>
        <v>#DIV/0!</v>
      </c>
      <c r="AB37" s="37"/>
    </row>
    <row r="38" spans="1:28">
      <c r="A38" s="85" t="s">
        <v>107</v>
      </c>
      <c r="N38" s="2"/>
      <c r="O38" s="38">
        <f t="shared" si="10"/>
        <v>33</v>
      </c>
      <c r="P38" s="98">
        <f t="shared" si="6"/>
        <v>0.57595865315812877</v>
      </c>
      <c r="Q38" s="117">
        <f t="shared" si="11"/>
        <v>0</v>
      </c>
      <c r="R38" s="117" t="e">
        <f t="shared" si="12"/>
        <v>#DIV/0!</v>
      </c>
      <c r="S38" s="117" t="e">
        <f t="shared" si="13"/>
        <v>#DIV/0!</v>
      </c>
      <c r="T38" s="117" t="e">
        <f t="shared" si="7"/>
        <v>#DIV/0!</v>
      </c>
      <c r="U38" s="117" t="e">
        <f t="shared" si="3"/>
        <v>#DIV/0!</v>
      </c>
      <c r="V38" s="117">
        <f t="shared" si="8"/>
        <v>0</v>
      </c>
      <c r="W38" s="117">
        <f t="shared" si="14"/>
        <v>0</v>
      </c>
      <c r="X38" s="117">
        <f t="shared" si="15"/>
        <v>0</v>
      </c>
      <c r="Y38" s="117" t="e">
        <f t="shared" ref="Y38:Y69" si="16">2*($D$25/2-$E$25)^3*SIN(P38/2)^3/(3*X38)</f>
        <v>#DIV/0!</v>
      </c>
      <c r="Z38" s="117" t="e">
        <f>ABS(0.4*0.85*Main!$G$546*'Pile Data'!X38+Main!$G$545*'Pile Data'!R38-Main!$G$545*('Pile Data'!T38+'Pile Data'!V38))</f>
        <v>#DIV/0!</v>
      </c>
      <c r="AA38" s="117" t="e">
        <f>(0.4*0.85*Main!$G$546*'Pile Data'!X38*Y38+Main!$G$545*('Pile Data'!R38*S38+'Pile Data'!T38*U38+'Pile Data'!V38*W38))</f>
        <v>#DIV/0!</v>
      </c>
      <c r="AB38" s="37"/>
    </row>
    <row r="39" spans="1:28">
      <c r="A39" s="85" t="s">
        <v>108</v>
      </c>
      <c r="N39" s="2"/>
      <c r="O39" s="38">
        <f t="shared" si="10"/>
        <v>34</v>
      </c>
      <c r="P39" s="98">
        <f t="shared" si="6"/>
        <v>0.59341194567807209</v>
      </c>
      <c r="Q39" s="117">
        <f t="shared" si="11"/>
        <v>0</v>
      </c>
      <c r="R39" s="117" t="e">
        <f t="shared" si="12"/>
        <v>#DIV/0!</v>
      </c>
      <c r="S39" s="117" t="e">
        <f t="shared" si="13"/>
        <v>#DIV/0!</v>
      </c>
      <c r="T39" s="117" t="e">
        <f t="shared" si="7"/>
        <v>#DIV/0!</v>
      </c>
      <c r="U39" s="117" t="e">
        <f t="shared" si="3"/>
        <v>#DIV/0!</v>
      </c>
      <c r="V39" s="117">
        <f t="shared" si="8"/>
        <v>0</v>
      </c>
      <c r="W39" s="117">
        <f t="shared" si="14"/>
        <v>0</v>
      </c>
      <c r="X39" s="117">
        <f t="shared" si="15"/>
        <v>0</v>
      </c>
      <c r="Y39" s="117" t="e">
        <f t="shared" si="16"/>
        <v>#DIV/0!</v>
      </c>
      <c r="Z39" s="117" t="e">
        <f>ABS(0.4*0.85*Main!$G$546*'Pile Data'!X39+Main!$G$545*'Pile Data'!R39-Main!$G$545*('Pile Data'!T39+'Pile Data'!V39))</f>
        <v>#DIV/0!</v>
      </c>
      <c r="AA39" s="117" t="e">
        <f>(0.4*0.85*Main!$G$546*'Pile Data'!X39*Y39+Main!$G$545*('Pile Data'!R39*S39+'Pile Data'!T39*U39+'Pile Data'!V39*W39))</f>
        <v>#DIV/0!</v>
      </c>
      <c r="AB39" s="37"/>
    </row>
    <row r="40" spans="1:28">
      <c r="N40" s="2"/>
      <c r="O40" s="38">
        <f t="shared" si="10"/>
        <v>35</v>
      </c>
      <c r="P40" s="98">
        <f t="shared" si="6"/>
        <v>0.6108652381980153</v>
      </c>
      <c r="Q40" s="117">
        <f t="shared" si="11"/>
        <v>0</v>
      </c>
      <c r="R40" s="117" t="e">
        <f t="shared" si="12"/>
        <v>#DIV/0!</v>
      </c>
      <c r="S40" s="117" t="e">
        <f t="shared" si="13"/>
        <v>#DIV/0!</v>
      </c>
      <c r="T40" s="117" t="e">
        <f t="shared" si="7"/>
        <v>#DIV/0!</v>
      </c>
      <c r="U40" s="117" t="e">
        <f t="shared" si="3"/>
        <v>#DIV/0!</v>
      </c>
      <c r="V40" s="117">
        <f t="shared" si="8"/>
        <v>0</v>
      </c>
      <c r="W40" s="117">
        <f t="shared" si="14"/>
        <v>0</v>
      </c>
      <c r="X40" s="117">
        <f t="shared" si="15"/>
        <v>0</v>
      </c>
      <c r="Y40" s="117" t="e">
        <f t="shared" si="16"/>
        <v>#DIV/0!</v>
      </c>
      <c r="Z40" s="117" t="e">
        <f>ABS(0.4*0.85*Main!$G$546*'Pile Data'!X40+Main!$G$545*'Pile Data'!R40-Main!$G$545*('Pile Data'!T40+'Pile Data'!V40))</f>
        <v>#DIV/0!</v>
      </c>
      <c r="AA40" s="117" t="e">
        <f>(0.4*0.85*Main!$G$546*'Pile Data'!X40*Y40+Main!$G$545*('Pile Data'!R40*S40+'Pile Data'!T40*U40+'Pile Data'!V40*W40))</f>
        <v>#DIV/0!</v>
      </c>
      <c r="AB40" s="37"/>
    </row>
    <row r="41" spans="1:28">
      <c r="N41" s="2"/>
      <c r="O41" s="38">
        <f t="shared" si="10"/>
        <v>36</v>
      </c>
      <c r="P41" s="98">
        <f t="shared" si="6"/>
        <v>0.62831853071795862</v>
      </c>
      <c r="Q41" s="117">
        <f t="shared" si="11"/>
        <v>0</v>
      </c>
      <c r="R41" s="117" t="e">
        <f t="shared" si="12"/>
        <v>#DIV/0!</v>
      </c>
      <c r="S41" s="117" t="e">
        <f t="shared" si="13"/>
        <v>#DIV/0!</v>
      </c>
      <c r="T41" s="117" t="e">
        <f t="shared" si="7"/>
        <v>#DIV/0!</v>
      </c>
      <c r="U41" s="117" t="e">
        <f t="shared" si="3"/>
        <v>#DIV/0!</v>
      </c>
      <c r="V41" s="117">
        <f t="shared" si="8"/>
        <v>0</v>
      </c>
      <c r="W41" s="117">
        <f t="shared" si="14"/>
        <v>0</v>
      </c>
      <c r="X41" s="117">
        <f t="shared" si="15"/>
        <v>0</v>
      </c>
      <c r="Y41" s="117" t="e">
        <f t="shared" si="16"/>
        <v>#DIV/0!</v>
      </c>
      <c r="Z41" s="117" t="e">
        <f>ABS(0.4*0.85*Main!$G$546*'Pile Data'!X41+Main!$G$545*'Pile Data'!R41-Main!$G$545*('Pile Data'!T41+'Pile Data'!V41))</f>
        <v>#DIV/0!</v>
      </c>
      <c r="AA41" s="117" t="e">
        <f>(0.4*0.85*Main!$G$546*'Pile Data'!X41*Y41+Main!$G$545*('Pile Data'!R41*S41+'Pile Data'!T41*U41+'Pile Data'!V41*W41))</f>
        <v>#DIV/0!</v>
      </c>
      <c r="AB41" s="37"/>
    </row>
    <row r="42" spans="1:28">
      <c r="N42" s="2"/>
      <c r="O42" s="38">
        <f t="shared" si="10"/>
        <v>37</v>
      </c>
      <c r="P42" s="98">
        <f t="shared" si="6"/>
        <v>0.64577182323790194</v>
      </c>
      <c r="Q42" s="117">
        <f t="shared" si="11"/>
        <v>0</v>
      </c>
      <c r="R42" s="117" t="e">
        <f t="shared" si="12"/>
        <v>#DIV/0!</v>
      </c>
      <c r="S42" s="117" t="e">
        <f t="shared" si="13"/>
        <v>#DIV/0!</v>
      </c>
      <c r="T42" s="117" t="e">
        <f t="shared" si="7"/>
        <v>#DIV/0!</v>
      </c>
      <c r="U42" s="117" t="e">
        <f t="shared" si="3"/>
        <v>#DIV/0!</v>
      </c>
      <c r="V42" s="117">
        <f t="shared" si="8"/>
        <v>0</v>
      </c>
      <c r="W42" s="117">
        <f t="shared" si="14"/>
        <v>0</v>
      </c>
      <c r="X42" s="117">
        <f t="shared" si="15"/>
        <v>0</v>
      </c>
      <c r="Y42" s="117" t="e">
        <f t="shared" si="16"/>
        <v>#DIV/0!</v>
      </c>
      <c r="Z42" s="117" t="e">
        <f>ABS(0.4*0.85*Main!$G$546*'Pile Data'!X42+Main!$G$545*'Pile Data'!R42-Main!$G$545*('Pile Data'!T42+'Pile Data'!V42))</f>
        <v>#DIV/0!</v>
      </c>
      <c r="AA42" s="117" t="e">
        <f>(0.4*0.85*Main!$G$546*'Pile Data'!X42*Y42+Main!$G$545*('Pile Data'!R42*S42+'Pile Data'!T42*U42+'Pile Data'!V42*W42))</f>
        <v>#DIV/0!</v>
      </c>
      <c r="AB42" s="37"/>
    </row>
    <row r="43" spans="1:28">
      <c r="N43" s="2"/>
      <c r="O43" s="38">
        <f t="shared" si="10"/>
        <v>38</v>
      </c>
      <c r="P43" s="98">
        <f t="shared" si="6"/>
        <v>0.66322511575784515</v>
      </c>
      <c r="Q43" s="117">
        <f t="shared" si="11"/>
        <v>0</v>
      </c>
      <c r="R43" s="117" t="e">
        <f t="shared" si="12"/>
        <v>#DIV/0!</v>
      </c>
      <c r="S43" s="117" t="e">
        <f t="shared" si="13"/>
        <v>#DIV/0!</v>
      </c>
      <c r="T43" s="117" t="e">
        <f t="shared" si="7"/>
        <v>#DIV/0!</v>
      </c>
      <c r="U43" s="117" t="e">
        <f t="shared" si="3"/>
        <v>#DIV/0!</v>
      </c>
      <c r="V43" s="117">
        <f t="shared" si="8"/>
        <v>0</v>
      </c>
      <c r="W43" s="117">
        <f t="shared" si="14"/>
        <v>0</v>
      </c>
      <c r="X43" s="117">
        <f t="shared" si="15"/>
        <v>0</v>
      </c>
      <c r="Y43" s="117" t="e">
        <f t="shared" si="16"/>
        <v>#DIV/0!</v>
      </c>
      <c r="Z43" s="117" t="e">
        <f>ABS(0.4*0.85*Main!$G$546*'Pile Data'!X43+Main!$G$545*'Pile Data'!R43-Main!$G$545*('Pile Data'!T43+'Pile Data'!V43))</f>
        <v>#DIV/0!</v>
      </c>
      <c r="AA43" s="117" t="e">
        <f>(0.4*0.85*Main!$G$546*'Pile Data'!X43*Y43+Main!$G$545*('Pile Data'!R43*S43+'Pile Data'!T43*U43+'Pile Data'!V43*W43))</f>
        <v>#DIV/0!</v>
      </c>
      <c r="AB43" s="37"/>
    </row>
    <row r="44" spans="1:28">
      <c r="N44" s="2"/>
      <c r="O44" s="38">
        <f t="shared" si="10"/>
        <v>39</v>
      </c>
      <c r="P44" s="98">
        <f t="shared" si="6"/>
        <v>0.68067840827778847</v>
      </c>
      <c r="Q44" s="117">
        <f t="shared" si="11"/>
        <v>0</v>
      </c>
      <c r="R44" s="117" t="e">
        <f t="shared" si="12"/>
        <v>#DIV/0!</v>
      </c>
      <c r="S44" s="117" t="e">
        <f t="shared" si="13"/>
        <v>#DIV/0!</v>
      </c>
      <c r="T44" s="117" t="e">
        <f t="shared" si="7"/>
        <v>#DIV/0!</v>
      </c>
      <c r="U44" s="117" t="e">
        <f t="shared" si="3"/>
        <v>#DIV/0!</v>
      </c>
      <c r="V44" s="117">
        <f t="shared" si="8"/>
        <v>0</v>
      </c>
      <c r="W44" s="117">
        <f t="shared" si="14"/>
        <v>0</v>
      </c>
      <c r="X44" s="117">
        <f t="shared" si="15"/>
        <v>0</v>
      </c>
      <c r="Y44" s="117" t="e">
        <f t="shared" si="16"/>
        <v>#DIV/0!</v>
      </c>
      <c r="Z44" s="117" t="e">
        <f>ABS(0.4*0.85*Main!$G$546*'Pile Data'!X44+Main!$G$545*'Pile Data'!R44-Main!$G$545*('Pile Data'!T44+'Pile Data'!V44))</f>
        <v>#DIV/0!</v>
      </c>
      <c r="AA44" s="117" t="e">
        <f>(0.4*0.85*Main!$G$546*'Pile Data'!X44*Y44+Main!$G$545*('Pile Data'!R44*S44+'Pile Data'!T44*U44+'Pile Data'!V44*W44))</f>
        <v>#DIV/0!</v>
      </c>
      <c r="AB44" s="37"/>
    </row>
    <row r="45" spans="1:28">
      <c r="N45" s="2"/>
      <c r="O45" s="38">
        <f t="shared" si="10"/>
        <v>40</v>
      </c>
      <c r="P45" s="98">
        <f t="shared" si="6"/>
        <v>0.69813170079773179</v>
      </c>
      <c r="Q45" s="117">
        <f t="shared" si="11"/>
        <v>0</v>
      </c>
      <c r="R45" s="117" t="e">
        <f t="shared" si="12"/>
        <v>#DIV/0!</v>
      </c>
      <c r="S45" s="117" t="e">
        <f t="shared" si="13"/>
        <v>#DIV/0!</v>
      </c>
      <c r="T45" s="117" t="e">
        <f t="shared" si="7"/>
        <v>#DIV/0!</v>
      </c>
      <c r="U45" s="117" t="e">
        <f t="shared" si="3"/>
        <v>#DIV/0!</v>
      </c>
      <c r="V45" s="117">
        <f t="shared" si="8"/>
        <v>0</v>
      </c>
      <c r="W45" s="117">
        <f t="shared" si="14"/>
        <v>0</v>
      </c>
      <c r="X45" s="117">
        <f t="shared" si="15"/>
        <v>0</v>
      </c>
      <c r="Y45" s="117" t="e">
        <f t="shared" si="16"/>
        <v>#DIV/0!</v>
      </c>
      <c r="Z45" s="117" t="e">
        <f>ABS(0.4*0.85*Main!$G$546*'Pile Data'!X45+Main!$G$545*'Pile Data'!R45-Main!$G$545*('Pile Data'!T45+'Pile Data'!V45))</f>
        <v>#DIV/0!</v>
      </c>
      <c r="AA45" s="117" t="e">
        <f>(0.4*0.85*Main!$G$546*'Pile Data'!X45*Y45+Main!$G$545*('Pile Data'!R45*S45+'Pile Data'!T45*U45+'Pile Data'!V45*W45))</f>
        <v>#DIV/0!</v>
      </c>
      <c r="AB45" s="37"/>
    </row>
    <row r="46" spans="1:28">
      <c r="N46" s="2"/>
      <c r="O46" s="38">
        <f t="shared" si="10"/>
        <v>41</v>
      </c>
      <c r="P46" s="98">
        <f t="shared" si="6"/>
        <v>0.715584993317675</v>
      </c>
      <c r="Q46" s="117">
        <f t="shared" si="11"/>
        <v>0</v>
      </c>
      <c r="R46" s="117" t="e">
        <f t="shared" si="12"/>
        <v>#DIV/0!</v>
      </c>
      <c r="S46" s="117" t="e">
        <f t="shared" si="13"/>
        <v>#DIV/0!</v>
      </c>
      <c r="T46" s="117" t="e">
        <f t="shared" si="7"/>
        <v>#DIV/0!</v>
      </c>
      <c r="U46" s="117" t="e">
        <f t="shared" si="3"/>
        <v>#DIV/0!</v>
      </c>
      <c r="V46" s="117">
        <f t="shared" si="8"/>
        <v>0</v>
      </c>
      <c r="W46" s="117">
        <f t="shared" si="14"/>
        <v>0</v>
      </c>
      <c r="X46" s="117">
        <f t="shared" si="15"/>
        <v>0</v>
      </c>
      <c r="Y46" s="117" t="e">
        <f t="shared" si="16"/>
        <v>#DIV/0!</v>
      </c>
      <c r="Z46" s="117" t="e">
        <f>ABS(0.4*0.85*Main!$G$546*'Pile Data'!X46+Main!$G$545*'Pile Data'!R46-Main!$G$545*('Pile Data'!T46+'Pile Data'!V46))</f>
        <v>#DIV/0!</v>
      </c>
      <c r="AA46" s="117" t="e">
        <f>(0.4*0.85*Main!$G$546*'Pile Data'!X46*Y46+Main!$G$545*('Pile Data'!R46*S46+'Pile Data'!T46*U46+'Pile Data'!V46*W46))</f>
        <v>#DIV/0!</v>
      </c>
      <c r="AB46" s="37"/>
    </row>
    <row r="47" spans="1:28">
      <c r="N47" s="2"/>
      <c r="O47" s="38">
        <f t="shared" si="10"/>
        <v>42</v>
      </c>
      <c r="P47" s="98">
        <f t="shared" si="6"/>
        <v>0.73303828583761843</v>
      </c>
      <c r="Q47" s="117">
        <f t="shared" si="11"/>
        <v>0</v>
      </c>
      <c r="R47" s="117" t="e">
        <f t="shared" si="12"/>
        <v>#DIV/0!</v>
      </c>
      <c r="S47" s="117" t="e">
        <f t="shared" si="13"/>
        <v>#DIV/0!</v>
      </c>
      <c r="T47" s="117" t="e">
        <f t="shared" si="7"/>
        <v>#DIV/0!</v>
      </c>
      <c r="U47" s="117" t="e">
        <f t="shared" si="3"/>
        <v>#DIV/0!</v>
      </c>
      <c r="V47" s="117">
        <f t="shared" si="8"/>
        <v>0</v>
      </c>
      <c r="W47" s="117">
        <f t="shared" si="14"/>
        <v>0</v>
      </c>
      <c r="X47" s="117">
        <f t="shared" si="15"/>
        <v>0</v>
      </c>
      <c r="Y47" s="117" t="e">
        <f t="shared" si="16"/>
        <v>#DIV/0!</v>
      </c>
      <c r="Z47" s="117" t="e">
        <f>ABS(0.4*0.85*Main!$G$546*'Pile Data'!X47+Main!$G$545*'Pile Data'!R47-Main!$G$545*('Pile Data'!T47+'Pile Data'!V47))</f>
        <v>#DIV/0!</v>
      </c>
      <c r="AA47" s="117" t="e">
        <f>(0.4*0.85*Main!$G$546*'Pile Data'!X47*Y47+Main!$G$545*('Pile Data'!R47*S47+'Pile Data'!T47*U47+'Pile Data'!V47*W47))</f>
        <v>#DIV/0!</v>
      </c>
      <c r="AB47" s="37"/>
    </row>
    <row r="48" spans="1:28">
      <c r="N48" s="2"/>
      <c r="O48" s="38">
        <f t="shared" si="10"/>
        <v>43</v>
      </c>
      <c r="P48" s="98">
        <f t="shared" si="6"/>
        <v>0.75049157835756164</v>
      </c>
      <c r="Q48" s="117">
        <f t="shared" si="11"/>
        <v>0</v>
      </c>
      <c r="R48" s="117" t="e">
        <f t="shared" si="12"/>
        <v>#DIV/0!</v>
      </c>
      <c r="S48" s="117" t="e">
        <f t="shared" si="13"/>
        <v>#DIV/0!</v>
      </c>
      <c r="T48" s="117" t="e">
        <f t="shared" si="7"/>
        <v>#DIV/0!</v>
      </c>
      <c r="U48" s="117" t="e">
        <f t="shared" si="3"/>
        <v>#DIV/0!</v>
      </c>
      <c r="V48" s="117">
        <f t="shared" si="8"/>
        <v>0</v>
      </c>
      <c r="W48" s="117">
        <f t="shared" si="14"/>
        <v>0</v>
      </c>
      <c r="X48" s="117">
        <f t="shared" si="15"/>
        <v>0</v>
      </c>
      <c r="Y48" s="117" t="e">
        <f t="shared" si="16"/>
        <v>#DIV/0!</v>
      </c>
      <c r="Z48" s="117" t="e">
        <f>ABS(0.4*0.85*Main!$G$546*'Pile Data'!X48+Main!$G$545*'Pile Data'!R48-Main!$G$545*('Pile Data'!T48+'Pile Data'!V48))</f>
        <v>#DIV/0!</v>
      </c>
      <c r="AA48" s="117" t="e">
        <f>(0.4*0.85*Main!$G$546*'Pile Data'!X48*Y48+Main!$G$545*('Pile Data'!R48*S48+'Pile Data'!T48*U48+'Pile Data'!V48*W48))</f>
        <v>#DIV/0!</v>
      </c>
      <c r="AB48" s="37"/>
    </row>
    <row r="49" spans="14:28">
      <c r="N49" s="2"/>
      <c r="O49" s="38">
        <f t="shared" si="10"/>
        <v>44</v>
      </c>
      <c r="P49" s="98">
        <f t="shared" si="6"/>
        <v>0.76794487087750496</v>
      </c>
      <c r="Q49" s="117">
        <f t="shared" si="11"/>
        <v>0</v>
      </c>
      <c r="R49" s="117" t="e">
        <f t="shared" si="12"/>
        <v>#DIV/0!</v>
      </c>
      <c r="S49" s="117" t="e">
        <f t="shared" si="13"/>
        <v>#DIV/0!</v>
      </c>
      <c r="T49" s="117" t="e">
        <f t="shared" si="7"/>
        <v>#DIV/0!</v>
      </c>
      <c r="U49" s="117" t="e">
        <f t="shared" si="3"/>
        <v>#DIV/0!</v>
      </c>
      <c r="V49" s="117">
        <f t="shared" si="8"/>
        <v>0</v>
      </c>
      <c r="W49" s="117">
        <f t="shared" si="14"/>
        <v>0</v>
      </c>
      <c r="X49" s="117">
        <f t="shared" si="15"/>
        <v>0</v>
      </c>
      <c r="Y49" s="117" t="e">
        <f t="shared" si="16"/>
        <v>#DIV/0!</v>
      </c>
      <c r="Z49" s="117" t="e">
        <f>ABS(0.4*0.85*Main!$G$546*'Pile Data'!X49+Main!$G$545*'Pile Data'!R49-Main!$G$545*('Pile Data'!T49+'Pile Data'!V49))</f>
        <v>#DIV/0!</v>
      </c>
      <c r="AA49" s="117" t="e">
        <f>(0.4*0.85*Main!$G$546*'Pile Data'!X49*Y49+Main!$G$545*('Pile Data'!R49*S49+'Pile Data'!T49*U49+'Pile Data'!V49*W49))</f>
        <v>#DIV/0!</v>
      </c>
      <c r="AB49" s="37"/>
    </row>
    <row r="50" spans="14:28">
      <c r="N50" s="2"/>
      <c r="O50" s="38">
        <f t="shared" si="10"/>
        <v>45</v>
      </c>
      <c r="P50" s="98">
        <f t="shared" si="6"/>
        <v>0.78539816339744828</v>
      </c>
      <c r="Q50" s="117">
        <f t="shared" si="11"/>
        <v>0</v>
      </c>
      <c r="R50" s="117" t="e">
        <f t="shared" si="12"/>
        <v>#DIV/0!</v>
      </c>
      <c r="S50" s="117" t="e">
        <f t="shared" si="13"/>
        <v>#DIV/0!</v>
      </c>
      <c r="T50" s="117" t="e">
        <f t="shared" si="7"/>
        <v>#DIV/0!</v>
      </c>
      <c r="U50" s="117" t="e">
        <f t="shared" si="3"/>
        <v>#DIV/0!</v>
      </c>
      <c r="V50" s="117">
        <f t="shared" si="8"/>
        <v>0</v>
      </c>
      <c r="W50" s="117">
        <f t="shared" si="14"/>
        <v>0</v>
      </c>
      <c r="X50" s="117">
        <f t="shared" si="15"/>
        <v>0</v>
      </c>
      <c r="Y50" s="117" t="e">
        <f t="shared" si="16"/>
        <v>#DIV/0!</v>
      </c>
      <c r="Z50" s="117" t="e">
        <f>ABS(0.4*0.85*Main!$G$546*'Pile Data'!X50+Main!$G$545*'Pile Data'!R50-Main!$G$545*('Pile Data'!T50+'Pile Data'!V50))</f>
        <v>#DIV/0!</v>
      </c>
      <c r="AA50" s="117" t="e">
        <f>(0.4*0.85*Main!$G$546*'Pile Data'!X50*Y50+Main!$G$545*('Pile Data'!R50*S50+'Pile Data'!T50*U50+'Pile Data'!V50*W50))</f>
        <v>#DIV/0!</v>
      </c>
      <c r="AB50" s="37"/>
    </row>
    <row r="51" spans="14:28">
      <c r="N51" s="2"/>
      <c r="O51" s="38">
        <f t="shared" si="10"/>
        <v>46</v>
      </c>
      <c r="P51" s="98">
        <f t="shared" si="6"/>
        <v>0.80285145591739149</v>
      </c>
      <c r="Q51" s="117">
        <f t="shared" si="11"/>
        <v>0</v>
      </c>
      <c r="R51" s="117" t="e">
        <f t="shared" si="12"/>
        <v>#DIV/0!</v>
      </c>
      <c r="S51" s="117" t="e">
        <f t="shared" si="13"/>
        <v>#DIV/0!</v>
      </c>
      <c r="T51" s="117" t="e">
        <f t="shared" si="7"/>
        <v>#DIV/0!</v>
      </c>
      <c r="U51" s="117" t="e">
        <f t="shared" si="3"/>
        <v>#DIV/0!</v>
      </c>
      <c r="V51" s="117">
        <f t="shared" si="8"/>
        <v>0</v>
      </c>
      <c r="W51" s="117">
        <f t="shared" si="14"/>
        <v>0</v>
      </c>
      <c r="X51" s="117">
        <f t="shared" si="15"/>
        <v>0</v>
      </c>
      <c r="Y51" s="117" t="e">
        <f t="shared" si="16"/>
        <v>#DIV/0!</v>
      </c>
      <c r="Z51" s="117" t="e">
        <f>ABS(0.4*0.85*Main!$G$546*'Pile Data'!X51+Main!$G$545*'Pile Data'!R51-Main!$G$545*('Pile Data'!T51+'Pile Data'!V51))</f>
        <v>#DIV/0!</v>
      </c>
      <c r="AA51" s="117" t="e">
        <f>(0.4*0.85*Main!$G$546*'Pile Data'!X51*Y51+Main!$G$545*('Pile Data'!R51*S51+'Pile Data'!T51*U51+'Pile Data'!V51*W51))</f>
        <v>#DIV/0!</v>
      </c>
      <c r="AB51" s="37"/>
    </row>
    <row r="52" spans="14:28">
      <c r="N52" s="2"/>
      <c r="O52" s="38">
        <f t="shared" si="10"/>
        <v>47</v>
      </c>
      <c r="P52" s="98">
        <f t="shared" si="6"/>
        <v>0.82030474843733492</v>
      </c>
      <c r="Q52" s="117">
        <f t="shared" si="11"/>
        <v>0</v>
      </c>
      <c r="R52" s="117" t="e">
        <f t="shared" si="12"/>
        <v>#DIV/0!</v>
      </c>
      <c r="S52" s="117" t="e">
        <f t="shared" si="13"/>
        <v>#DIV/0!</v>
      </c>
      <c r="T52" s="117" t="e">
        <f t="shared" si="7"/>
        <v>#DIV/0!</v>
      </c>
      <c r="U52" s="117" t="e">
        <f t="shared" si="3"/>
        <v>#DIV/0!</v>
      </c>
      <c r="V52" s="117">
        <f t="shared" si="8"/>
        <v>0</v>
      </c>
      <c r="W52" s="117">
        <f t="shared" si="14"/>
        <v>0</v>
      </c>
      <c r="X52" s="117">
        <f t="shared" si="15"/>
        <v>0</v>
      </c>
      <c r="Y52" s="117" t="e">
        <f t="shared" si="16"/>
        <v>#DIV/0!</v>
      </c>
      <c r="Z52" s="117" t="e">
        <f>ABS(0.4*0.85*Main!$G$546*'Pile Data'!X52+Main!$G$545*'Pile Data'!R52-Main!$G$545*('Pile Data'!T52+'Pile Data'!V52))</f>
        <v>#DIV/0!</v>
      </c>
      <c r="AA52" s="117" t="e">
        <f>(0.4*0.85*Main!$G$546*'Pile Data'!X52*Y52+Main!$G$545*('Pile Data'!R52*S52+'Pile Data'!T52*U52+'Pile Data'!V52*W52))</f>
        <v>#DIV/0!</v>
      </c>
      <c r="AB52" s="37"/>
    </row>
    <row r="53" spans="14:28">
      <c r="N53" s="2"/>
      <c r="O53" s="38">
        <f t="shared" si="10"/>
        <v>48</v>
      </c>
      <c r="P53" s="98">
        <f t="shared" si="6"/>
        <v>0.83775804095727813</v>
      </c>
      <c r="Q53" s="117">
        <f t="shared" si="11"/>
        <v>0</v>
      </c>
      <c r="R53" s="117" t="e">
        <f t="shared" si="12"/>
        <v>#DIV/0!</v>
      </c>
      <c r="S53" s="117" t="e">
        <f t="shared" si="13"/>
        <v>#DIV/0!</v>
      </c>
      <c r="T53" s="117" t="e">
        <f t="shared" si="7"/>
        <v>#DIV/0!</v>
      </c>
      <c r="U53" s="117" t="e">
        <f t="shared" si="3"/>
        <v>#DIV/0!</v>
      </c>
      <c r="V53" s="117">
        <f t="shared" si="8"/>
        <v>0</v>
      </c>
      <c r="W53" s="117">
        <f t="shared" si="14"/>
        <v>0</v>
      </c>
      <c r="X53" s="117">
        <f t="shared" si="15"/>
        <v>0</v>
      </c>
      <c r="Y53" s="117" t="e">
        <f t="shared" si="16"/>
        <v>#DIV/0!</v>
      </c>
      <c r="Z53" s="117" t="e">
        <f>ABS(0.4*0.85*Main!$G$546*'Pile Data'!X53+Main!$G$545*'Pile Data'!R53-Main!$G$545*('Pile Data'!T53+'Pile Data'!V53))</f>
        <v>#DIV/0!</v>
      </c>
      <c r="AA53" s="117" t="e">
        <f>(0.4*0.85*Main!$G$546*'Pile Data'!X53*Y53+Main!$G$545*('Pile Data'!R53*S53+'Pile Data'!T53*U53+'Pile Data'!V53*W53))</f>
        <v>#DIV/0!</v>
      </c>
      <c r="AB53" s="37"/>
    </row>
    <row r="54" spans="14:28">
      <c r="N54" s="2"/>
      <c r="O54" s="38">
        <f t="shared" si="10"/>
        <v>49</v>
      </c>
      <c r="P54" s="98">
        <f t="shared" si="6"/>
        <v>0.85521133347722145</v>
      </c>
      <c r="Q54" s="117">
        <f t="shared" si="11"/>
        <v>0</v>
      </c>
      <c r="R54" s="117" t="e">
        <f t="shared" si="12"/>
        <v>#DIV/0!</v>
      </c>
      <c r="S54" s="117" t="e">
        <f t="shared" si="13"/>
        <v>#DIV/0!</v>
      </c>
      <c r="T54" s="117" t="e">
        <f t="shared" si="7"/>
        <v>#DIV/0!</v>
      </c>
      <c r="U54" s="117" t="e">
        <f t="shared" si="3"/>
        <v>#DIV/0!</v>
      </c>
      <c r="V54" s="117">
        <f t="shared" si="8"/>
        <v>0</v>
      </c>
      <c r="W54" s="117">
        <f t="shared" si="14"/>
        <v>0</v>
      </c>
      <c r="X54" s="117">
        <f t="shared" si="15"/>
        <v>0</v>
      </c>
      <c r="Y54" s="117" t="e">
        <f t="shared" si="16"/>
        <v>#DIV/0!</v>
      </c>
      <c r="Z54" s="117" t="e">
        <f>ABS(0.4*0.85*Main!$G$546*'Pile Data'!X54+Main!$G$545*'Pile Data'!R54-Main!$G$545*('Pile Data'!T54+'Pile Data'!V54))</f>
        <v>#DIV/0!</v>
      </c>
      <c r="AA54" s="117" t="e">
        <f>(0.4*0.85*Main!$G$546*'Pile Data'!X54*Y54+Main!$G$545*('Pile Data'!R54*S54+'Pile Data'!T54*U54+'Pile Data'!V54*W54))</f>
        <v>#DIV/0!</v>
      </c>
      <c r="AB54" s="37"/>
    </row>
    <row r="55" spans="14:28">
      <c r="N55" s="2"/>
      <c r="O55" s="38">
        <f t="shared" si="10"/>
        <v>50</v>
      </c>
      <c r="P55" s="98">
        <f t="shared" si="6"/>
        <v>0.87266462599716477</v>
      </c>
      <c r="Q55" s="117">
        <f t="shared" si="11"/>
        <v>0</v>
      </c>
      <c r="R55" s="117" t="e">
        <f t="shared" si="12"/>
        <v>#DIV/0!</v>
      </c>
      <c r="S55" s="117" t="e">
        <f t="shared" si="13"/>
        <v>#DIV/0!</v>
      </c>
      <c r="T55" s="117" t="e">
        <f t="shared" si="7"/>
        <v>#DIV/0!</v>
      </c>
      <c r="U55" s="117" t="e">
        <f t="shared" si="3"/>
        <v>#DIV/0!</v>
      </c>
      <c r="V55" s="117">
        <f t="shared" si="8"/>
        <v>0</v>
      </c>
      <c r="W55" s="117">
        <f t="shared" si="14"/>
        <v>0</v>
      </c>
      <c r="X55" s="117">
        <f t="shared" si="15"/>
        <v>0</v>
      </c>
      <c r="Y55" s="117" t="e">
        <f t="shared" si="16"/>
        <v>#DIV/0!</v>
      </c>
      <c r="Z55" s="117" t="e">
        <f>ABS(0.4*0.85*Main!$G$546*'Pile Data'!X55+Main!$G$545*'Pile Data'!R55-Main!$G$545*('Pile Data'!T55+'Pile Data'!V55))</f>
        <v>#DIV/0!</v>
      </c>
      <c r="AA55" s="117" t="e">
        <f>(0.4*0.85*Main!$G$546*'Pile Data'!X55*Y55+Main!$G$545*('Pile Data'!R55*S55+'Pile Data'!T55*U55+'Pile Data'!V55*W55))</f>
        <v>#DIV/0!</v>
      </c>
      <c r="AB55" s="37"/>
    </row>
    <row r="56" spans="14:28">
      <c r="N56" s="2"/>
      <c r="O56" s="38">
        <f t="shared" si="10"/>
        <v>51</v>
      </c>
      <c r="P56" s="98">
        <f t="shared" si="6"/>
        <v>0.89011791851710798</v>
      </c>
      <c r="Q56" s="117">
        <f t="shared" si="11"/>
        <v>0</v>
      </c>
      <c r="R56" s="117" t="e">
        <f t="shared" si="12"/>
        <v>#DIV/0!</v>
      </c>
      <c r="S56" s="117" t="e">
        <f t="shared" si="13"/>
        <v>#DIV/0!</v>
      </c>
      <c r="T56" s="117" t="e">
        <f t="shared" si="7"/>
        <v>#DIV/0!</v>
      </c>
      <c r="U56" s="117" t="e">
        <f t="shared" si="3"/>
        <v>#DIV/0!</v>
      </c>
      <c r="V56" s="117">
        <f t="shared" si="8"/>
        <v>0</v>
      </c>
      <c r="W56" s="117">
        <f t="shared" si="14"/>
        <v>0</v>
      </c>
      <c r="X56" s="117">
        <f t="shared" si="15"/>
        <v>0</v>
      </c>
      <c r="Y56" s="117" t="e">
        <f t="shared" si="16"/>
        <v>#DIV/0!</v>
      </c>
      <c r="Z56" s="117" t="e">
        <f>ABS(0.4*0.85*Main!$G$546*'Pile Data'!X56+Main!$G$545*'Pile Data'!R56-Main!$G$545*('Pile Data'!T56+'Pile Data'!V56))</f>
        <v>#DIV/0!</v>
      </c>
      <c r="AA56" s="117" t="e">
        <f>(0.4*0.85*Main!$G$546*'Pile Data'!X56*Y56+Main!$G$545*('Pile Data'!R56*S56+'Pile Data'!T56*U56+'Pile Data'!V56*W56))</f>
        <v>#DIV/0!</v>
      </c>
      <c r="AB56" s="37"/>
    </row>
    <row r="57" spans="14:28">
      <c r="N57" s="2"/>
      <c r="O57" s="38">
        <f t="shared" si="10"/>
        <v>52</v>
      </c>
      <c r="P57" s="98">
        <f t="shared" si="6"/>
        <v>0.90757121103705141</v>
      </c>
      <c r="Q57" s="117">
        <f t="shared" si="11"/>
        <v>0</v>
      </c>
      <c r="R57" s="117" t="e">
        <f t="shared" si="12"/>
        <v>#DIV/0!</v>
      </c>
      <c r="S57" s="117" t="e">
        <f t="shared" si="13"/>
        <v>#DIV/0!</v>
      </c>
      <c r="T57" s="117" t="e">
        <f t="shared" si="7"/>
        <v>#DIV/0!</v>
      </c>
      <c r="U57" s="117" t="e">
        <f t="shared" si="3"/>
        <v>#DIV/0!</v>
      </c>
      <c r="V57" s="117">
        <f t="shared" si="8"/>
        <v>0</v>
      </c>
      <c r="W57" s="117">
        <f t="shared" si="14"/>
        <v>0</v>
      </c>
      <c r="X57" s="117">
        <f t="shared" si="15"/>
        <v>0</v>
      </c>
      <c r="Y57" s="117" t="e">
        <f t="shared" si="16"/>
        <v>#DIV/0!</v>
      </c>
      <c r="Z57" s="117" t="e">
        <f>ABS(0.4*0.85*Main!$G$546*'Pile Data'!X57+Main!$G$545*'Pile Data'!R57-Main!$G$545*('Pile Data'!T57+'Pile Data'!V57))</f>
        <v>#DIV/0!</v>
      </c>
      <c r="AA57" s="117" t="e">
        <f>(0.4*0.85*Main!$G$546*'Pile Data'!X57*Y57+Main!$G$545*('Pile Data'!R57*S57+'Pile Data'!T57*U57+'Pile Data'!V57*W57))</f>
        <v>#DIV/0!</v>
      </c>
      <c r="AB57" s="37"/>
    </row>
    <row r="58" spans="14:28">
      <c r="N58" s="2"/>
      <c r="O58" s="38">
        <f t="shared" si="10"/>
        <v>53</v>
      </c>
      <c r="P58" s="98">
        <f t="shared" si="6"/>
        <v>0.92502450355699462</v>
      </c>
      <c r="Q58" s="117">
        <f t="shared" si="11"/>
        <v>0</v>
      </c>
      <c r="R58" s="117" t="e">
        <f t="shared" si="12"/>
        <v>#DIV/0!</v>
      </c>
      <c r="S58" s="117" t="e">
        <f t="shared" si="13"/>
        <v>#DIV/0!</v>
      </c>
      <c r="T58" s="117" t="e">
        <f t="shared" si="7"/>
        <v>#DIV/0!</v>
      </c>
      <c r="U58" s="117" t="e">
        <f t="shared" si="3"/>
        <v>#DIV/0!</v>
      </c>
      <c r="V58" s="117">
        <f t="shared" si="8"/>
        <v>0</v>
      </c>
      <c r="W58" s="117">
        <f t="shared" si="14"/>
        <v>0</v>
      </c>
      <c r="X58" s="117">
        <f t="shared" si="15"/>
        <v>0</v>
      </c>
      <c r="Y58" s="117" t="e">
        <f t="shared" si="16"/>
        <v>#DIV/0!</v>
      </c>
      <c r="Z58" s="117" t="e">
        <f>ABS(0.4*0.85*Main!$G$546*'Pile Data'!X58+Main!$G$545*'Pile Data'!R58-Main!$G$545*('Pile Data'!T58+'Pile Data'!V58))</f>
        <v>#DIV/0!</v>
      </c>
      <c r="AA58" s="117" t="e">
        <f>(0.4*0.85*Main!$G$546*'Pile Data'!X58*Y58+Main!$G$545*('Pile Data'!R58*S58+'Pile Data'!T58*U58+'Pile Data'!V58*W58))</f>
        <v>#DIV/0!</v>
      </c>
      <c r="AB58" s="37"/>
    </row>
    <row r="59" spans="14:28">
      <c r="N59" s="2"/>
      <c r="O59" s="38">
        <f t="shared" si="10"/>
        <v>54</v>
      </c>
      <c r="P59" s="98">
        <f t="shared" si="6"/>
        <v>0.94247779607693793</v>
      </c>
      <c r="Q59" s="117">
        <f t="shared" si="11"/>
        <v>0</v>
      </c>
      <c r="R59" s="117" t="e">
        <f t="shared" si="12"/>
        <v>#DIV/0!</v>
      </c>
      <c r="S59" s="117" t="e">
        <f t="shared" si="13"/>
        <v>#DIV/0!</v>
      </c>
      <c r="T59" s="117" t="e">
        <f t="shared" si="7"/>
        <v>#DIV/0!</v>
      </c>
      <c r="U59" s="117" t="e">
        <f t="shared" si="3"/>
        <v>#DIV/0!</v>
      </c>
      <c r="V59" s="117">
        <f t="shared" si="8"/>
        <v>0</v>
      </c>
      <c r="W59" s="117">
        <f t="shared" si="14"/>
        <v>0</v>
      </c>
      <c r="X59" s="117">
        <f t="shared" si="15"/>
        <v>0</v>
      </c>
      <c r="Y59" s="117" t="e">
        <f t="shared" si="16"/>
        <v>#DIV/0!</v>
      </c>
      <c r="Z59" s="117" t="e">
        <f>ABS(0.4*0.85*Main!$G$546*'Pile Data'!X59+Main!$G$545*'Pile Data'!R59-Main!$G$545*('Pile Data'!T59+'Pile Data'!V59))</f>
        <v>#DIV/0!</v>
      </c>
      <c r="AA59" s="117" t="e">
        <f>(0.4*0.85*Main!$G$546*'Pile Data'!X59*Y59+Main!$G$545*('Pile Data'!R59*S59+'Pile Data'!T59*U59+'Pile Data'!V59*W59))</f>
        <v>#DIV/0!</v>
      </c>
      <c r="AB59" s="37"/>
    </row>
    <row r="60" spans="14:28">
      <c r="N60" s="2"/>
      <c r="O60" s="38">
        <f t="shared" si="10"/>
        <v>55</v>
      </c>
      <c r="P60" s="98">
        <f t="shared" si="6"/>
        <v>0.95993108859688125</v>
      </c>
      <c r="Q60" s="117">
        <f t="shared" si="11"/>
        <v>0</v>
      </c>
      <c r="R60" s="117" t="e">
        <f t="shared" si="12"/>
        <v>#DIV/0!</v>
      </c>
      <c r="S60" s="117" t="e">
        <f t="shared" si="13"/>
        <v>#DIV/0!</v>
      </c>
      <c r="T60" s="117" t="e">
        <f t="shared" si="7"/>
        <v>#DIV/0!</v>
      </c>
      <c r="U60" s="117" t="e">
        <f t="shared" si="3"/>
        <v>#DIV/0!</v>
      </c>
      <c r="V60" s="117">
        <f t="shared" si="8"/>
        <v>0</v>
      </c>
      <c r="W60" s="117">
        <f t="shared" si="14"/>
        <v>0</v>
      </c>
      <c r="X60" s="117">
        <f t="shared" si="15"/>
        <v>0</v>
      </c>
      <c r="Y60" s="117" t="e">
        <f t="shared" si="16"/>
        <v>#DIV/0!</v>
      </c>
      <c r="Z60" s="117" t="e">
        <f>ABS(0.4*0.85*Main!$G$546*'Pile Data'!X60+Main!$G$545*'Pile Data'!R60-Main!$G$545*('Pile Data'!T60+'Pile Data'!V60))</f>
        <v>#DIV/0!</v>
      </c>
      <c r="AA60" s="117" t="e">
        <f>(0.4*0.85*Main!$G$546*'Pile Data'!X60*Y60+Main!$G$545*('Pile Data'!R60*S60+'Pile Data'!T60*U60+'Pile Data'!V60*W60))</f>
        <v>#DIV/0!</v>
      </c>
      <c r="AB60" s="37"/>
    </row>
    <row r="61" spans="14:28">
      <c r="N61" s="2"/>
      <c r="O61" s="38">
        <f t="shared" si="10"/>
        <v>56</v>
      </c>
      <c r="P61" s="98">
        <f t="shared" si="6"/>
        <v>0.97738438111682457</v>
      </c>
      <c r="Q61" s="117">
        <f t="shared" si="11"/>
        <v>0</v>
      </c>
      <c r="R61" s="117" t="e">
        <f t="shared" si="12"/>
        <v>#DIV/0!</v>
      </c>
      <c r="S61" s="117" t="e">
        <f t="shared" si="13"/>
        <v>#DIV/0!</v>
      </c>
      <c r="T61" s="117" t="e">
        <f t="shared" si="7"/>
        <v>#DIV/0!</v>
      </c>
      <c r="U61" s="117" t="e">
        <f t="shared" si="3"/>
        <v>#DIV/0!</v>
      </c>
      <c r="V61" s="117">
        <f t="shared" si="8"/>
        <v>0</v>
      </c>
      <c r="W61" s="117">
        <f t="shared" si="14"/>
        <v>0</v>
      </c>
      <c r="X61" s="117">
        <f t="shared" si="15"/>
        <v>0</v>
      </c>
      <c r="Y61" s="117" t="e">
        <f t="shared" si="16"/>
        <v>#DIV/0!</v>
      </c>
      <c r="Z61" s="117" t="e">
        <f>ABS(0.4*0.85*Main!$G$546*'Pile Data'!X61+Main!$G$545*'Pile Data'!R61-Main!$G$545*('Pile Data'!T61+'Pile Data'!V61))</f>
        <v>#DIV/0!</v>
      </c>
      <c r="AA61" s="117" t="e">
        <f>(0.4*0.85*Main!$G$546*'Pile Data'!X61*Y61+Main!$G$545*('Pile Data'!R61*S61+'Pile Data'!T61*U61+'Pile Data'!V61*W61))</f>
        <v>#DIV/0!</v>
      </c>
      <c r="AB61" s="37"/>
    </row>
    <row r="62" spans="14:28">
      <c r="N62" s="2"/>
      <c r="O62" s="38">
        <f t="shared" si="10"/>
        <v>57</v>
      </c>
      <c r="P62" s="98">
        <f t="shared" si="6"/>
        <v>0.99483767363676778</v>
      </c>
      <c r="Q62" s="117">
        <f t="shared" si="11"/>
        <v>0</v>
      </c>
      <c r="R62" s="117" t="e">
        <f t="shared" si="12"/>
        <v>#DIV/0!</v>
      </c>
      <c r="S62" s="117" t="e">
        <f t="shared" si="13"/>
        <v>#DIV/0!</v>
      </c>
      <c r="T62" s="117" t="e">
        <f t="shared" si="7"/>
        <v>#DIV/0!</v>
      </c>
      <c r="U62" s="117" t="e">
        <f t="shared" si="3"/>
        <v>#DIV/0!</v>
      </c>
      <c r="V62" s="117">
        <f t="shared" si="8"/>
        <v>0</v>
      </c>
      <c r="W62" s="117">
        <f t="shared" si="14"/>
        <v>0</v>
      </c>
      <c r="X62" s="117">
        <f t="shared" si="15"/>
        <v>0</v>
      </c>
      <c r="Y62" s="117" t="e">
        <f t="shared" si="16"/>
        <v>#DIV/0!</v>
      </c>
      <c r="Z62" s="117" t="e">
        <f>ABS(0.4*0.85*Main!$G$546*'Pile Data'!X62+Main!$G$545*'Pile Data'!R62-Main!$G$545*('Pile Data'!T62+'Pile Data'!V62))</f>
        <v>#DIV/0!</v>
      </c>
      <c r="AA62" s="117" t="e">
        <f>(0.4*0.85*Main!$G$546*'Pile Data'!X62*Y62+Main!$G$545*('Pile Data'!R62*S62+'Pile Data'!T62*U62+'Pile Data'!V62*W62))</f>
        <v>#DIV/0!</v>
      </c>
      <c r="AB62" s="37"/>
    </row>
    <row r="63" spans="14:28">
      <c r="N63" s="2"/>
      <c r="O63" s="38">
        <f t="shared" si="10"/>
        <v>58</v>
      </c>
      <c r="P63" s="98">
        <f t="shared" si="6"/>
        <v>1.0122909661567112</v>
      </c>
      <c r="Q63" s="117">
        <f t="shared" si="11"/>
        <v>0</v>
      </c>
      <c r="R63" s="117" t="e">
        <f t="shared" si="12"/>
        <v>#DIV/0!</v>
      </c>
      <c r="S63" s="117" t="e">
        <f t="shared" si="13"/>
        <v>#DIV/0!</v>
      </c>
      <c r="T63" s="117" t="e">
        <f t="shared" si="7"/>
        <v>#DIV/0!</v>
      </c>
      <c r="U63" s="117" t="e">
        <f t="shared" si="3"/>
        <v>#DIV/0!</v>
      </c>
      <c r="V63" s="117">
        <f t="shared" si="8"/>
        <v>0</v>
      </c>
      <c r="W63" s="117">
        <f t="shared" si="14"/>
        <v>0</v>
      </c>
      <c r="X63" s="117">
        <f t="shared" si="15"/>
        <v>0</v>
      </c>
      <c r="Y63" s="117" t="e">
        <f t="shared" si="16"/>
        <v>#DIV/0!</v>
      </c>
      <c r="Z63" s="117" t="e">
        <f>ABS(0.4*0.85*Main!$G$546*'Pile Data'!X63+Main!$G$545*'Pile Data'!R63-Main!$G$545*('Pile Data'!T63+'Pile Data'!V63))</f>
        <v>#DIV/0!</v>
      </c>
      <c r="AA63" s="117" t="e">
        <f>(0.4*0.85*Main!$G$546*'Pile Data'!X63*Y63+Main!$G$545*('Pile Data'!R63*S63+'Pile Data'!T63*U63+'Pile Data'!V63*W63))</f>
        <v>#DIV/0!</v>
      </c>
      <c r="AB63" s="37"/>
    </row>
    <row r="64" spans="14:28">
      <c r="N64" s="2"/>
      <c r="O64" s="38">
        <f t="shared" si="10"/>
        <v>59</v>
      </c>
      <c r="P64" s="98">
        <f t="shared" si="6"/>
        <v>1.0297442586766543</v>
      </c>
      <c r="Q64" s="117">
        <f t="shared" si="11"/>
        <v>0</v>
      </c>
      <c r="R64" s="117" t="e">
        <f t="shared" si="12"/>
        <v>#DIV/0!</v>
      </c>
      <c r="S64" s="117" t="e">
        <f t="shared" si="13"/>
        <v>#DIV/0!</v>
      </c>
      <c r="T64" s="117" t="e">
        <f t="shared" si="7"/>
        <v>#DIV/0!</v>
      </c>
      <c r="U64" s="117" t="e">
        <f t="shared" si="3"/>
        <v>#DIV/0!</v>
      </c>
      <c r="V64" s="117">
        <f t="shared" si="8"/>
        <v>0</v>
      </c>
      <c r="W64" s="117">
        <f t="shared" si="14"/>
        <v>0</v>
      </c>
      <c r="X64" s="117">
        <f t="shared" si="15"/>
        <v>0</v>
      </c>
      <c r="Y64" s="117" t="e">
        <f t="shared" si="16"/>
        <v>#DIV/0!</v>
      </c>
      <c r="Z64" s="117" t="e">
        <f>ABS(0.4*0.85*Main!$G$546*'Pile Data'!X64+Main!$G$545*'Pile Data'!R64-Main!$G$545*('Pile Data'!T64+'Pile Data'!V64))</f>
        <v>#DIV/0!</v>
      </c>
      <c r="AA64" s="117" t="e">
        <f>(0.4*0.85*Main!$G$546*'Pile Data'!X64*Y64+Main!$G$545*('Pile Data'!R64*S64+'Pile Data'!T64*U64+'Pile Data'!V64*W64))</f>
        <v>#DIV/0!</v>
      </c>
      <c r="AB64" s="37"/>
    </row>
    <row r="65" spans="14:28">
      <c r="N65" s="2"/>
      <c r="O65" s="38">
        <f t="shared" si="10"/>
        <v>60</v>
      </c>
      <c r="P65" s="98">
        <f t="shared" si="6"/>
        <v>1.0471975511965976</v>
      </c>
      <c r="Q65" s="117">
        <f t="shared" si="11"/>
        <v>0</v>
      </c>
      <c r="R65" s="117" t="e">
        <f t="shared" si="12"/>
        <v>#DIV/0!</v>
      </c>
      <c r="S65" s="117" t="e">
        <f t="shared" si="13"/>
        <v>#DIV/0!</v>
      </c>
      <c r="T65" s="117" t="e">
        <f t="shared" si="7"/>
        <v>#DIV/0!</v>
      </c>
      <c r="U65" s="117" t="e">
        <f t="shared" si="3"/>
        <v>#DIV/0!</v>
      </c>
      <c r="V65" s="117">
        <f t="shared" si="8"/>
        <v>0</v>
      </c>
      <c r="W65" s="117">
        <f t="shared" si="14"/>
        <v>0</v>
      </c>
      <c r="X65" s="117">
        <f t="shared" si="15"/>
        <v>0</v>
      </c>
      <c r="Y65" s="117" t="e">
        <f t="shared" si="16"/>
        <v>#DIV/0!</v>
      </c>
      <c r="Z65" s="117" t="e">
        <f>ABS(0.4*0.85*Main!$G$546*'Pile Data'!X65+Main!$G$545*'Pile Data'!R65-Main!$G$545*('Pile Data'!T65+'Pile Data'!V65))</f>
        <v>#DIV/0!</v>
      </c>
      <c r="AA65" s="117" t="e">
        <f>(0.4*0.85*Main!$G$546*'Pile Data'!X65*Y65+Main!$G$545*('Pile Data'!R65*S65+'Pile Data'!T65*U65+'Pile Data'!V65*W65))</f>
        <v>#DIV/0!</v>
      </c>
      <c r="AB65" s="37"/>
    </row>
    <row r="66" spans="14:28">
      <c r="N66" s="2"/>
      <c r="O66" s="38">
        <f t="shared" si="10"/>
        <v>61</v>
      </c>
      <c r="P66" s="98">
        <f t="shared" si="6"/>
        <v>1.064650843716541</v>
      </c>
      <c r="Q66" s="117">
        <f t="shared" si="11"/>
        <v>0</v>
      </c>
      <c r="R66" s="117" t="e">
        <f t="shared" si="12"/>
        <v>#DIV/0!</v>
      </c>
      <c r="S66" s="117" t="e">
        <f t="shared" si="13"/>
        <v>#DIV/0!</v>
      </c>
      <c r="T66" s="117" t="e">
        <f t="shared" si="7"/>
        <v>#DIV/0!</v>
      </c>
      <c r="U66" s="117" t="e">
        <f t="shared" si="3"/>
        <v>#DIV/0!</v>
      </c>
      <c r="V66" s="117">
        <f t="shared" si="8"/>
        <v>0</v>
      </c>
      <c r="W66" s="117">
        <f t="shared" si="14"/>
        <v>0</v>
      </c>
      <c r="X66" s="117">
        <f t="shared" si="15"/>
        <v>0</v>
      </c>
      <c r="Y66" s="117" t="e">
        <f t="shared" si="16"/>
        <v>#DIV/0!</v>
      </c>
      <c r="Z66" s="117" t="e">
        <f>ABS(0.4*0.85*Main!$G$546*'Pile Data'!X66+Main!$G$545*'Pile Data'!R66-Main!$G$545*('Pile Data'!T66+'Pile Data'!V66))</f>
        <v>#DIV/0!</v>
      </c>
      <c r="AA66" s="117" t="e">
        <f>(0.4*0.85*Main!$G$546*'Pile Data'!X66*Y66+Main!$G$545*('Pile Data'!R66*S66+'Pile Data'!T66*U66+'Pile Data'!V66*W66))</f>
        <v>#DIV/0!</v>
      </c>
      <c r="AB66" s="37"/>
    </row>
    <row r="67" spans="14:28">
      <c r="N67" s="2"/>
      <c r="O67" s="38">
        <f t="shared" si="10"/>
        <v>62</v>
      </c>
      <c r="P67" s="98">
        <f t="shared" si="6"/>
        <v>1.0821041362364843</v>
      </c>
      <c r="Q67" s="117">
        <f t="shared" si="11"/>
        <v>0</v>
      </c>
      <c r="R67" s="117" t="e">
        <f t="shared" si="12"/>
        <v>#DIV/0!</v>
      </c>
      <c r="S67" s="117" t="e">
        <f t="shared" si="13"/>
        <v>#DIV/0!</v>
      </c>
      <c r="T67" s="117" t="e">
        <f t="shared" si="7"/>
        <v>#DIV/0!</v>
      </c>
      <c r="U67" s="117" t="e">
        <f t="shared" si="3"/>
        <v>#DIV/0!</v>
      </c>
      <c r="V67" s="117">
        <f t="shared" si="8"/>
        <v>0</v>
      </c>
      <c r="W67" s="117">
        <f t="shared" si="14"/>
        <v>0</v>
      </c>
      <c r="X67" s="117">
        <f t="shared" si="15"/>
        <v>0</v>
      </c>
      <c r="Y67" s="117" t="e">
        <f t="shared" si="16"/>
        <v>#DIV/0!</v>
      </c>
      <c r="Z67" s="117" t="e">
        <f>ABS(0.4*0.85*Main!$G$546*'Pile Data'!X67+Main!$G$545*'Pile Data'!R67-Main!$G$545*('Pile Data'!T67+'Pile Data'!V67))</f>
        <v>#DIV/0!</v>
      </c>
      <c r="AA67" s="117" t="e">
        <f>(0.4*0.85*Main!$G$546*'Pile Data'!X67*Y67+Main!$G$545*('Pile Data'!R67*S67+'Pile Data'!T67*U67+'Pile Data'!V67*W67))</f>
        <v>#DIV/0!</v>
      </c>
      <c r="AB67" s="37"/>
    </row>
    <row r="68" spans="14:28">
      <c r="N68" s="2"/>
      <c r="O68" s="38">
        <f t="shared" si="10"/>
        <v>63</v>
      </c>
      <c r="P68" s="98">
        <f t="shared" si="6"/>
        <v>1.0995574287564276</v>
      </c>
      <c r="Q68" s="117">
        <f t="shared" si="11"/>
        <v>0</v>
      </c>
      <c r="R68" s="117" t="e">
        <f t="shared" si="12"/>
        <v>#DIV/0!</v>
      </c>
      <c r="S68" s="117" t="e">
        <f t="shared" si="13"/>
        <v>#DIV/0!</v>
      </c>
      <c r="T68" s="117" t="e">
        <f t="shared" si="7"/>
        <v>#DIV/0!</v>
      </c>
      <c r="U68" s="117" t="e">
        <f t="shared" si="3"/>
        <v>#DIV/0!</v>
      </c>
      <c r="V68" s="117">
        <f t="shared" si="8"/>
        <v>0</v>
      </c>
      <c r="W68" s="117">
        <f t="shared" si="14"/>
        <v>0</v>
      </c>
      <c r="X68" s="117">
        <f t="shared" si="15"/>
        <v>0</v>
      </c>
      <c r="Y68" s="117" t="e">
        <f t="shared" si="16"/>
        <v>#DIV/0!</v>
      </c>
      <c r="Z68" s="117" t="e">
        <f>ABS(0.4*0.85*Main!$G$546*'Pile Data'!X68+Main!$G$545*'Pile Data'!R68-Main!$G$545*('Pile Data'!T68+'Pile Data'!V68))</f>
        <v>#DIV/0!</v>
      </c>
      <c r="AA68" s="117" t="e">
        <f>(0.4*0.85*Main!$G$546*'Pile Data'!X68*Y68+Main!$G$545*('Pile Data'!R68*S68+'Pile Data'!T68*U68+'Pile Data'!V68*W68))</f>
        <v>#DIV/0!</v>
      </c>
      <c r="AB68" s="37"/>
    </row>
    <row r="69" spans="14:28">
      <c r="N69" s="2"/>
      <c r="O69" s="38">
        <f t="shared" si="10"/>
        <v>64</v>
      </c>
      <c r="P69" s="98">
        <f t="shared" si="6"/>
        <v>1.1170107212763709</v>
      </c>
      <c r="Q69" s="117">
        <f t="shared" ref="Q69:Q100" si="17">COS(P69/2)*($D$25-2*$E$25)/2</f>
        <v>0</v>
      </c>
      <c r="R69" s="117" t="e">
        <f t="shared" ref="R69:R100" si="18">+(($D$25-$E$25)*ACOS(Q69*2/($D$25-$E$25)))*$E$25</f>
        <v>#DIV/0!</v>
      </c>
      <c r="S69" s="117" t="e">
        <f t="shared" ref="S69:S100" si="19">+(($D$25-$E$25)/2)*SIN(ACOS(2*Q69/($D$25-$E$25)))/(ACOS(2*Q69/($D$25-$E$25)))</f>
        <v>#DIV/0!</v>
      </c>
      <c r="T69" s="117" t="e">
        <f t="shared" si="7"/>
        <v>#DIV/0!</v>
      </c>
      <c r="U69" s="117" t="e">
        <f t="shared" ref="U69:U132" si="20">+(V69*W69-R69*S69)/T69</f>
        <v>#DIV/0!</v>
      </c>
      <c r="V69" s="117">
        <f t="shared" si="8"/>
        <v>0</v>
      </c>
      <c r="W69" s="117">
        <f t="shared" ref="W69:W100" si="21">($D$25-$E$25)/PI()</f>
        <v>0</v>
      </c>
      <c r="X69" s="117">
        <f t="shared" ref="X69:X100" si="22">+($D$25/2-$E$25)^2*(P69-SIN(P69))/2</f>
        <v>0</v>
      </c>
      <c r="Y69" s="117" t="e">
        <f t="shared" si="16"/>
        <v>#DIV/0!</v>
      </c>
      <c r="Z69" s="117" t="e">
        <f>ABS(0.4*0.85*Main!$G$546*'Pile Data'!X69+Main!$G$545*'Pile Data'!R69-Main!$G$545*('Pile Data'!T69+'Pile Data'!V69))</f>
        <v>#DIV/0!</v>
      </c>
      <c r="AA69" s="117" t="e">
        <f>(0.4*0.85*Main!$G$546*'Pile Data'!X69*Y69+Main!$G$545*('Pile Data'!R69*S69+'Pile Data'!T69*U69+'Pile Data'!V69*W69))</f>
        <v>#DIV/0!</v>
      </c>
      <c r="AB69" s="37"/>
    </row>
    <row r="70" spans="14:28">
      <c r="N70" s="2"/>
      <c r="O70" s="38">
        <f t="shared" si="10"/>
        <v>65</v>
      </c>
      <c r="P70" s="98">
        <f t="shared" ref="P70:P133" si="23">+O70*PI()/180</f>
        <v>1.1344640137963142</v>
      </c>
      <c r="Q70" s="117">
        <f t="shared" si="17"/>
        <v>0</v>
      </c>
      <c r="R70" s="117" t="e">
        <f t="shared" si="18"/>
        <v>#DIV/0!</v>
      </c>
      <c r="S70" s="117" t="e">
        <f t="shared" si="19"/>
        <v>#DIV/0!</v>
      </c>
      <c r="T70" s="117" t="e">
        <f t="shared" ref="T70:T133" si="24">+(As/2)-R70</f>
        <v>#DIV/0!</v>
      </c>
      <c r="U70" s="117" t="e">
        <f t="shared" si="20"/>
        <v>#DIV/0!</v>
      </c>
      <c r="V70" s="117">
        <f t="shared" ref="V70:V133" si="25">+(As/2)</f>
        <v>0</v>
      </c>
      <c r="W70" s="117">
        <f t="shared" si="21"/>
        <v>0</v>
      </c>
      <c r="X70" s="117">
        <f t="shared" si="22"/>
        <v>0</v>
      </c>
      <c r="Y70" s="117" t="e">
        <f t="shared" ref="Y70:Y101" si="26">2*($D$25/2-$E$25)^3*SIN(P70/2)^3/(3*X70)</f>
        <v>#DIV/0!</v>
      </c>
      <c r="Z70" s="117" t="e">
        <f>ABS(0.4*0.85*Main!$G$546*'Pile Data'!X70+Main!$G$545*'Pile Data'!R70-Main!$G$545*('Pile Data'!T70+'Pile Data'!V70))</f>
        <v>#DIV/0!</v>
      </c>
      <c r="AA70" s="117" t="e">
        <f>(0.4*0.85*Main!$G$546*'Pile Data'!X70*Y70+Main!$G$545*('Pile Data'!R70*S70+'Pile Data'!T70*U70+'Pile Data'!V70*W70))</f>
        <v>#DIV/0!</v>
      </c>
      <c r="AB70" s="37"/>
    </row>
    <row r="71" spans="14:28">
      <c r="N71" s="2"/>
      <c r="O71" s="38">
        <f t="shared" ref="O71:O134" si="27">+O70+1</f>
        <v>66</v>
      </c>
      <c r="P71" s="98">
        <f t="shared" si="23"/>
        <v>1.1519173063162575</v>
      </c>
      <c r="Q71" s="117">
        <f t="shared" si="17"/>
        <v>0</v>
      </c>
      <c r="R71" s="117" t="e">
        <f t="shared" si="18"/>
        <v>#DIV/0!</v>
      </c>
      <c r="S71" s="117" t="e">
        <f t="shared" si="19"/>
        <v>#DIV/0!</v>
      </c>
      <c r="T71" s="117" t="e">
        <f t="shared" si="24"/>
        <v>#DIV/0!</v>
      </c>
      <c r="U71" s="117" t="e">
        <f t="shared" si="20"/>
        <v>#DIV/0!</v>
      </c>
      <c r="V71" s="117">
        <f t="shared" si="25"/>
        <v>0</v>
      </c>
      <c r="W71" s="117">
        <f t="shared" si="21"/>
        <v>0</v>
      </c>
      <c r="X71" s="117">
        <f t="shared" si="22"/>
        <v>0</v>
      </c>
      <c r="Y71" s="117" t="e">
        <f t="shared" si="26"/>
        <v>#DIV/0!</v>
      </c>
      <c r="Z71" s="117" t="e">
        <f>ABS(0.4*0.85*Main!$G$546*'Pile Data'!X71+Main!$G$545*'Pile Data'!R71-Main!$G$545*('Pile Data'!T71+'Pile Data'!V71))</f>
        <v>#DIV/0!</v>
      </c>
      <c r="AA71" s="117" t="e">
        <f>(0.4*0.85*Main!$G$546*'Pile Data'!X71*Y71+Main!$G$545*('Pile Data'!R71*S71+'Pile Data'!T71*U71+'Pile Data'!V71*W71))</f>
        <v>#DIV/0!</v>
      </c>
      <c r="AB71" s="37"/>
    </row>
    <row r="72" spans="14:28">
      <c r="N72" s="2"/>
      <c r="O72" s="38">
        <f t="shared" si="27"/>
        <v>67</v>
      </c>
      <c r="P72" s="98">
        <f t="shared" si="23"/>
        <v>1.1693705988362006</v>
      </c>
      <c r="Q72" s="117">
        <f t="shared" si="17"/>
        <v>0</v>
      </c>
      <c r="R72" s="117" t="e">
        <f t="shared" si="18"/>
        <v>#DIV/0!</v>
      </c>
      <c r="S72" s="117" t="e">
        <f t="shared" si="19"/>
        <v>#DIV/0!</v>
      </c>
      <c r="T72" s="117" t="e">
        <f t="shared" si="24"/>
        <v>#DIV/0!</v>
      </c>
      <c r="U72" s="117" t="e">
        <f t="shared" si="20"/>
        <v>#DIV/0!</v>
      </c>
      <c r="V72" s="117">
        <f t="shared" si="25"/>
        <v>0</v>
      </c>
      <c r="W72" s="117">
        <f t="shared" si="21"/>
        <v>0</v>
      </c>
      <c r="X72" s="117">
        <f t="shared" si="22"/>
        <v>0</v>
      </c>
      <c r="Y72" s="117" t="e">
        <f t="shared" si="26"/>
        <v>#DIV/0!</v>
      </c>
      <c r="Z72" s="117" t="e">
        <f>ABS(0.4*0.85*Main!$G$546*'Pile Data'!X72+Main!$G$545*'Pile Data'!R72-Main!$G$545*('Pile Data'!T72+'Pile Data'!V72))</f>
        <v>#DIV/0!</v>
      </c>
      <c r="AA72" s="117" t="e">
        <f>(0.4*0.85*Main!$G$546*'Pile Data'!X72*Y72+Main!$G$545*('Pile Data'!R72*S72+'Pile Data'!T72*U72+'Pile Data'!V72*W72))</f>
        <v>#DIV/0!</v>
      </c>
      <c r="AB72" s="37"/>
    </row>
    <row r="73" spans="14:28">
      <c r="N73" s="2"/>
      <c r="O73" s="38">
        <f t="shared" si="27"/>
        <v>68</v>
      </c>
      <c r="P73" s="98">
        <f t="shared" si="23"/>
        <v>1.1868238913561442</v>
      </c>
      <c r="Q73" s="117">
        <f t="shared" si="17"/>
        <v>0</v>
      </c>
      <c r="R73" s="117" t="e">
        <f t="shared" si="18"/>
        <v>#DIV/0!</v>
      </c>
      <c r="S73" s="117" t="e">
        <f t="shared" si="19"/>
        <v>#DIV/0!</v>
      </c>
      <c r="T73" s="117" t="e">
        <f t="shared" si="24"/>
        <v>#DIV/0!</v>
      </c>
      <c r="U73" s="117" t="e">
        <f t="shared" si="20"/>
        <v>#DIV/0!</v>
      </c>
      <c r="V73" s="117">
        <f t="shared" si="25"/>
        <v>0</v>
      </c>
      <c r="W73" s="117">
        <f t="shared" si="21"/>
        <v>0</v>
      </c>
      <c r="X73" s="117">
        <f t="shared" si="22"/>
        <v>0</v>
      </c>
      <c r="Y73" s="117" t="e">
        <f t="shared" si="26"/>
        <v>#DIV/0!</v>
      </c>
      <c r="Z73" s="117" t="e">
        <f>ABS(0.4*0.85*Main!$G$546*'Pile Data'!X73+Main!$G$545*'Pile Data'!R73-Main!$G$545*('Pile Data'!T73+'Pile Data'!V73))</f>
        <v>#DIV/0!</v>
      </c>
      <c r="AA73" s="117" t="e">
        <f>(0.4*0.85*Main!$G$546*'Pile Data'!X73*Y73+Main!$G$545*('Pile Data'!R73*S73+'Pile Data'!T73*U73+'Pile Data'!V73*W73))</f>
        <v>#DIV/0!</v>
      </c>
      <c r="AB73" s="37"/>
    </row>
    <row r="74" spans="14:28">
      <c r="N74" s="2"/>
      <c r="O74" s="38">
        <f t="shared" si="27"/>
        <v>69</v>
      </c>
      <c r="P74" s="98">
        <f t="shared" si="23"/>
        <v>1.2042771838760873</v>
      </c>
      <c r="Q74" s="117">
        <f t="shared" si="17"/>
        <v>0</v>
      </c>
      <c r="R74" s="117" t="e">
        <f t="shared" si="18"/>
        <v>#DIV/0!</v>
      </c>
      <c r="S74" s="117" t="e">
        <f t="shared" si="19"/>
        <v>#DIV/0!</v>
      </c>
      <c r="T74" s="117" t="e">
        <f t="shared" si="24"/>
        <v>#DIV/0!</v>
      </c>
      <c r="U74" s="117" t="e">
        <f t="shared" si="20"/>
        <v>#DIV/0!</v>
      </c>
      <c r="V74" s="117">
        <f t="shared" si="25"/>
        <v>0</v>
      </c>
      <c r="W74" s="117">
        <f t="shared" si="21"/>
        <v>0</v>
      </c>
      <c r="X74" s="117">
        <f t="shared" si="22"/>
        <v>0</v>
      </c>
      <c r="Y74" s="117" t="e">
        <f t="shared" si="26"/>
        <v>#DIV/0!</v>
      </c>
      <c r="Z74" s="117" t="e">
        <f>ABS(0.4*0.85*Main!$G$546*'Pile Data'!X74+Main!$G$545*'Pile Data'!R74-Main!$G$545*('Pile Data'!T74+'Pile Data'!V74))</f>
        <v>#DIV/0!</v>
      </c>
      <c r="AA74" s="117" t="e">
        <f>(0.4*0.85*Main!$G$546*'Pile Data'!X74*Y74+Main!$G$545*('Pile Data'!R74*S74+'Pile Data'!T74*U74+'Pile Data'!V74*W74))</f>
        <v>#DIV/0!</v>
      </c>
      <c r="AB74" s="37"/>
    </row>
    <row r="75" spans="14:28">
      <c r="N75" s="2"/>
      <c r="O75" s="38">
        <f t="shared" si="27"/>
        <v>70</v>
      </c>
      <c r="P75" s="98">
        <f t="shared" si="23"/>
        <v>1.2217304763960306</v>
      </c>
      <c r="Q75" s="117">
        <f t="shared" si="17"/>
        <v>0</v>
      </c>
      <c r="R75" s="117" t="e">
        <f t="shared" si="18"/>
        <v>#DIV/0!</v>
      </c>
      <c r="S75" s="117" t="e">
        <f t="shared" si="19"/>
        <v>#DIV/0!</v>
      </c>
      <c r="T75" s="117" t="e">
        <f t="shared" si="24"/>
        <v>#DIV/0!</v>
      </c>
      <c r="U75" s="117" t="e">
        <f t="shared" si="20"/>
        <v>#DIV/0!</v>
      </c>
      <c r="V75" s="117">
        <f t="shared" si="25"/>
        <v>0</v>
      </c>
      <c r="W75" s="117">
        <f t="shared" si="21"/>
        <v>0</v>
      </c>
      <c r="X75" s="117">
        <f t="shared" si="22"/>
        <v>0</v>
      </c>
      <c r="Y75" s="117" t="e">
        <f t="shared" si="26"/>
        <v>#DIV/0!</v>
      </c>
      <c r="Z75" s="117" t="e">
        <f>ABS(0.4*0.85*Main!$G$546*'Pile Data'!X75+Main!$G$545*'Pile Data'!R75-Main!$G$545*('Pile Data'!T75+'Pile Data'!V75))</f>
        <v>#DIV/0!</v>
      </c>
      <c r="AA75" s="117" t="e">
        <f>(0.4*0.85*Main!$G$546*'Pile Data'!X75*Y75+Main!$G$545*('Pile Data'!R75*S75+'Pile Data'!T75*U75+'Pile Data'!V75*W75))</f>
        <v>#DIV/0!</v>
      </c>
      <c r="AB75" s="37"/>
    </row>
    <row r="76" spans="14:28">
      <c r="N76" s="2"/>
      <c r="O76" s="38">
        <f t="shared" si="27"/>
        <v>71</v>
      </c>
      <c r="P76" s="98">
        <f t="shared" si="23"/>
        <v>1.2391837689159739</v>
      </c>
      <c r="Q76" s="117">
        <f t="shared" si="17"/>
        <v>0</v>
      </c>
      <c r="R76" s="117" t="e">
        <f t="shared" si="18"/>
        <v>#DIV/0!</v>
      </c>
      <c r="S76" s="117" t="e">
        <f t="shared" si="19"/>
        <v>#DIV/0!</v>
      </c>
      <c r="T76" s="117" t="e">
        <f t="shared" si="24"/>
        <v>#DIV/0!</v>
      </c>
      <c r="U76" s="117" t="e">
        <f t="shared" si="20"/>
        <v>#DIV/0!</v>
      </c>
      <c r="V76" s="117">
        <f t="shared" si="25"/>
        <v>0</v>
      </c>
      <c r="W76" s="117">
        <f t="shared" si="21"/>
        <v>0</v>
      </c>
      <c r="X76" s="117">
        <f t="shared" si="22"/>
        <v>0</v>
      </c>
      <c r="Y76" s="117" t="e">
        <f t="shared" si="26"/>
        <v>#DIV/0!</v>
      </c>
      <c r="Z76" s="117" t="e">
        <f>ABS(0.4*0.85*Main!$G$546*'Pile Data'!X76+Main!$G$545*'Pile Data'!R76-Main!$G$545*('Pile Data'!T76+'Pile Data'!V76))</f>
        <v>#DIV/0!</v>
      </c>
      <c r="AA76" s="117" t="e">
        <f>(0.4*0.85*Main!$G$546*'Pile Data'!X76*Y76+Main!$G$545*('Pile Data'!R76*S76+'Pile Data'!T76*U76+'Pile Data'!V76*W76))</f>
        <v>#DIV/0!</v>
      </c>
      <c r="AB76" s="37"/>
    </row>
    <row r="77" spans="14:28">
      <c r="N77" s="2"/>
      <c r="O77" s="38">
        <f t="shared" si="27"/>
        <v>72</v>
      </c>
      <c r="P77" s="98">
        <f t="shared" si="23"/>
        <v>1.2566370614359172</v>
      </c>
      <c r="Q77" s="117">
        <f t="shared" si="17"/>
        <v>0</v>
      </c>
      <c r="R77" s="117" t="e">
        <f t="shared" si="18"/>
        <v>#DIV/0!</v>
      </c>
      <c r="S77" s="117" t="e">
        <f t="shared" si="19"/>
        <v>#DIV/0!</v>
      </c>
      <c r="T77" s="117" t="e">
        <f t="shared" si="24"/>
        <v>#DIV/0!</v>
      </c>
      <c r="U77" s="117" t="e">
        <f t="shared" si="20"/>
        <v>#DIV/0!</v>
      </c>
      <c r="V77" s="117">
        <f t="shared" si="25"/>
        <v>0</v>
      </c>
      <c r="W77" s="117">
        <f t="shared" si="21"/>
        <v>0</v>
      </c>
      <c r="X77" s="117">
        <f t="shared" si="22"/>
        <v>0</v>
      </c>
      <c r="Y77" s="117" t="e">
        <f t="shared" si="26"/>
        <v>#DIV/0!</v>
      </c>
      <c r="Z77" s="117" t="e">
        <f>ABS(0.4*0.85*Main!$G$546*'Pile Data'!X77+Main!$G$545*'Pile Data'!R77-Main!$G$545*('Pile Data'!T77+'Pile Data'!V77))</f>
        <v>#DIV/0!</v>
      </c>
      <c r="AA77" s="117" t="e">
        <f>(0.4*0.85*Main!$G$546*'Pile Data'!X77*Y77+Main!$G$545*('Pile Data'!R77*S77+'Pile Data'!T77*U77+'Pile Data'!V77*W77))</f>
        <v>#DIV/0!</v>
      </c>
      <c r="AB77" s="37"/>
    </row>
    <row r="78" spans="14:28">
      <c r="N78" s="2"/>
      <c r="O78" s="38">
        <f t="shared" si="27"/>
        <v>73</v>
      </c>
      <c r="P78" s="98">
        <f t="shared" si="23"/>
        <v>1.2740903539558606</v>
      </c>
      <c r="Q78" s="117">
        <f t="shared" si="17"/>
        <v>0</v>
      </c>
      <c r="R78" s="117" t="e">
        <f t="shared" si="18"/>
        <v>#DIV/0!</v>
      </c>
      <c r="S78" s="117" t="e">
        <f t="shared" si="19"/>
        <v>#DIV/0!</v>
      </c>
      <c r="T78" s="117" t="e">
        <f t="shared" si="24"/>
        <v>#DIV/0!</v>
      </c>
      <c r="U78" s="117" t="e">
        <f t="shared" si="20"/>
        <v>#DIV/0!</v>
      </c>
      <c r="V78" s="117">
        <f t="shared" si="25"/>
        <v>0</v>
      </c>
      <c r="W78" s="117">
        <f t="shared" si="21"/>
        <v>0</v>
      </c>
      <c r="X78" s="117">
        <f t="shared" si="22"/>
        <v>0</v>
      </c>
      <c r="Y78" s="117" t="e">
        <f t="shared" si="26"/>
        <v>#DIV/0!</v>
      </c>
      <c r="Z78" s="117" t="e">
        <f>ABS(0.4*0.85*Main!$G$546*'Pile Data'!X78+Main!$G$545*'Pile Data'!R78-Main!$G$545*('Pile Data'!T78+'Pile Data'!V78))</f>
        <v>#DIV/0!</v>
      </c>
      <c r="AA78" s="117" t="e">
        <f>(0.4*0.85*Main!$G$546*'Pile Data'!X78*Y78+Main!$G$545*('Pile Data'!R78*S78+'Pile Data'!T78*U78+'Pile Data'!V78*W78))</f>
        <v>#DIV/0!</v>
      </c>
      <c r="AB78" s="37"/>
    </row>
    <row r="79" spans="14:28">
      <c r="N79" s="2"/>
      <c r="O79" s="38">
        <f t="shared" si="27"/>
        <v>74</v>
      </c>
      <c r="P79" s="98">
        <f t="shared" si="23"/>
        <v>1.2915436464758039</v>
      </c>
      <c r="Q79" s="117">
        <f t="shared" si="17"/>
        <v>0</v>
      </c>
      <c r="R79" s="117" t="e">
        <f t="shared" si="18"/>
        <v>#DIV/0!</v>
      </c>
      <c r="S79" s="117" t="e">
        <f t="shared" si="19"/>
        <v>#DIV/0!</v>
      </c>
      <c r="T79" s="117" t="e">
        <f t="shared" si="24"/>
        <v>#DIV/0!</v>
      </c>
      <c r="U79" s="117" t="e">
        <f t="shared" si="20"/>
        <v>#DIV/0!</v>
      </c>
      <c r="V79" s="117">
        <f t="shared" si="25"/>
        <v>0</v>
      </c>
      <c r="W79" s="117">
        <f t="shared" si="21"/>
        <v>0</v>
      </c>
      <c r="X79" s="117">
        <f t="shared" si="22"/>
        <v>0</v>
      </c>
      <c r="Y79" s="117" t="e">
        <f t="shared" si="26"/>
        <v>#DIV/0!</v>
      </c>
      <c r="Z79" s="117" t="e">
        <f>ABS(0.4*0.85*Main!$G$546*'Pile Data'!X79+Main!$G$545*'Pile Data'!R79-Main!$G$545*('Pile Data'!T79+'Pile Data'!V79))</f>
        <v>#DIV/0!</v>
      </c>
      <c r="AA79" s="117" t="e">
        <f>(0.4*0.85*Main!$G$546*'Pile Data'!X79*Y79+Main!$G$545*('Pile Data'!R79*S79+'Pile Data'!T79*U79+'Pile Data'!V79*W79))</f>
        <v>#DIV/0!</v>
      </c>
      <c r="AB79" s="37"/>
    </row>
    <row r="80" spans="14:28">
      <c r="N80" s="2"/>
      <c r="O80" s="38">
        <f t="shared" si="27"/>
        <v>75</v>
      </c>
      <c r="P80" s="98">
        <f t="shared" si="23"/>
        <v>1.3089969389957472</v>
      </c>
      <c r="Q80" s="117">
        <f t="shared" si="17"/>
        <v>0</v>
      </c>
      <c r="R80" s="117" t="e">
        <f t="shared" si="18"/>
        <v>#DIV/0!</v>
      </c>
      <c r="S80" s="117" t="e">
        <f t="shared" si="19"/>
        <v>#DIV/0!</v>
      </c>
      <c r="T80" s="117" t="e">
        <f t="shared" si="24"/>
        <v>#DIV/0!</v>
      </c>
      <c r="U80" s="117" t="e">
        <f t="shared" si="20"/>
        <v>#DIV/0!</v>
      </c>
      <c r="V80" s="117">
        <f t="shared" si="25"/>
        <v>0</v>
      </c>
      <c r="W80" s="117">
        <f t="shared" si="21"/>
        <v>0</v>
      </c>
      <c r="X80" s="117">
        <f t="shared" si="22"/>
        <v>0</v>
      </c>
      <c r="Y80" s="117" t="e">
        <f t="shared" si="26"/>
        <v>#DIV/0!</v>
      </c>
      <c r="Z80" s="117" t="e">
        <f>ABS(0.4*0.85*Main!$G$546*'Pile Data'!X80+Main!$G$545*'Pile Data'!R80-Main!$G$545*('Pile Data'!T80+'Pile Data'!V80))</f>
        <v>#DIV/0!</v>
      </c>
      <c r="AA80" s="117" t="e">
        <f>(0.4*0.85*Main!$G$546*'Pile Data'!X80*Y80+Main!$G$545*('Pile Data'!R80*S80+'Pile Data'!T80*U80+'Pile Data'!V80*W80))</f>
        <v>#DIV/0!</v>
      </c>
      <c r="AB80" s="37"/>
    </row>
    <row r="81" spans="14:28">
      <c r="N81" s="2"/>
      <c r="O81" s="38">
        <f t="shared" si="27"/>
        <v>76</v>
      </c>
      <c r="P81" s="98">
        <f t="shared" si="23"/>
        <v>1.3264502315156903</v>
      </c>
      <c r="Q81" s="117">
        <f t="shared" si="17"/>
        <v>0</v>
      </c>
      <c r="R81" s="117" t="e">
        <f t="shared" si="18"/>
        <v>#DIV/0!</v>
      </c>
      <c r="S81" s="117" t="e">
        <f t="shared" si="19"/>
        <v>#DIV/0!</v>
      </c>
      <c r="T81" s="117" t="e">
        <f t="shared" si="24"/>
        <v>#DIV/0!</v>
      </c>
      <c r="U81" s="117" t="e">
        <f t="shared" si="20"/>
        <v>#DIV/0!</v>
      </c>
      <c r="V81" s="117">
        <f t="shared" si="25"/>
        <v>0</v>
      </c>
      <c r="W81" s="117">
        <f t="shared" si="21"/>
        <v>0</v>
      </c>
      <c r="X81" s="117">
        <f t="shared" si="22"/>
        <v>0</v>
      </c>
      <c r="Y81" s="117" t="e">
        <f t="shared" si="26"/>
        <v>#DIV/0!</v>
      </c>
      <c r="Z81" s="117" t="e">
        <f>ABS(0.4*0.85*Main!$G$546*'Pile Data'!X81+Main!$G$545*'Pile Data'!R81-Main!$G$545*('Pile Data'!T81+'Pile Data'!V81))</f>
        <v>#DIV/0!</v>
      </c>
      <c r="AA81" s="117" t="e">
        <f>(0.4*0.85*Main!$G$546*'Pile Data'!X81*Y81+Main!$G$545*('Pile Data'!R81*S81+'Pile Data'!T81*U81+'Pile Data'!V81*W81))</f>
        <v>#DIV/0!</v>
      </c>
      <c r="AB81" s="37"/>
    </row>
    <row r="82" spans="14:28">
      <c r="N82" s="2"/>
      <c r="O82" s="38">
        <f t="shared" si="27"/>
        <v>77</v>
      </c>
      <c r="P82" s="98">
        <f t="shared" si="23"/>
        <v>1.3439035240356338</v>
      </c>
      <c r="Q82" s="117">
        <f t="shared" si="17"/>
        <v>0</v>
      </c>
      <c r="R82" s="117" t="e">
        <f t="shared" si="18"/>
        <v>#DIV/0!</v>
      </c>
      <c r="S82" s="117" t="e">
        <f t="shared" si="19"/>
        <v>#DIV/0!</v>
      </c>
      <c r="T82" s="117" t="e">
        <f t="shared" si="24"/>
        <v>#DIV/0!</v>
      </c>
      <c r="U82" s="117" t="e">
        <f t="shared" si="20"/>
        <v>#DIV/0!</v>
      </c>
      <c r="V82" s="117">
        <f t="shared" si="25"/>
        <v>0</v>
      </c>
      <c r="W82" s="117">
        <f t="shared" si="21"/>
        <v>0</v>
      </c>
      <c r="X82" s="117">
        <f t="shared" si="22"/>
        <v>0</v>
      </c>
      <c r="Y82" s="117" t="e">
        <f t="shared" si="26"/>
        <v>#DIV/0!</v>
      </c>
      <c r="Z82" s="117" t="e">
        <f>ABS(0.4*0.85*Main!$G$546*'Pile Data'!X82+Main!$G$545*'Pile Data'!R82-Main!$G$545*('Pile Data'!T82+'Pile Data'!V82))</f>
        <v>#DIV/0!</v>
      </c>
      <c r="AA82" s="117" t="e">
        <f>(0.4*0.85*Main!$G$546*'Pile Data'!X82*Y82+Main!$G$545*('Pile Data'!R82*S82+'Pile Data'!T82*U82+'Pile Data'!V82*W82))</f>
        <v>#DIV/0!</v>
      </c>
      <c r="AB82" s="37"/>
    </row>
    <row r="83" spans="14:28">
      <c r="N83" s="2"/>
      <c r="O83" s="38">
        <f t="shared" si="27"/>
        <v>78</v>
      </c>
      <c r="P83" s="98">
        <f t="shared" si="23"/>
        <v>1.3613568165555769</v>
      </c>
      <c r="Q83" s="117">
        <f t="shared" si="17"/>
        <v>0</v>
      </c>
      <c r="R83" s="117" t="e">
        <f t="shared" si="18"/>
        <v>#DIV/0!</v>
      </c>
      <c r="S83" s="117" t="e">
        <f t="shared" si="19"/>
        <v>#DIV/0!</v>
      </c>
      <c r="T83" s="117" t="e">
        <f t="shared" si="24"/>
        <v>#DIV/0!</v>
      </c>
      <c r="U83" s="117" t="e">
        <f t="shared" si="20"/>
        <v>#DIV/0!</v>
      </c>
      <c r="V83" s="117">
        <f t="shared" si="25"/>
        <v>0</v>
      </c>
      <c r="W83" s="117">
        <f t="shared" si="21"/>
        <v>0</v>
      </c>
      <c r="X83" s="117">
        <f t="shared" si="22"/>
        <v>0</v>
      </c>
      <c r="Y83" s="117" t="e">
        <f t="shared" si="26"/>
        <v>#DIV/0!</v>
      </c>
      <c r="Z83" s="117" t="e">
        <f>ABS(0.4*0.85*Main!$G$546*'Pile Data'!X83+Main!$G$545*'Pile Data'!R83-Main!$G$545*('Pile Data'!T83+'Pile Data'!V83))</f>
        <v>#DIV/0!</v>
      </c>
      <c r="AA83" s="117" t="e">
        <f>(0.4*0.85*Main!$G$546*'Pile Data'!X83*Y83+Main!$G$545*('Pile Data'!R83*S83+'Pile Data'!T83*U83+'Pile Data'!V83*W83))</f>
        <v>#DIV/0!</v>
      </c>
      <c r="AB83" s="37"/>
    </row>
    <row r="84" spans="14:28">
      <c r="N84" s="2"/>
      <c r="O84" s="38">
        <f t="shared" si="27"/>
        <v>79</v>
      </c>
      <c r="P84" s="98">
        <f t="shared" si="23"/>
        <v>1.3788101090755203</v>
      </c>
      <c r="Q84" s="117">
        <f t="shared" si="17"/>
        <v>0</v>
      </c>
      <c r="R84" s="117" t="e">
        <f t="shared" si="18"/>
        <v>#DIV/0!</v>
      </c>
      <c r="S84" s="117" t="e">
        <f t="shared" si="19"/>
        <v>#DIV/0!</v>
      </c>
      <c r="T84" s="117" t="e">
        <f t="shared" si="24"/>
        <v>#DIV/0!</v>
      </c>
      <c r="U84" s="117" t="e">
        <f t="shared" si="20"/>
        <v>#DIV/0!</v>
      </c>
      <c r="V84" s="117">
        <f t="shared" si="25"/>
        <v>0</v>
      </c>
      <c r="W84" s="117">
        <f t="shared" si="21"/>
        <v>0</v>
      </c>
      <c r="X84" s="117">
        <f t="shared" si="22"/>
        <v>0</v>
      </c>
      <c r="Y84" s="117" t="e">
        <f t="shared" si="26"/>
        <v>#DIV/0!</v>
      </c>
      <c r="Z84" s="117" t="e">
        <f>ABS(0.4*0.85*Main!$G$546*'Pile Data'!X84+Main!$G$545*'Pile Data'!R84-Main!$G$545*('Pile Data'!T84+'Pile Data'!V84))</f>
        <v>#DIV/0!</v>
      </c>
      <c r="AA84" s="117" t="e">
        <f>(0.4*0.85*Main!$G$546*'Pile Data'!X84*Y84+Main!$G$545*('Pile Data'!R84*S84+'Pile Data'!T84*U84+'Pile Data'!V84*W84))</f>
        <v>#DIV/0!</v>
      </c>
      <c r="AB84" s="37"/>
    </row>
    <row r="85" spans="14:28">
      <c r="N85" s="2"/>
      <c r="O85" s="38">
        <f t="shared" si="27"/>
        <v>80</v>
      </c>
      <c r="P85" s="98">
        <f t="shared" si="23"/>
        <v>1.3962634015954636</v>
      </c>
      <c r="Q85" s="117">
        <f t="shared" si="17"/>
        <v>0</v>
      </c>
      <c r="R85" s="117" t="e">
        <f t="shared" si="18"/>
        <v>#DIV/0!</v>
      </c>
      <c r="S85" s="117" t="e">
        <f t="shared" si="19"/>
        <v>#DIV/0!</v>
      </c>
      <c r="T85" s="117" t="e">
        <f t="shared" si="24"/>
        <v>#DIV/0!</v>
      </c>
      <c r="U85" s="117" t="e">
        <f t="shared" si="20"/>
        <v>#DIV/0!</v>
      </c>
      <c r="V85" s="117">
        <f t="shared" si="25"/>
        <v>0</v>
      </c>
      <c r="W85" s="117">
        <f t="shared" si="21"/>
        <v>0</v>
      </c>
      <c r="X85" s="117">
        <f t="shared" si="22"/>
        <v>0</v>
      </c>
      <c r="Y85" s="117" t="e">
        <f t="shared" si="26"/>
        <v>#DIV/0!</v>
      </c>
      <c r="Z85" s="117" t="e">
        <f>ABS(0.4*0.85*Main!$G$546*'Pile Data'!X85+Main!$G$545*'Pile Data'!R85-Main!$G$545*('Pile Data'!T85+'Pile Data'!V85))</f>
        <v>#DIV/0!</v>
      </c>
      <c r="AA85" s="117" t="e">
        <f>(0.4*0.85*Main!$G$546*'Pile Data'!X85*Y85+Main!$G$545*('Pile Data'!R85*S85+'Pile Data'!T85*U85+'Pile Data'!V85*W85))</f>
        <v>#DIV/0!</v>
      </c>
      <c r="AB85" s="37"/>
    </row>
    <row r="86" spans="14:28">
      <c r="N86" s="2"/>
      <c r="O86" s="38">
        <f t="shared" si="27"/>
        <v>81</v>
      </c>
      <c r="P86" s="98">
        <f t="shared" si="23"/>
        <v>1.4137166941154069</v>
      </c>
      <c r="Q86" s="117">
        <f t="shared" si="17"/>
        <v>0</v>
      </c>
      <c r="R86" s="117" t="e">
        <f t="shared" si="18"/>
        <v>#DIV/0!</v>
      </c>
      <c r="S86" s="117" t="e">
        <f t="shared" si="19"/>
        <v>#DIV/0!</v>
      </c>
      <c r="T86" s="117" t="e">
        <f t="shared" si="24"/>
        <v>#DIV/0!</v>
      </c>
      <c r="U86" s="117" t="e">
        <f t="shared" si="20"/>
        <v>#DIV/0!</v>
      </c>
      <c r="V86" s="117">
        <f t="shared" si="25"/>
        <v>0</v>
      </c>
      <c r="W86" s="117">
        <f t="shared" si="21"/>
        <v>0</v>
      </c>
      <c r="X86" s="117">
        <f t="shared" si="22"/>
        <v>0</v>
      </c>
      <c r="Y86" s="117" t="e">
        <f t="shared" si="26"/>
        <v>#DIV/0!</v>
      </c>
      <c r="Z86" s="117" t="e">
        <f>ABS(0.4*0.85*Main!$G$546*'Pile Data'!X86+Main!$G$545*'Pile Data'!R86-Main!$G$545*('Pile Data'!T86+'Pile Data'!V86))</f>
        <v>#DIV/0!</v>
      </c>
      <c r="AA86" s="117" t="e">
        <f>(0.4*0.85*Main!$G$546*'Pile Data'!X86*Y86+Main!$G$545*('Pile Data'!R86*S86+'Pile Data'!T86*U86+'Pile Data'!V86*W86))</f>
        <v>#DIV/0!</v>
      </c>
      <c r="AB86" s="37"/>
    </row>
    <row r="87" spans="14:28">
      <c r="N87" s="2"/>
      <c r="O87" s="38">
        <f t="shared" si="27"/>
        <v>82</v>
      </c>
      <c r="P87" s="98">
        <f t="shared" si="23"/>
        <v>1.43116998663535</v>
      </c>
      <c r="Q87" s="117">
        <f t="shared" si="17"/>
        <v>0</v>
      </c>
      <c r="R87" s="117" t="e">
        <f t="shared" si="18"/>
        <v>#DIV/0!</v>
      </c>
      <c r="S87" s="117" t="e">
        <f t="shared" si="19"/>
        <v>#DIV/0!</v>
      </c>
      <c r="T87" s="117" t="e">
        <f t="shared" si="24"/>
        <v>#DIV/0!</v>
      </c>
      <c r="U87" s="117" t="e">
        <f t="shared" si="20"/>
        <v>#DIV/0!</v>
      </c>
      <c r="V87" s="117">
        <f t="shared" si="25"/>
        <v>0</v>
      </c>
      <c r="W87" s="117">
        <f t="shared" si="21"/>
        <v>0</v>
      </c>
      <c r="X87" s="117">
        <f t="shared" si="22"/>
        <v>0</v>
      </c>
      <c r="Y87" s="117" t="e">
        <f t="shared" si="26"/>
        <v>#DIV/0!</v>
      </c>
      <c r="Z87" s="117" t="e">
        <f>ABS(0.4*0.85*Main!$G$546*'Pile Data'!X87+Main!$G$545*'Pile Data'!R87-Main!$G$545*('Pile Data'!T87+'Pile Data'!V87))</f>
        <v>#DIV/0!</v>
      </c>
      <c r="AA87" s="117" t="e">
        <f>(0.4*0.85*Main!$G$546*'Pile Data'!X87*Y87+Main!$G$545*('Pile Data'!R87*S87+'Pile Data'!T87*U87+'Pile Data'!V87*W87))</f>
        <v>#DIV/0!</v>
      </c>
      <c r="AB87" s="37"/>
    </row>
    <row r="88" spans="14:28">
      <c r="N88" s="2"/>
      <c r="O88" s="38">
        <f t="shared" si="27"/>
        <v>83</v>
      </c>
      <c r="P88" s="98">
        <f t="shared" si="23"/>
        <v>1.4486232791552935</v>
      </c>
      <c r="Q88" s="117">
        <f t="shared" si="17"/>
        <v>0</v>
      </c>
      <c r="R88" s="117" t="e">
        <f t="shared" si="18"/>
        <v>#DIV/0!</v>
      </c>
      <c r="S88" s="117" t="e">
        <f t="shared" si="19"/>
        <v>#DIV/0!</v>
      </c>
      <c r="T88" s="117" t="e">
        <f t="shared" si="24"/>
        <v>#DIV/0!</v>
      </c>
      <c r="U88" s="117" t="e">
        <f t="shared" si="20"/>
        <v>#DIV/0!</v>
      </c>
      <c r="V88" s="117">
        <f t="shared" si="25"/>
        <v>0</v>
      </c>
      <c r="W88" s="117">
        <f t="shared" si="21"/>
        <v>0</v>
      </c>
      <c r="X88" s="117">
        <f t="shared" si="22"/>
        <v>0</v>
      </c>
      <c r="Y88" s="117" t="e">
        <f t="shared" si="26"/>
        <v>#DIV/0!</v>
      </c>
      <c r="Z88" s="117" t="e">
        <f>ABS(0.4*0.85*Main!$G$546*'Pile Data'!X88+Main!$G$545*'Pile Data'!R88-Main!$G$545*('Pile Data'!T88+'Pile Data'!V88))</f>
        <v>#DIV/0!</v>
      </c>
      <c r="AA88" s="117" t="e">
        <f>(0.4*0.85*Main!$G$546*'Pile Data'!X88*Y88+Main!$G$545*('Pile Data'!R88*S88+'Pile Data'!T88*U88+'Pile Data'!V88*W88))</f>
        <v>#DIV/0!</v>
      </c>
      <c r="AB88" s="37"/>
    </row>
    <row r="89" spans="14:28">
      <c r="N89" s="2"/>
      <c r="O89" s="38">
        <f t="shared" si="27"/>
        <v>84</v>
      </c>
      <c r="P89" s="98">
        <f t="shared" si="23"/>
        <v>1.4660765716752369</v>
      </c>
      <c r="Q89" s="117">
        <f t="shared" si="17"/>
        <v>0</v>
      </c>
      <c r="R89" s="117" t="e">
        <f t="shared" si="18"/>
        <v>#DIV/0!</v>
      </c>
      <c r="S89" s="117" t="e">
        <f t="shared" si="19"/>
        <v>#DIV/0!</v>
      </c>
      <c r="T89" s="117" t="e">
        <f t="shared" si="24"/>
        <v>#DIV/0!</v>
      </c>
      <c r="U89" s="117" t="e">
        <f t="shared" si="20"/>
        <v>#DIV/0!</v>
      </c>
      <c r="V89" s="117">
        <f t="shared" si="25"/>
        <v>0</v>
      </c>
      <c r="W89" s="117">
        <f t="shared" si="21"/>
        <v>0</v>
      </c>
      <c r="X89" s="117">
        <f t="shared" si="22"/>
        <v>0</v>
      </c>
      <c r="Y89" s="117" t="e">
        <f t="shared" si="26"/>
        <v>#DIV/0!</v>
      </c>
      <c r="Z89" s="117" t="e">
        <f>ABS(0.4*0.85*Main!$G$546*'Pile Data'!X89+Main!$G$545*'Pile Data'!R89-Main!$G$545*('Pile Data'!T89+'Pile Data'!V89))</f>
        <v>#DIV/0!</v>
      </c>
      <c r="AA89" s="117" t="e">
        <f>(0.4*0.85*Main!$G$546*'Pile Data'!X89*Y89+Main!$G$545*('Pile Data'!R89*S89+'Pile Data'!T89*U89+'Pile Data'!V89*W89))</f>
        <v>#DIV/0!</v>
      </c>
      <c r="AB89" s="37"/>
    </row>
    <row r="90" spans="14:28">
      <c r="N90" s="2"/>
      <c r="O90" s="38">
        <f t="shared" si="27"/>
        <v>85</v>
      </c>
      <c r="P90" s="98">
        <f t="shared" si="23"/>
        <v>1.4835298641951802</v>
      </c>
      <c r="Q90" s="117">
        <f t="shared" si="17"/>
        <v>0</v>
      </c>
      <c r="R90" s="117" t="e">
        <f t="shared" si="18"/>
        <v>#DIV/0!</v>
      </c>
      <c r="S90" s="117" t="e">
        <f t="shared" si="19"/>
        <v>#DIV/0!</v>
      </c>
      <c r="T90" s="117" t="e">
        <f t="shared" si="24"/>
        <v>#DIV/0!</v>
      </c>
      <c r="U90" s="117" t="e">
        <f t="shared" si="20"/>
        <v>#DIV/0!</v>
      </c>
      <c r="V90" s="117">
        <f t="shared" si="25"/>
        <v>0</v>
      </c>
      <c r="W90" s="117">
        <f t="shared" si="21"/>
        <v>0</v>
      </c>
      <c r="X90" s="117">
        <f t="shared" si="22"/>
        <v>0</v>
      </c>
      <c r="Y90" s="117" t="e">
        <f t="shared" si="26"/>
        <v>#DIV/0!</v>
      </c>
      <c r="Z90" s="117" t="e">
        <f>ABS(0.4*0.85*Main!$G$546*'Pile Data'!X90+Main!$G$545*'Pile Data'!R90-Main!$G$545*('Pile Data'!T90+'Pile Data'!V90))</f>
        <v>#DIV/0!</v>
      </c>
      <c r="AA90" s="117" t="e">
        <f>(0.4*0.85*Main!$G$546*'Pile Data'!X90*Y90+Main!$G$545*('Pile Data'!R90*S90+'Pile Data'!T90*U90+'Pile Data'!V90*W90))</f>
        <v>#DIV/0!</v>
      </c>
      <c r="AB90" s="37"/>
    </row>
    <row r="91" spans="14:28">
      <c r="N91" s="2"/>
      <c r="O91" s="38">
        <f t="shared" si="27"/>
        <v>86</v>
      </c>
      <c r="P91" s="98">
        <f t="shared" si="23"/>
        <v>1.5009831567151233</v>
      </c>
      <c r="Q91" s="117">
        <f t="shared" si="17"/>
        <v>0</v>
      </c>
      <c r="R91" s="117" t="e">
        <f t="shared" si="18"/>
        <v>#DIV/0!</v>
      </c>
      <c r="S91" s="117" t="e">
        <f t="shared" si="19"/>
        <v>#DIV/0!</v>
      </c>
      <c r="T91" s="117" t="e">
        <f t="shared" si="24"/>
        <v>#DIV/0!</v>
      </c>
      <c r="U91" s="117" t="e">
        <f t="shared" si="20"/>
        <v>#DIV/0!</v>
      </c>
      <c r="V91" s="117">
        <f t="shared" si="25"/>
        <v>0</v>
      </c>
      <c r="W91" s="117">
        <f t="shared" si="21"/>
        <v>0</v>
      </c>
      <c r="X91" s="117">
        <f t="shared" si="22"/>
        <v>0</v>
      </c>
      <c r="Y91" s="117" t="e">
        <f t="shared" si="26"/>
        <v>#DIV/0!</v>
      </c>
      <c r="Z91" s="117" t="e">
        <f>ABS(0.4*0.85*Main!$G$546*'Pile Data'!X91+Main!$G$545*'Pile Data'!R91-Main!$G$545*('Pile Data'!T91+'Pile Data'!V91))</f>
        <v>#DIV/0!</v>
      </c>
      <c r="AA91" s="117" t="e">
        <f>(0.4*0.85*Main!$G$546*'Pile Data'!X91*Y91+Main!$G$545*('Pile Data'!R91*S91+'Pile Data'!T91*U91+'Pile Data'!V91*W91))</f>
        <v>#DIV/0!</v>
      </c>
      <c r="AB91" s="37"/>
    </row>
    <row r="92" spans="14:28">
      <c r="N92" s="2"/>
      <c r="O92" s="38">
        <f t="shared" si="27"/>
        <v>87</v>
      </c>
      <c r="P92" s="98">
        <f t="shared" si="23"/>
        <v>1.5184364492350666</v>
      </c>
      <c r="Q92" s="117">
        <f t="shared" si="17"/>
        <v>0</v>
      </c>
      <c r="R92" s="117" t="e">
        <f t="shared" si="18"/>
        <v>#DIV/0!</v>
      </c>
      <c r="S92" s="117" t="e">
        <f t="shared" si="19"/>
        <v>#DIV/0!</v>
      </c>
      <c r="T92" s="117" t="e">
        <f t="shared" si="24"/>
        <v>#DIV/0!</v>
      </c>
      <c r="U92" s="117" t="e">
        <f t="shared" si="20"/>
        <v>#DIV/0!</v>
      </c>
      <c r="V92" s="117">
        <f t="shared" si="25"/>
        <v>0</v>
      </c>
      <c r="W92" s="117">
        <f t="shared" si="21"/>
        <v>0</v>
      </c>
      <c r="X92" s="117">
        <f t="shared" si="22"/>
        <v>0</v>
      </c>
      <c r="Y92" s="117" t="e">
        <f t="shared" si="26"/>
        <v>#DIV/0!</v>
      </c>
      <c r="Z92" s="117" t="e">
        <f>ABS(0.4*0.85*Main!$G$546*'Pile Data'!X92+Main!$G$545*'Pile Data'!R92-Main!$G$545*('Pile Data'!T92+'Pile Data'!V92))</f>
        <v>#DIV/0!</v>
      </c>
      <c r="AA92" s="117" t="e">
        <f>(0.4*0.85*Main!$G$546*'Pile Data'!X92*Y92+Main!$G$545*('Pile Data'!R92*S92+'Pile Data'!T92*U92+'Pile Data'!V92*W92))</f>
        <v>#DIV/0!</v>
      </c>
      <c r="AB92" s="37"/>
    </row>
    <row r="93" spans="14:28">
      <c r="N93" s="2"/>
      <c r="O93" s="38">
        <f t="shared" si="27"/>
        <v>88</v>
      </c>
      <c r="P93" s="98">
        <f t="shared" si="23"/>
        <v>1.5358897417550099</v>
      </c>
      <c r="Q93" s="117">
        <f t="shared" si="17"/>
        <v>0</v>
      </c>
      <c r="R93" s="117" t="e">
        <f t="shared" si="18"/>
        <v>#DIV/0!</v>
      </c>
      <c r="S93" s="117" t="e">
        <f t="shared" si="19"/>
        <v>#DIV/0!</v>
      </c>
      <c r="T93" s="117" t="e">
        <f t="shared" si="24"/>
        <v>#DIV/0!</v>
      </c>
      <c r="U93" s="117" t="e">
        <f t="shared" si="20"/>
        <v>#DIV/0!</v>
      </c>
      <c r="V93" s="117">
        <f t="shared" si="25"/>
        <v>0</v>
      </c>
      <c r="W93" s="117">
        <f t="shared" si="21"/>
        <v>0</v>
      </c>
      <c r="X93" s="117">
        <f t="shared" si="22"/>
        <v>0</v>
      </c>
      <c r="Y93" s="117" t="e">
        <f t="shared" si="26"/>
        <v>#DIV/0!</v>
      </c>
      <c r="Z93" s="117" t="e">
        <f>ABS(0.4*0.85*Main!$G$546*'Pile Data'!X93+Main!$G$545*'Pile Data'!R93-Main!$G$545*('Pile Data'!T93+'Pile Data'!V93))</f>
        <v>#DIV/0!</v>
      </c>
      <c r="AA93" s="117" t="e">
        <f>(0.4*0.85*Main!$G$546*'Pile Data'!X93*Y93+Main!$G$545*('Pile Data'!R93*S93+'Pile Data'!T93*U93+'Pile Data'!V93*W93))</f>
        <v>#DIV/0!</v>
      </c>
      <c r="AB93" s="37"/>
    </row>
    <row r="94" spans="14:28">
      <c r="N94" s="2"/>
      <c r="O94" s="38">
        <f t="shared" si="27"/>
        <v>89</v>
      </c>
      <c r="P94" s="98">
        <f t="shared" si="23"/>
        <v>1.5533430342749535</v>
      </c>
      <c r="Q94" s="117">
        <f t="shared" si="17"/>
        <v>0</v>
      </c>
      <c r="R94" s="117" t="e">
        <f t="shared" si="18"/>
        <v>#DIV/0!</v>
      </c>
      <c r="S94" s="117" t="e">
        <f t="shared" si="19"/>
        <v>#DIV/0!</v>
      </c>
      <c r="T94" s="117" t="e">
        <f t="shared" si="24"/>
        <v>#DIV/0!</v>
      </c>
      <c r="U94" s="117" t="e">
        <f t="shared" si="20"/>
        <v>#DIV/0!</v>
      </c>
      <c r="V94" s="117">
        <f t="shared" si="25"/>
        <v>0</v>
      </c>
      <c r="W94" s="117">
        <f t="shared" si="21"/>
        <v>0</v>
      </c>
      <c r="X94" s="117">
        <f t="shared" si="22"/>
        <v>0</v>
      </c>
      <c r="Y94" s="117" t="e">
        <f t="shared" si="26"/>
        <v>#DIV/0!</v>
      </c>
      <c r="Z94" s="117" t="e">
        <f>ABS(0.4*0.85*Main!$G$546*'Pile Data'!X94+Main!$G$545*'Pile Data'!R94-Main!$G$545*('Pile Data'!T94+'Pile Data'!V94))</f>
        <v>#DIV/0!</v>
      </c>
      <c r="AA94" s="117" t="e">
        <f>(0.4*0.85*Main!$G$546*'Pile Data'!X94*Y94+Main!$G$545*('Pile Data'!R94*S94+'Pile Data'!T94*U94+'Pile Data'!V94*W94))</f>
        <v>#DIV/0!</v>
      </c>
      <c r="AB94" s="37"/>
    </row>
    <row r="95" spans="14:28">
      <c r="N95" s="2"/>
      <c r="O95" s="38">
        <f t="shared" si="27"/>
        <v>90</v>
      </c>
      <c r="P95" s="98">
        <f t="shared" si="23"/>
        <v>1.5707963267948966</v>
      </c>
      <c r="Q95" s="117">
        <f t="shared" si="17"/>
        <v>0</v>
      </c>
      <c r="R95" s="117" t="e">
        <f t="shared" si="18"/>
        <v>#DIV/0!</v>
      </c>
      <c r="S95" s="117" t="e">
        <f t="shared" si="19"/>
        <v>#DIV/0!</v>
      </c>
      <c r="T95" s="117" t="e">
        <f t="shared" si="24"/>
        <v>#DIV/0!</v>
      </c>
      <c r="U95" s="117" t="e">
        <f t="shared" si="20"/>
        <v>#DIV/0!</v>
      </c>
      <c r="V95" s="117">
        <f t="shared" si="25"/>
        <v>0</v>
      </c>
      <c r="W95" s="117">
        <f t="shared" si="21"/>
        <v>0</v>
      </c>
      <c r="X95" s="117">
        <f t="shared" si="22"/>
        <v>0</v>
      </c>
      <c r="Y95" s="117" t="e">
        <f t="shared" si="26"/>
        <v>#DIV/0!</v>
      </c>
      <c r="Z95" s="117" t="e">
        <f>ABS(0.4*0.85*Main!$G$546*'Pile Data'!X95+Main!$G$545*'Pile Data'!R95-Main!$G$545*('Pile Data'!T95+'Pile Data'!V95))</f>
        <v>#DIV/0!</v>
      </c>
      <c r="AA95" s="117" t="e">
        <f>(0.4*0.85*Main!$G$546*'Pile Data'!X95*Y95+Main!$G$545*('Pile Data'!R95*S95+'Pile Data'!T95*U95+'Pile Data'!V95*W95))</f>
        <v>#DIV/0!</v>
      </c>
      <c r="AB95" s="37"/>
    </row>
    <row r="96" spans="14:28">
      <c r="N96" s="2"/>
      <c r="O96" s="38">
        <f t="shared" si="27"/>
        <v>91</v>
      </c>
      <c r="P96" s="98">
        <f t="shared" si="23"/>
        <v>1.5882496193148399</v>
      </c>
      <c r="Q96" s="117">
        <f t="shared" si="17"/>
        <v>0</v>
      </c>
      <c r="R96" s="117" t="e">
        <f t="shared" si="18"/>
        <v>#DIV/0!</v>
      </c>
      <c r="S96" s="117" t="e">
        <f t="shared" si="19"/>
        <v>#DIV/0!</v>
      </c>
      <c r="T96" s="117" t="e">
        <f t="shared" si="24"/>
        <v>#DIV/0!</v>
      </c>
      <c r="U96" s="117" t="e">
        <f t="shared" si="20"/>
        <v>#DIV/0!</v>
      </c>
      <c r="V96" s="117">
        <f t="shared" si="25"/>
        <v>0</v>
      </c>
      <c r="W96" s="117">
        <f t="shared" si="21"/>
        <v>0</v>
      </c>
      <c r="X96" s="117">
        <f t="shared" si="22"/>
        <v>0</v>
      </c>
      <c r="Y96" s="117" t="e">
        <f t="shared" si="26"/>
        <v>#DIV/0!</v>
      </c>
      <c r="Z96" s="117" t="e">
        <f>ABS(0.4*0.85*Main!$G$546*'Pile Data'!X96+Main!$G$545*'Pile Data'!R96-Main!$G$545*('Pile Data'!T96+'Pile Data'!V96))</f>
        <v>#DIV/0!</v>
      </c>
      <c r="AA96" s="117" t="e">
        <f>(0.4*0.85*Main!$G$546*'Pile Data'!X96*Y96+Main!$G$545*('Pile Data'!R96*S96+'Pile Data'!T96*U96+'Pile Data'!V96*W96))</f>
        <v>#DIV/0!</v>
      </c>
      <c r="AB96" s="37"/>
    </row>
    <row r="97" spans="14:28">
      <c r="N97" s="2"/>
      <c r="O97" s="38">
        <f t="shared" si="27"/>
        <v>92</v>
      </c>
      <c r="P97" s="98">
        <f t="shared" si="23"/>
        <v>1.605702911834783</v>
      </c>
      <c r="Q97" s="117">
        <f t="shared" si="17"/>
        <v>0</v>
      </c>
      <c r="R97" s="117" t="e">
        <f t="shared" si="18"/>
        <v>#DIV/0!</v>
      </c>
      <c r="S97" s="117" t="e">
        <f t="shared" si="19"/>
        <v>#DIV/0!</v>
      </c>
      <c r="T97" s="117" t="e">
        <f t="shared" si="24"/>
        <v>#DIV/0!</v>
      </c>
      <c r="U97" s="117" t="e">
        <f t="shared" si="20"/>
        <v>#DIV/0!</v>
      </c>
      <c r="V97" s="117">
        <f t="shared" si="25"/>
        <v>0</v>
      </c>
      <c r="W97" s="117">
        <f t="shared" si="21"/>
        <v>0</v>
      </c>
      <c r="X97" s="117">
        <f t="shared" si="22"/>
        <v>0</v>
      </c>
      <c r="Y97" s="117" t="e">
        <f t="shared" si="26"/>
        <v>#DIV/0!</v>
      </c>
      <c r="Z97" s="117" t="e">
        <f>ABS(0.4*0.85*Main!$G$546*'Pile Data'!X97+Main!$G$545*'Pile Data'!R97-Main!$G$545*('Pile Data'!T97+'Pile Data'!V97))</f>
        <v>#DIV/0!</v>
      </c>
      <c r="AA97" s="117" t="e">
        <f>(0.4*0.85*Main!$G$546*'Pile Data'!X97*Y97+Main!$G$545*('Pile Data'!R97*S97+'Pile Data'!T97*U97+'Pile Data'!V97*W97))</f>
        <v>#DIV/0!</v>
      </c>
      <c r="AB97" s="37"/>
    </row>
    <row r="98" spans="14:28">
      <c r="N98" s="2"/>
      <c r="O98" s="38">
        <f t="shared" si="27"/>
        <v>93</v>
      </c>
      <c r="P98" s="98">
        <f t="shared" si="23"/>
        <v>1.6231562043547263</v>
      </c>
      <c r="Q98" s="117">
        <f t="shared" si="17"/>
        <v>0</v>
      </c>
      <c r="R98" s="117" t="e">
        <f t="shared" si="18"/>
        <v>#DIV/0!</v>
      </c>
      <c r="S98" s="117" t="e">
        <f t="shared" si="19"/>
        <v>#DIV/0!</v>
      </c>
      <c r="T98" s="117" t="e">
        <f t="shared" si="24"/>
        <v>#DIV/0!</v>
      </c>
      <c r="U98" s="117" t="e">
        <f t="shared" si="20"/>
        <v>#DIV/0!</v>
      </c>
      <c r="V98" s="117">
        <f t="shared" si="25"/>
        <v>0</v>
      </c>
      <c r="W98" s="117">
        <f t="shared" si="21"/>
        <v>0</v>
      </c>
      <c r="X98" s="117">
        <f t="shared" si="22"/>
        <v>0</v>
      </c>
      <c r="Y98" s="117" t="e">
        <f t="shared" si="26"/>
        <v>#DIV/0!</v>
      </c>
      <c r="Z98" s="117" t="e">
        <f>ABS(0.4*0.85*Main!$G$546*'Pile Data'!X98+Main!$G$545*'Pile Data'!R98-Main!$G$545*('Pile Data'!T98+'Pile Data'!V98))</f>
        <v>#DIV/0!</v>
      </c>
      <c r="AA98" s="117" t="e">
        <f>(0.4*0.85*Main!$G$546*'Pile Data'!X98*Y98+Main!$G$545*('Pile Data'!R98*S98+'Pile Data'!T98*U98+'Pile Data'!V98*W98))</f>
        <v>#DIV/0!</v>
      </c>
      <c r="AB98" s="37"/>
    </row>
    <row r="99" spans="14:28">
      <c r="N99" s="2"/>
      <c r="O99" s="38">
        <f t="shared" si="27"/>
        <v>94</v>
      </c>
      <c r="P99" s="98">
        <f t="shared" si="23"/>
        <v>1.6406094968746698</v>
      </c>
      <c r="Q99" s="117">
        <f t="shared" si="17"/>
        <v>0</v>
      </c>
      <c r="R99" s="117" t="e">
        <f t="shared" si="18"/>
        <v>#DIV/0!</v>
      </c>
      <c r="S99" s="117" t="e">
        <f t="shared" si="19"/>
        <v>#DIV/0!</v>
      </c>
      <c r="T99" s="117" t="e">
        <f t="shared" si="24"/>
        <v>#DIV/0!</v>
      </c>
      <c r="U99" s="117" t="e">
        <f t="shared" si="20"/>
        <v>#DIV/0!</v>
      </c>
      <c r="V99" s="117">
        <f t="shared" si="25"/>
        <v>0</v>
      </c>
      <c r="W99" s="117">
        <f t="shared" si="21"/>
        <v>0</v>
      </c>
      <c r="X99" s="117">
        <f t="shared" si="22"/>
        <v>0</v>
      </c>
      <c r="Y99" s="117" t="e">
        <f t="shared" si="26"/>
        <v>#DIV/0!</v>
      </c>
      <c r="Z99" s="117" t="e">
        <f>ABS(0.4*0.85*Main!$G$546*'Pile Data'!X99+Main!$G$545*'Pile Data'!R99-Main!$G$545*('Pile Data'!T99+'Pile Data'!V99))</f>
        <v>#DIV/0!</v>
      </c>
      <c r="AA99" s="117" t="e">
        <f>(0.4*0.85*Main!$G$546*'Pile Data'!X99*Y99+Main!$G$545*('Pile Data'!R99*S99+'Pile Data'!T99*U99+'Pile Data'!V99*W99))</f>
        <v>#DIV/0!</v>
      </c>
      <c r="AB99" s="37"/>
    </row>
    <row r="100" spans="14:28">
      <c r="N100" s="2"/>
      <c r="O100" s="38">
        <f t="shared" si="27"/>
        <v>95</v>
      </c>
      <c r="P100" s="98">
        <f t="shared" si="23"/>
        <v>1.6580627893946132</v>
      </c>
      <c r="Q100" s="117">
        <f t="shared" si="17"/>
        <v>0</v>
      </c>
      <c r="R100" s="117" t="e">
        <f t="shared" si="18"/>
        <v>#DIV/0!</v>
      </c>
      <c r="S100" s="117" t="e">
        <f t="shared" si="19"/>
        <v>#DIV/0!</v>
      </c>
      <c r="T100" s="117" t="e">
        <f t="shared" si="24"/>
        <v>#DIV/0!</v>
      </c>
      <c r="U100" s="117" t="e">
        <f t="shared" si="20"/>
        <v>#DIV/0!</v>
      </c>
      <c r="V100" s="117">
        <f t="shared" si="25"/>
        <v>0</v>
      </c>
      <c r="W100" s="117">
        <f t="shared" si="21"/>
        <v>0</v>
      </c>
      <c r="X100" s="117">
        <f t="shared" si="22"/>
        <v>0</v>
      </c>
      <c r="Y100" s="117" t="e">
        <f t="shared" si="26"/>
        <v>#DIV/0!</v>
      </c>
      <c r="Z100" s="117" t="e">
        <f>ABS(0.4*0.85*Main!$G$546*'Pile Data'!X100+Main!$G$545*'Pile Data'!R100-Main!$G$545*('Pile Data'!T100+'Pile Data'!V100))</f>
        <v>#DIV/0!</v>
      </c>
      <c r="AA100" s="117" t="e">
        <f>(0.4*0.85*Main!$G$546*'Pile Data'!X100*Y100+Main!$G$545*('Pile Data'!R100*S100+'Pile Data'!T100*U100+'Pile Data'!V100*W100))</f>
        <v>#DIV/0!</v>
      </c>
      <c r="AB100" s="37"/>
    </row>
    <row r="101" spans="14:28">
      <c r="N101" s="2"/>
      <c r="O101" s="38">
        <f t="shared" si="27"/>
        <v>96</v>
      </c>
      <c r="P101" s="98">
        <f t="shared" si="23"/>
        <v>1.6755160819145563</v>
      </c>
      <c r="Q101" s="117">
        <f t="shared" ref="Q101:Q132" si="28">COS(P101/2)*($D$25-2*$E$25)/2</f>
        <v>0</v>
      </c>
      <c r="R101" s="117" t="e">
        <f t="shared" ref="R101:R132" si="29">+(($D$25-$E$25)*ACOS(Q101*2/($D$25-$E$25)))*$E$25</f>
        <v>#DIV/0!</v>
      </c>
      <c r="S101" s="117" t="e">
        <f t="shared" ref="S101:S132" si="30">+(($D$25-$E$25)/2)*SIN(ACOS(2*Q101/($D$25-$E$25)))/(ACOS(2*Q101/($D$25-$E$25)))</f>
        <v>#DIV/0!</v>
      </c>
      <c r="T101" s="117" t="e">
        <f t="shared" si="24"/>
        <v>#DIV/0!</v>
      </c>
      <c r="U101" s="117" t="e">
        <f t="shared" si="20"/>
        <v>#DIV/0!</v>
      </c>
      <c r="V101" s="117">
        <f t="shared" si="25"/>
        <v>0</v>
      </c>
      <c r="W101" s="117">
        <f t="shared" ref="W101:W132" si="31">($D$25-$E$25)/PI()</f>
        <v>0</v>
      </c>
      <c r="X101" s="117">
        <f t="shared" ref="X101:X132" si="32">+($D$25/2-$E$25)^2*(P101-SIN(P101))/2</f>
        <v>0</v>
      </c>
      <c r="Y101" s="117" t="e">
        <f t="shared" si="26"/>
        <v>#DIV/0!</v>
      </c>
      <c r="Z101" s="117" t="e">
        <f>ABS(0.4*0.85*Main!$G$546*'Pile Data'!X101+Main!$G$545*'Pile Data'!R101-Main!$G$545*('Pile Data'!T101+'Pile Data'!V101))</f>
        <v>#DIV/0!</v>
      </c>
      <c r="AA101" s="117" t="e">
        <f>(0.4*0.85*Main!$G$546*'Pile Data'!X101*Y101+Main!$G$545*('Pile Data'!R101*S101+'Pile Data'!T101*U101+'Pile Data'!V101*W101))</f>
        <v>#DIV/0!</v>
      </c>
      <c r="AB101" s="37"/>
    </row>
    <row r="102" spans="14:28">
      <c r="N102" s="2"/>
      <c r="O102" s="38">
        <f t="shared" si="27"/>
        <v>97</v>
      </c>
      <c r="P102" s="98">
        <f t="shared" si="23"/>
        <v>1.6929693744344996</v>
      </c>
      <c r="Q102" s="117">
        <f t="shared" si="28"/>
        <v>0</v>
      </c>
      <c r="R102" s="117" t="e">
        <f t="shared" si="29"/>
        <v>#DIV/0!</v>
      </c>
      <c r="S102" s="117" t="e">
        <f t="shared" si="30"/>
        <v>#DIV/0!</v>
      </c>
      <c r="T102" s="117" t="e">
        <f t="shared" si="24"/>
        <v>#DIV/0!</v>
      </c>
      <c r="U102" s="117" t="e">
        <f t="shared" si="20"/>
        <v>#DIV/0!</v>
      </c>
      <c r="V102" s="117">
        <f t="shared" si="25"/>
        <v>0</v>
      </c>
      <c r="W102" s="117">
        <f t="shared" si="31"/>
        <v>0</v>
      </c>
      <c r="X102" s="117">
        <f t="shared" si="32"/>
        <v>0</v>
      </c>
      <c r="Y102" s="117" t="e">
        <f t="shared" ref="Y102:Y133" si="33">2*($D$25/2-$E$25)^3*SIN(P102/2)^3/(3*X102)</f>
        <v>#DIV/0!</v>
      </c>
      <c r="Z102" s="117" t="e">
        <f>ABS(0.4*0.85*Main!$G$546*'Pile Data'!X102+Main!$G$545*'Pile Data'!R102-Main!$G$545*('Pile Data'!T102+'Pile Data'!V102))</f>
        <v>#DIV/0!</v>
      </c>
      <c r="AA102" s="117" t="e">
        <f>(0.4*0.85*Main!$G$546*'Pile Data'!X102*Y102+Main!$G$545*('Pile Data'!R102*S102+'Pile Data'!T102*U102+'Pile Data'!V102*W102))</f>
        <v>#DIV/0!</v>
      </c>
      <c r="AB102" s="37"/>
    </row>
    <row r="103" spans="14:28">
      <c r="N103" s="2"/>
      <c r="O103" s="38">
        <f t="shared" si="27"/>
        <v>98</v>
      </c>
      <c r="P103" s="98">
        <f t="shared" si="23"/>
        <v>1.7104226669544429</v>
      </c>
      <c r="Q103" s="117">
        <f t="shared" si="28"/>
        <v>0</v>
      </c>
      <c r="R103" s="117" t="e">
        <f t="shared" si="29"/>
        <v>#DIV/0!</v>
      </c>
      <c r="S103" s="117" t="e">
        <f t="shared" si="30"/>
        <v>#DIV/0!</v>
      </c>
      <c r="T103" s="117" t="e">
        <f t="shared" si="24"/>
        <v>#DIV/0!</v>
      </c>
      <c r="U103" s="117" t="e">
        <f t="shared" si="20"/>
        <v>#DIV/0!</v>
      </c>
      <c r="V103" s="117">
        <f t="shared" si="25"/>
        <v>0</v>
      </c>
      <c r="W103" s="117">
        <f t="shared" si="31"/>
        <v>0</v>
      </c>
      <c r="X103" s="117">
        <f t="shared" si="32"/>
        <v>0</v>
      </c>
      <c r="Y103" s="117" t="e">
        <f t="shared" si="33"/>
        <v>#DIV/0!</v>
      </c>
      <c r="Z103" s="117" t="e">
        <f>ABS(0.4*0.85*Main!$G$546*'Pile Data'!X103+Main!$G$545*'Pile Data'!R103-Main!$G$545*('Pile Data'!T103+'Pile Data'!V103))</f>
        <v>#DIV/0!</v>
      </c>
      <c r="AA103" s="117" t="e">
        <f>(0.4*0.85*Main!$G$546*'Pile Data'!X103*Y103+Main!$G$545*('Pile Data'!R103*S103+'Pile Data'!T103*U103+'Pile Data'!V103*W103))</f>
        <v>#DIV/0!</v>
      </c>
      <c r="AB103" s="37"/>
    </row>
    <row r="104" spans="14:28">
      <c r="N104" s="2"/>
      <c r="O104" s="38">
        <f t="shared" si="27"/>
        <v>99</v>
      </c>
      <c r="P104" s="98">
        <f t="shared" si="23"/>
        <v>1.7278759594743864</v>
      </c>
      <c r="Q104" s="117">
        <f t="shared" si="28"/>
        <v>0</v>
      </c>
      <c r="R104" s="117" t="e">
        <f t="shared" si="29"/>
        <v>#DIV/0!</v>
      </c>
      <c r="S104" s="117" t="e">
        <f t="shared" si="30"/>
        <v>#DIV/0!</v>
      </c>
      <c r="T104" s="117" t="e">
        <f t="shared" si="24"/>
        <v>#DIV/0!</v>
      </c>
      <c r="U104" s="117" t="e">
        <f t="shared" si="20"/>
        <v>#DIV/0!</v>
      </c>
      <c r="V104" s="117">
        <f t="shared" si="25"/>
        <v>0</v>
      </c>
      <c r="W104" s="117">
        <f t="shared" si="31"/>
        <v>0</v>
      </c>
      <c r="X104" s="117">
        <f t="shared" si="32"/>
        <v>0</v>
      </c>
      <c r="Y104" s="117" t="e">
        <f t="shared" si="33"/>
        <v>#DIV/0!</v>
      </c>
      <c r="Z104" s="117" t="e">
        <f>ABS(0.4*0.85*Main!$G$546*'Pile Data'!X104+Main!$G$545*'Pile Data'!R104-Main!$G$545*('Pile Data'!T104+'Pile Data'!V104))</f>
        <v>#DIV/0!</v>
      </c>
      <c r="AA104" s="117" t="e">
        <f>(0.4*0.85*Main!$G$546*'Pile Data'!X104*Y104+Main!$G$545*('Pile Data'!R104*S104+'Pile Data'!T104*U104+'Pile Data'!V104*W104))</f>
        <v>#DIV/0!</v>
      </c>
      <c r="AB104" s="37"/>
    </row>
    <row r="105" spans="14:28">
      <c r="N105" s="2"/>
      <c r="O105" s="38">
        <f t="shared" si="27"/>
        <v>100</v>
      </c>
      <c r="P105" s="98">
        <f t="shared" si="23"/>
        <v>1.7453292519943295</v>
      </c>
      <c r="Q105" s="117">
        <f t="shared" si="28"/>
        <v>0</v>
      </c>
      <c r="R105" s="117" t="e">
        <f t="shared" si="29"/>
        <v>#DIV/0!</v>
      </c>
      <c r="S105" s="117" t="e">
        <f t="shared" si="30"/>
        <v>#DIV/0!</v>
      </c>
      <c r="T105" s="117" t="e">
        <f t="shared" si="24"/>
        <v>#DIV/0!</v>
      </c>
      <c r="U105" s="117" t="e">
        <f t="shared" si="20"/>
        <v>#DIV/0!</v>
      </c>
      <c r="V105" s="117">
        <f t="shared" si="25"/>
        <v>0</v>
      </c>
      <c r="W105" s="117">
        <f t="shared" si="31"/>
        <v>0</v>
      </c>
      <c r="X105" s="117">
        <f t="shared" si="32"/>
        <v>0</v>
      </c>
      <c r="Y105" s="117" t="e">
        <f t="shared" si="33"/>
        <v>#DIV/0!</v>
      </c>
      <c r="Z105" s="117" t="e">
        <f>ABS(0.4*0.85*Main!$G$546*'Pile Data'!X105+Main!$G$545*'Pile Data'!R105-Main!$G$545*('Pile Data'!T105+'Pile Data'!V105))</f>
        <v>#DIV/0!</v>
      </c>
      <c r="AA105" s="117" t="e">
        <f>(0.4*0.85*Main!$G$546*'Pile Data'!X105*Y105+Main!$G$545*('Pile Data'!R105*S105+'Pile Data'!T105*U105+'Pile Data'!V105*W105))</f>
        <v>#DIV/0!</v>
      </c>
      <c r="AB105" s="37"/>
    </row>
    <row r="106" spans="14:28">
      <c r="N106" s="2"/>
      <c r="O106" s="38">
        <f t="shared" si="27"/>
        <v>101</v>
      </c>
      <c r="P106" s="98">
        <f t="shared" si="23"/>
        <v>1.7627825445142729</v>
      </c>
      <c r="Q106" s="117">
        <f t="shared" si="28"/>
        <v>0</v>
      </c>
      <c r="R106" s="117" t="e">
        <f t="shared" si="29"/>
        <v>#DIV/0!</v>
      </c>
      <c r="S106" s="117" t="e">
        <f t="shared" si="30"/>
        <v>#DIV/0!</v>
      </c>
      <c r="T106" s="117" t="e">
        <f t="shared" si="24"/>
        <v>#DIV/0!</v>
      </c>
      <c r="U106" s="117" t="e">
        <f t="shared" si="20"/>
        <v>#DIV/0!</v>
      </c>
      <c r="V106" s="117">
        <f t="shared" si="25"/>
        <v>0</v>
      </c>
      <c r="W106" s="117">
        <f t="shared" si="31"/>
        <v>0</v>
      </c>
      <c r="X106" s="117">
        <f t="shared" si="32"/>
        <v>0</v>
      </c>
      <c r="Y106" s="117" t="e">
        <f t="shared" si="33"/>
        <v>#DIV/0!</v>
      </c>
      <c r="Z106" s="117" t="e">
        <f>ABS(0.4*0.85*Main!$G$546*'Pile Data'!X106+Main!$G$545*'Pile Data'!R106-Main!$G$545*('Pile Data'!T106+'Pile Data'!V106))</f>
        <v>#DIV/0!</v>
      </c>
      <c r="AA106" s="117" t="e">
        <f>(0.4*0.85*Main!$G$546*'Pile Data'!X106*Y106+Main!$G$545*('Pile Data'!R106*S106+'Pile Data'!T106*U106+'Pile Data'!V106*W106))</f>
        <v>#DIV/0!</v>
      </c>
      <c r="AB106" s="37"/>
    </row>
    <row r="107" spans="14:28">
      <c r="N107" s="2"/>
      <c r="O107" s="38">
        <f t="shared" si="27"/>
        <v>102</v>
      </c>
      <c r="P107" s="98">
        <f t="shared" si="23"/>
        <v>1.780235837034216</v>
      </c>
      <c r="Q107" s="117">
        <f t="shared" si="28"/>
        <v>0</v>
      </c>
      <c r="R107" s="117" t="e">
        <f t="shared" si="29"/>
        <v>#DIV/0!</v>
      </c>
      <c r="S107" s="117" t="e">
        <f t="shared" si="30"/>
        <v>#DIV/0!</v>
      </c>
      <c r="T107" s="117" t="e">
        <f t="shared" si="24"/>
        <v>#DIV/0!</v>
      </c>
      <c r="U107" s="117" t="e">
        <f t="shared" si="20"/>
        <v>#DIV/0!</v>
      </c>
      <c r="V107" s="117">
        <f t="shared" si="25"/>
        <v>0</v>
      </c>
      <c r="W107" s="117">
        <f t="shared" si="31"/>
        <v>0</v>
      </c>
      <c r="X107" s="117">
        <f t="shared" si="32"/>
        <v>0</v>
      </c>
      <c r="Y107" s="117" t="e">
        <f t="shared" si="33"/>
        <v>#DIV/0!</v>
      </c>
      <c r="Z107" s="117" t="e">
        <f>ABS(0.4*0.85*Main!$G$546*'Pile Data'!X107+Main!$G$545*'Pile Data'!R107-Main!$G$545*('Pile Data'!T107+'Pile Data'!V107))</f>
        <v>#DIV/0!</v>
      </c>
      <c r="AA107" s="117" t="e">
        <f>(0.4*0.85*Main!$G$546*'Pile Data'!X107*Y107+Main!$G$545*('Pile Data'!R107*S107+'Pile Data'!T107*U107+'Pile Data'!V107*W107))</f>
        <v>#DIV/0!</v>
      </c>
      <c r="AB107" s="37"/>
    </row>
    <row r="108" spans="14:28">
      <c r="N108" s="2"/>
      <c r="O108" s="38">
        <f t="shared" si="27"/>
        <v>103</v>
      </c>
      <c r="P108" s="98">
        <f t="shared" si="23"/>
        <v>1.7976891295541593</v>
      </c>
      <c r="Q108" s="117">
        <f t="shared" si="28"/>
        <v>0</v>
      </c>
      <c r="R108" s="117" t="e">
        <f t="shared" si="29"/>
        <v>#DIV/0!</v>
      </c>
      <c r="S108" s="117" t="e">
        <f t="shared" si="30"/>
        <v>#DIV/0!</v>
      </c>
      <c r="T108" s="117" t="e">
        <f t="shared" si="24"/>
        <v>#DIV/0!</v>
      </c>
      <c r="U108" s="117" t="e">
        <f t="shared" si="20"/>
        <v>#DIV/0!</v>
      </c>
      <c r="V108" s="117">
        <f t="shared" si="25"/>
        <v>0</v>
      </c>
      <c r="W108" s="117">
        <f t="shared" si="31"/>
        <v>0</v>
      </c>
      <c r="X108" s="117">
        <f t="shared" si="32"/>
        <v>0</v>
      </c>
      <c r="Y108" s="117" t="e">
        <f t="shared" si="33"/>
        <v>#DIV/0!</v>
      </c>
      <c r="Z108" s="117" t="e">
        <f>ABS(0.4*0.85*Main!$G$546*'Pile Data'!X108+Main!$G$545*'Pile Data'!R108-Main!$G$545*('Pile Data'!T108+'Pile Data'!V108))</f>
        <v>#DIV/0!</v>
      </c>
      <c r="AA108" s="117" t="e">
        <f>(0.4*0.85*Main!$G$546*'Pile Data'!X108*Y108+Main!$G$545*('Pile Data'!R108*S108+'Pile Data'!T108*U108+'Pile Data'!V108*W108))</f>
        <v>#DIV/0!</v>
      </c>
      <c r="AB108" s="37"/>
    </row>
    <row r="109" spans="14:28">
      <c r="N109" s="2"/>
      <c r="O109" s="38">
        <f t="shared" si="27"/>
        <v>104</v>
      </c>
      <c r="P109" s="98">
        <f t="shared" si="23"/>
        <v>1.8151424220741028</v>
      </c>
      <c r="Q109" s="117">
        <f t="shared" si="28"/>
        <v>0</v>
      </c>
      <c r="R109" s="117" t="e">
        <f t="shared" si="29"/>
        <v>#DIV/0!</v>
      </c>
      <c r="S109" s="117" t="e">
        <f t="shared" si="30"/>
        <v>#DIV/0!</v>
      </c>
      <c r="T109" s="117" t="e">
        <f t="shared" si="24"/>
        <v>#DIV/0!</v>
      </c>
      <c r="U109" s="117" t="e">
        <f t="shared" si="20"/>
        <v>#DIV/0!</v>
      </c>
      <c r="V109" s="117">
        <f t="shared" si="25"/>
        <v>0</v>
      </c>
      <c r="W109" s="117">
        <f t="shared" si="31"/>
        <v>0</v>
      </c>
      <c r="X109" s="117">
        <f t="shared" si="32"/>
        <v>0</v>
      </c>
      <c r="Y109" s="117" t="e">
        <f t="shared" si="33"/>
        <v>#DIV/0!</v>
      </c>
      <c r="Z109" s="117" t="e">
        <f>ABS(0.4*0.85*Main!$G$546*'Pile Data'!X109+Main!$G$545*'Pile Data'!R109-Main!$G$545*('Pile Data'!T109+'Pile Data'!V109))</f>
        <v>#DIV/0!</v>
      </c>
      <c r="AA109" s="117" t="e">
        <f>(0.4*0.85*Main!$G$546*'Pile Data'!X109*Y109+Main!$G$545*('Pile Data'!R109*S109+'Pile Data'!T109*U109+'Pile Data'!V109*W109))</f>
        <v>#DIV/0!</v>
      </c>
      <c r="AB109" s="37"/>
    </row>
    <row r="110" spans="14:28">
      <c r="N110" s="2"/>
      <c r="O110" s="38">
        <f t="shared" si="27"/>
        <v>105</v>
      </c>
      <c r="P110" s="98">
        <f t="shared" si="23"/>
        <v>1.8325957145940461</v>
      </c>
      <c r="Q110" s="117">
        <f t="shared" si="28"/>
        <v>0</v>
      </c>
      <c r="R110" s="117" t="e">
        <f t="shared" si="29"/>
        <v>#DIV/0!</v>
      </c>
      <c r="S110" s="117" t="e">
        <f t="shared" si="30"/>
        <v>#DIV/0!</v>
      </c>
      <c r="T110" s="117" t="e">
        <f t="shared" si="24"/>
        <v>#DIV/0!</v>
      </c>
      <c r="U110" s="117" t="e">
        <f t="shared" si="20"/>
        <v>#DIV/0!</v>
      </c>
      <c r="V110" s="117">
        <f t="shared" si="25"/>
        <v>0</v>
      </c>
      <c r="W110" s="117">
        <f t="shared" si="31"/>
        <v>0</v>
      </c>
      <c r="X110" s="117">
        <f t="shared" si="32"/>
        <v>0</v>
      </c>
      <c r="Y110" s="117" t="e">
        <f t="shared" si="33"/>
        <v>#DIV/0!</v>
      </c>
      <c r="Z110" s="117" t="e">
        <f>ABS(0.4*0.85*Main!$G$546*'Pile Data'!X110+Main!$G$545*'Pile Data'!R110-Main!$G$545*('Pile Data'!T110+'Pile Data'!V110))</f>
        <v>#DIV/0!</v>
      </c>
      <c r="AA110" s="117" t="e">
        <f>(0.4*0.85*Main!$G$546*'Pile Data'!X110*Y110+Main!$G$545*('Pile Data'!R110*S110+'Pile Data'!T110*U110+'Pile Data'!V110*W110))</f>
        <v>#DIV/0!</v>
      </c>
      <c r="AB110" s="37"/>
    </row>
    <row r="111" spans="14:28">
      <c r="N111" s="2"/>
      <c r="O111" s="38">
        <f t="shared" si="27"/>
        <v>106</v>
      </c>
      <c r="P111" s="98">
        <f t="shared" si="23"/>
        <v>1.8500490071139892</v>
      </c>
      <c r="Q111" s="117">
        <f t="shared" si="28"/>
        <v>0</v>
      </c>
      <c r="R111" s="117" t="e">
        <f t="shared" si="29"/>
        <v>#DIV/0!</v>
      </c>
      <c r="S111" s="117" t="e">
        <f t="shared" si="30"/>
        <v>#DIV/0!</v>
      </c>
      <c r="T111" s="117" t="e">
        <f t="shared" si="24"/>
        <v>#DIV/0!</v>
      </c>
      <c r="U111" s="117" t="e">
        <f t="shared" si="20"/>
        <v>#DIV/0!</v>
      </c>
      <c r="V111" s="117">
        <f t="shared" si="25"/>
        <v>0</v>
      </c>
      <c r="W111" s="117">
        <f t="shared" si="31"/>
        <v>0</v>
      </c>
      <c r="X111" s="117">
        <f t="shared" si="32"/>
        <v>0</v>
      </c>
      <c r="Y111" s="117" t="e">
        <f t="shared" si="33"/>
        <v>#DIV/0!</v>
      </c>
      <c r="Z111" s="117" t="e">
        <f>ABS(0.4*0.85*Main!$G$546*'Pile Data'!X111+Main!$G$545*'Pile Data'!R111-Main!$G$545*('Pile Data'!T111+'Pile Data'!V111))</f>
        <v>#DIV/0!</v>
      </c>
      <c r="AA111" s="117" t="e">
        <f>(0.4*0.85*Main!$G$546*'Pile Data'!X111*Y111+Main!$G$545*('Pile Data'!R111*S111+'Pile Data'!T111*U111+'Pile Data'!V111*W111))</f>
        <v>#DIV/0!</v>
      </c>
      <c r="AB111" s="37"/>
    </row>
    <row r="112" spans="14:28">
      <c r="N112" s="2"/>
      <c r="O112" s="38">
        <f t="shared" si="27"/>
        <v>107</v>
      </c>
      <c r="P112" s="98">
        <f t="shared" si="23"/>
        <v>1.8675022996339325</v>
      </c>
      <c r="Q112" s="117">
        <f t="shared" si="28"/>
        <v>0</v>
      </c>
      <c r="R112" s="117" t="e">
        <f t="shared" si="29"/>
        <v>#DIV/0!</v>
      </c>
      <c r="S112" s="117" t="e">
        <f t="shared" si="30"/>
        <v>#DIV/0!</v>
      </c>
      <c r="T112" s="117" t="e">
        <f t="shared" si="24"/>
        <v>#DIV/0!</v>
      </c>
      <c r="U112" s="117" t="e">
        <f t="shared" si="20"/>
        <v>#DIV/0!</v>
      </c>
      <c r="V112" s="117">
        <f t="shared" si="25"/>
        <v>0</v>
      </c>
      <c r="W112" s="117">
        <f t="shared" si="31"/>
        <v>0</v>
      </c>
      <c r="X112" s="117">
        <f t="shared" si="32"/>
        <v>0</v>
      </c>
      <c r="Y112" s="117" t="e">
        <f t="shared" si="33"/>
        <v>#DIV/0!</v>
      </c>
      <c r="Z112" s="117" t="e">
        <f>ABS(0.4*0.85*Main!$G$546*'Pile Data'!X112+Main!$G$545*'Pile Data'!R112-Main!$G$545*('Pile Data'!T112+'Pile Data'!V112))</f>
        <v>#DIV/0!</v>
      </c>
      <c r="AA112" s="117" t="e">
        <f>(0.4*0.85*Main!$G$546*'Pile Data'!X112*Y112+Main!$G$545*('Pile Data'!R112*S112+'Pile Data'!T112*U112+'Pile Data'!V112*W112))</f>
        <v>#DIV/0!</v>
      </c>
      <c r="AB112" s="37"/>
    </row>
    <row r="113" spans="14:28">
      <c r="N113" s="2"/>
      <c r="O113" s="38">
        <f t="shared" si="27"/>
        <v>108</v>
      </c>
      <c r="P113" s="98">
        <f t="shared" si="23"/>
        <v>1.8849555921538759</v>
      </c>
      <c r="Q113" s="117">
        <f t="shared" si="28"/>
        <v>0</v>
      </c>
      <c r="R113" s="117" t="e">
        <f t="shared" si="29"/>
        <v>#DIV/0!</v>
      </c>
      <c r="S113" s="117" t="e">
        <f t="shared" si="30"/>
        <v>#DIV/0!</v>
      </c>
      <c r="T113" s="117" t="e">
        <f t="shared" si="24"/>
        <v>#DIV/0!</v>
      </c>
      <c r="U113" s="117" t="e">
        <f t="shared" si="20"/>
        <v>#DIV/0!</v>
      </c>
      <c r="V113" s="117">
        <f t="shared" si="25"/>
        <v>0</v>
      </c>
      <c r="W113" s="117">
        <f t="shared" si="31"/>
        <v>0</v>
      </c>
      <c r="X113" s="117">
        <f t="shared" si="32"/>
        <v>0</v>
      </c>
      <c r="Y113" s="117" t="e">
        <f t="shared" si="33"/>
        <v>#DIV/0!</v>
      </c>
      <c r="Z113" s="117" t="e">
        <f>ABS(0.4*0.85*Main!$G$546*'Pile Data'!X113+Main!$G$545*'Pile Data'!R113-Main!$G$545*('Pile Data'!T113+'Pile Data'!V113))</f>
        <v>#DIV/0!</v>
      </c>
      <c r="AA113" s="117" t="e">
        <f>(0.4*0.85*Main!$G$546*'Pile Data'!X113*Y113+Main!$G$545*('Pile Data'!R113*S113+'Pile Data'!T113*U113+'Pile Data'!V113*W113))</f>
        <v>#DIV/0!</v>
      </c>
      <c r="AB113" s="37"/>
    </row>
    <row r="114" spans="14:28">
      <c r="N114" s="2"/>
      <c r="O114" s="38">
        <f t="shared" si="27"/>
        <v>109</v>
      </c>
      <c r="P114" s="98">
        <f t="shared" si="23"/>
        <v>1.902408884673819</v>
      </c>
      <c r="Q114" s="117">
        <f t="shared" si="28"/>
        <v>0</v>
      </c>
      <c r="R114" s="117" t="e">
        <f t="shared" si="29"/>
        <v>#DIV/0!</v>
      </c>
      <c r="S114" s="117" t="e">
        <f t="shared" si="30"/>
        <v>#DIV/0!</v>
      </c>
      <c r="T114" s="117" t="e">
        <f t="shared" si="24"/>
        <v>#DIV/0!</v>
      </c>
      <c r="U114" s="117" t="e">
        <f t="shared" si="20"/>
        <v>#DIV/0!</v>
      </c>
      <c r="V114" s="117">
        <f t="shared" si="25"/>
        <v>0</v>
      </c>
      <c r="W114" s="117">
        <f t="shared" si="31"/>
        <v>0</v>
      </c>
      <c r="X114" s="117">
        <f t="shared" si="32"/>
        <v>0</v>
      </c>
      <c r="Y114" s="117" t="e">
        <f t="shared" si="33"/>
        <v>#DIV/0!</v>
      </c>
      <c r="Z114" s="117" t="e">
        <f>ABS(0.4*0.85*Main!$G$546*'Pile Data'!X114+Main!$G$545*'Pile Data'!R114-Main!$G$545*('Pile Data'!T114+'Pile Data'!V114))</f>
        <v>#DIV/0!</v>
      </c>
      <c r="AA114" s="117" t="e">
        <f>(0.4*0.85*Main!$G$546*'Pile Data'!X114*Y114+Main!$G$545*('Pile Data'!R114*S114+'Pile Data'!T114*U114+'Pile Data'!V114*W114))</f>
        <v>#DIV/0!</v>
      </c>
      <c r="AB114" s="37"/>
    </row>
    <row r="115" spans="14:28">
      <c r="N115" s="2"/>
      <c r="O115" s="38">
        <f t="shared" si="27"/>
        <v>110</v>
      </c>
      <c r="P115" s="98">
        <f t="shared" si="23"/>
        <v>1.9198621771937625</v>
      </c>
      <c r="Q115" s="117">
        <f t="shared" si="28"/>
        <v>0</v>
      </c>
      <c r="R115" s="117" t="e">
        <f t="shared" si="29"/>
        <v>#DIV/0!</v>
      </c>
      <c r="S115" s="117" t="e">
        <f t="shared" si="30"/>
        <v>#DIV/0!</v>
      </c>
      <c r="T115" s="117" t="e">
        <f t="shared" si="24"/>
        <v>#DIV/0!</v>
      </c>
      <c r="U115" s="117" t="e">
        <f t="shared" si="20"/>
        <v>#DIV/0!</v>
      </c>
      <c r="V115" s="117">
        <f t="shared" si="25"/>
        <v>0</v>
      </c>
      <c r="W115" s="117">
        <f t="shared" si="31"/>
        <v>0</v>
      </c>
      <c r="X115" s="117">
        <f t="shared" si="32"/>
        <v>0</v>
      </c>
      <c r="Y115" s="117" t="e">
        <f t="shared" si="33"/>
        <v>#DIV/0!</v>
      </c>
      <c r="Z115" s="117" t="e">
        <f>ABS(0.4*0.85*Main!$G$546*'Pile Data'!X115+Main!$G$545*'Pile Data'!R115-Main!$G$545*('Pile Data'!T115+'Pile Data'!V115))</f>
        <v>#DIV/0!</v>
      </c>
      <c r="AA115" s="117" t="e">
        <f>(0.4*0.85*Main!$G$546*'Pile Data'!X115*Y115+Main!$G$545*('Pile Data'!R115*S115+'Pile Data'!T115*U115+'Pile Data'!V115*W115))</f>
        <v>#DIV/0!</v>
      </c>
      <c r="AB115" s="37"/>
    </row>
    <row r="116" spans="14:28">
      <c r="N116" s="2"/>
      <c r="O116" s="38">
        <f t="shared" si="27"/>
        <v>111</v>
      </c>
      <c r="P116" s="98">
        <f t="shared" si="23"/>
        <v>1.9373154697137058</v>
      </c>
      <c r="Q116" s="117">
        <f t="shared" si="28"/>
        <v>0</v>
      </c>
      <c r="R116" s="117" t="e">
        <f t="shared" si="29"/>
        <v>#DIV/0!</v>
      </c>
      <c r="S116" s="117" t="e">
        <f t="shared" si="30"/>
        <v>#DIV/0!</v>
      </c>
      <c r="T116" s="117" t="e">
        <f t="shared" si="24"/>
        <v>#DIV/0!</v>
      </c>
      <c r="U116" s="117" t="e">
        <f t="shared" si="20"/>
        <v>#DIV/0!</v>
      </c>
      <c r="V116" s="117">
        <f t="shared" si="25"/>
        <v>0</v>
      </c>
      <c r="W116" s="117">
        <f t="shared" si="31"/>
        <v>0</v>
      </c>
      <c r="X116" s="117">
        <f t="shared" si="32"/>
        <v>0</v>
      </c>
      <c r="Y116" s="117" t="e">
        <f t="shared" si="33"/>
        <v>#DIV/0!</v>
      </c>
      <c r="Z116" s="117" t="e">
        <f>ABS(0.4*0.85*Main!$G$546*'Pile Data'!X116+Main!$G$545*'Pile Data'!R116-Main!$G$545*('Pile Data'!T116+'Pile Data'!V116))</f>
        <v>#DIV/0!</v>
      </c>
      <c r="AA116" s="117" t="e">
        <f>(0.4*0.85*Main!$G$546*'Pile Data'!X116*Y116+Main!$G$545*('Pile Data'!R116*S116+'Pile Data'!T116*U116+'Pile Data'!V116*W116))</f>
        <v>#DIV/0!</v>
      </c>
      <c r="AB116" s="37"/>
    </row>
    <row r="117" spans="14:28">
      <c r="N117" s="2"/>
      <c r="O117" s="38">
        <f t="shared" si="27"/>
        <v>112</v>
      </c>
      <c r="P117" s="98">
        <f t="shared" si="23"/>
        <v>1.9547687622336491</v>
      </c>
      <c r="Q117" s="117">
        <f t="shared" si="28"/>
        <v>0</v>
      </c>
      <c r="R117" s="117" t="e">
        <f t="shared" si="29"/>
        <v>#DIV/0!</v>
      </c>
      <c r="S117" s="117" t="e">
        <f t="shared" si="30"/>
        <v>#DIV/0!</v>
      </c>
      <c r="T117" s="117" t="e">
        <f t="shared" si="24"/>
        <v>#DIV/0!</v>
      </c>
      <c r="U117" s="117" t="e">
        <f t="shared" si="20"/>
        <v>#DIV/0!</v>
      </c>
      <c r="V117" s="117">
        <f t="shared" si="25"/>
        <v>0</v>
      </c>
      <c r="W117" s="117">
        <f t="shared" si="31"/>
        <v>0</v>
      </c>
      <c r="X117" s="117">
        <f t="shared" si="32"/>
        <v>0</v>
      </c>
      <c r="Y117" s="117" t="e">
        <f t="shared" si="33"/>
        <v>#DIV/0!</v>
      </c>
      <c r="Z117" s="117" t="e">
        <f>ABS(0.4*0.85*Main!$G$546*'Pile Data'!X117+Main!$G$545*'Pile Data'!R117-Main!$G$545*('Pile Data'!T117+'Pile Data'!V117))</f>
        <v>#DIV/0!</v>
      </c>
      <c r="AA117" s="117" t="e">
        <f>(0.4*0.85*Main!$G$546*'Pile Data'!X117*Y117+Main!$G$545*('Pile Data'!R117*S117+'Pile Data'!T117*U117+'Pile Data'!V117*W117))</f>
        <v>#DIV/0!</v>
      </c>
      <c r="AB117" s="37"/>
    </row>
    <row r="118" spans="14:28">
      <c r="N118" s="2"/>
      <c r="O118" s="38">
        <f t="shared" si="27"/>
        <v>113</v>
      </c>
      <c r="P118" s="98">
        <f t="shared" si="23"/>
        <v>1.9722220547535922</v>
      </c>
      <c r="Q118" s="117">
        <f t="shared" si="28"/>
        <v>0</v>
      </c>
      <c r="R118" s="117" t="e">
        <f t="shared" si="29"/>
        <v>#DIV/0!</v>
      </c>
      <c r="S118" s="117" t="e">
        <f t="shared" si="30"/>
        <v>#DIV/0!</v>
      </c>
      <c r="T118" s="117" t="e">
        <f t="shared" si="24"/>
        <v>#DIV/0!</v>
      </c>
      <c r="U118" s="117" t="e">
        <f t="shared" si="20"/>
        <v>#DIV/0!</v>
      </c>
      <c r="V118" s="117">
        <f t="shared" si="25"/>
        <v>0</v>
      </c>
      <c r="W118" s="117">
        <f t="shared" si="31"/>
        <v>0</v>
      </c>
      <c r="X118" s="117">
        <f t="shared" si="32"/>
        <v>0</v>
      </c>
      <c r="Y118" s="117" t="e">
        <f t="shared" si="33"/>
        <v>#DIV/0!</v>
      </c>
      <c r="Z118" s="117" t="e">
        <f>ABS(0.4*0.85*Main!$G$546*'Pile Data'!X118+Main!$G$545*'Pile Data'!R118-Main!$G$545*('Pile Data'!T118+'Pile Data'!V118))</f>
        <v>#DIV/0!</v>
      </c>
      <c r="AA118" s="117" t="e">
        <f>(0.4*0.85*Main!$G$546*'Pile Data'!X118*Y118+Main!$G$545*('Pile Data'!R118*S118+'Pile Data'!T118*U118+'Pile Data'!V118*W118))</f>
        <v>#DIV/0!</v>
      </c>
      <c r="AB118" s="37"/>
    </row>
    <row r="119" spans="14:28">
      <c r="N119" s="2"/>
      <c r="O119" s="38">
        <f t="shared" si="27"/>
        <v>114</v>
      </c>
      <c r="P119" s="98">
        <f t="shared" si="23"/>
        <v>1.9896753472735356</v>
      </c>
      <c r="Q119" s="117">
        <f t="shared" si="28"/>
        <v>0</v>
      </c>
      <c r="R119" s="117" t="e">
        <f t="shared" si="29"/>
        <v>#DIV/0!</v>
      </c>
      <c r="S119" s="117" t="e">
        <f t="shared" si="30"/>
        <v>#DIV/0!</v>
      </c>
      <c r="T119" s="117" t="e">
        <f t="shared" si="24"/>
        <v>#DIV/0!</v>
      </c>
      <c r="U119" s="117" t="e">
        <f t="shared" si="20"/>
        <v>#DIV/0!</v>
      </c>
      <c r="V119" s="117">
        <f t="shared" si="25"/>
        <v>0</v>
      </c>
      <c r="W119" s="117">
        <f t="shared" si="31"/>
        <v>0</v>
      </c>
      <c r="X119" s="117">
        <f t="shared" si="32"/>
        <v>0</v>
      </c>
      <c r="Y119" s="117" t="e">
        <f t="shared" si="33"/>
        <v>#DIV/0!</v>
      </c>
      <c r="Z119" s="117" t="e">
        <f>ABS(0.4*0.85*Main!$G$546*'Pile Data'!X119+Main!$G$545*'Pile Data'!R119-Main!$G$545*('Pile Data'!T119+'Pile Data'!V119))</f>
        <v>#DIV/0!</v>
      </c>
      <c r="AA119" s="117" t="e">
        <f>(0.4*0.85*Main!$G$546*'Pile Data'!X119*Y119+Main!$G$545*('Pile Data'!R119*S119+'Pile Data'!T119*U119+'Pile Data'!V119*W119))</f>
        <v>#DIV/0!</v>
      </c>
      <c r="AB119" s="37"/>
    </row>
    <row r="120" spans="14:28">
      <c r="N120" s="2"/>
      <c r="O120" s="38">
        <f t="shared" si="27"/>
        <v>115</v>
      </c>
      <c r="P120" s="98">
        <f t="shared" si="23"/>
        <v>2.0071286397934789</v>
      </c>
      <c r="Q120" s="117">
        <f t="shared" si="28"/>
        <v>0</v>
      </c>
      <c r="R120" s="117" t="e">
        <f t="shared" si="29"/>
        <v>#DIV/0!</v>
      </c>
      <c r="S120" s="117" t="e">
        <f t="shared" si="30"/>
        <v>#DIV/0!</v>
      </c>
      <c r="T120" s="117" t="e">
        <f t="shared" si="24"/>
        <v>#DIV/0!</v>
      </c>
      <c r="U120" s="117" t="e">
        <f t="shared" si="20"/>
        <v>#DIV/0!</v>
      </c>
      <c r="V120" s="117">
        <f t="shared" si="25"/>
        <v>0</v>
      </c>
      <c r="W120" s="117">
        <f t="shared" si="31"/>
        <v>0</v>
      </c>
      <c r="X120" s="117">
        <f t="shared" si="32"/>
        <v>0</v>
      </c>
      <c r="Y120" s="117" t="e">
        <f t="shared" si="33"/>
        <v>#DIV/0!</v>
      </c>
      <c r="Z120" s="117" t="e">
        <f>ABS(0.4*0.85*Main!$G$546*'Pile Data'!X120+Main!$G$545*'Pile Data'!R120-Main!$G$545*('Pile Data'!T120+'Pile Data'!V120))</f>
        <v>#DIV/0!</v>
      </c>
      <c r="AA120" s="117" t="e">
        <f>(0.4*0.85*Main!$G$546*'Pile Data'!X120*Y120+Main!$G$545*('Pile Data'!R120*S120+'Pile Data'!T120*U120+'Pile Data'!V120*W120))</f>
        <v>#DIV/0!</v>
      </c>
      <c r="AB120" s="37"/>
    </row>
    <row r="121" spans="14:28">
      <c r="N121" s="2"/>
      <c r="O121" s="38">
        <f t="shared" si="27"/>
        <v>116</v>
      </c>
      <c r="P121" s="98">
        <f t="shared" si="23"/>
        <v>2.0245819323134224</v>
      </c>
      <c r="Q121" s="117">
        <f t="shared" si="28"/>
        <v>0</v>
      </c>
      <c r="R121" s="117" t="e">
        <f t="shared" si="29"/>
        <v>#DIV/0!</v>
      </c>
      <c r="S121" s="117" t="e">
        <f t="shared" si="30"/>
        <v>#DIV/0!</v>
      </c>
      <c r="T121" s="117" t="e">
        <f t="shared" si="24"/>
        <v>#DIV/0!</v>
      </c>
      <c r="U121" s="117" t="e">
        <f t="shared" si="20"/>
        <v>#DIV/0!</v>
      </c>
      <c r="V121" s="117">
        <f t="shared" si="25"/>
        <v>0</v>
      </c>
      <c r="W121" s="117">
        <f t="shared" si="31"/>
        <v>0</v>
      </c>
      <c r="X121" s="117">
        <f t="shared" si="32"/>
        <v>0</v>
      </c>
      <c r="Y121" s="117" t="e">
        <f t="shared" si="33"/>
        <v>#DIV/0!</v>
      </c>
      <c r="Z121" s="117" t="e">
        <f>ABS(0.4*0.85*Main!$G$546*'Pile Data'!X121+Main!$G$545*'Pile Data'!R121-Main!$G$545*('Pile Data'!T121+'Pile Data'!V121))</f>
        <v>#DIV/0!</v>
      </c>
      <c r="AA121" s="117" t="e">
        <f>(0.4*0.85*Main!$G$546*'Pile Data'!X121*Y121+Main!$G$545*('Pile Data'!R121*S121+'Pile Data'!T121*U121+'Pile Data'!V121*W121))</f>
        <v>#DIV/0!</v>
      </c>
      <c r="AB121" s="37"/>
    </row>
    <row r="122" spans="14:28">
      <c r="N122" s="2"/>
      <c r="O122" s="38">
        <f t="shared" si="27"/>
        <v>117</v>
      </c>
      <c r="P122" s="98">
        <f t="shared" si="23"/>
        <v>2.0420352248333655</v>
      </c>
      <c r="Q122" s="117">
        <f t="shared" si="28"/>
        <v>0</v>
      </c>
      <c r="R122" s="117" t="e">
        <f t="shared" si="29"/>
        <v>#DIV/0!</v>
      </c>
      <c r="S122" s="117" t="e">
        <f t="shared" si="30"/>
        <v>#DIV/0!</v>
      </c>
      <c r="T122" s="117" t="e">
        <f t="shared" si="24"/>
        <v>#DIV/0!</v>
      </c>
      <c r="U122" s="117" t="e">
        <f t="shared" si="20"/>
        <v>#DIV/0!</v>
      </c>
      <c r="V122" s="117">
        <f t="shared" si="25"/>
        <v>0</v>
      </c>
      <c r="W122" s="117">
        <f t="shared" si="31"/>
        <v>0</v>
      </c>
      <c r="X122" s="117">
        <f t="shared" si="32"/>
        <v>0</v>
      </c>
      <c r="Y122" s="117" t="e">
        <f t="shared" si="33"/>
        <v>#DIV/0!</v>
      </c>
      <c r="Z122" s="117" t="e">
        <f>ABS(0.4*0.85*Main!$G$546*'Pile Data'!X122+Main!$G$545*'Pile Data'!R122-Main!$G$545*('Pile Data'!T122+'Pile Data'!V122))</f>
        <v>#DIV/0!</v>
      </c>
      <c r="AA122" s="117" t="e">
        <f>(0.4*0.85*Main!$G$546*'Pile Data'!X122*Y122+Main!$G$545*('Pile Data'!R122*S122+'Pile Data'!T122*U122+'Pile Data'!V122*W122))</f>
        <v>#DIV/0!</v>
      </c>
      <c r="AB122" s="37"/>
    </row>
    <row r="123" spans="14:28">
      <c r="N123" s="2"/>
      <c r="O123" s="38">
        <f t="shared" si="27"/>
        <v>118</v>
      </c>
      <c r="P123" s="98">
        <f t="shared" si="23"/>
        <v>2.0594885173533086</v>
      </c>
      <c r="Q123" s="117">
        <f t="shared" si="28"/>
        <v>0</v>
      </c>
      <c r="R123" s="117" t="e">
        <f t="shared" si="29"/>
        <v>#DIV/0!</v>
      </c>
      <c r="S123" s="117" t="e">
        <f t="shared" si="30"/>
        <v>#DIV/0!</v>
      </c>
      <c r="T123" s="117" t="e">
        <f t="shared" si="24"/>
        <v>#DIV/0!</v>
      </c>
      <c r="U123" s="117" t="e">
        <f t="shared" si="20"/>
        <v>#DIV/0!</v>
      </c>
      <c r="V123" s="117">
        <f t="shared" si="25"/>
        <v>0</v>
      </c>
      <c r="W123" s="117">
        <f t="shared" si="31"/>
        <v>0</v>
      </c>
      <c r="X123" s="117">
        <f t="shared" si="32"/>
        <v>0</v>
      </c>
      <c r="Y123" s="117" t="e">
        <f t="shared" si="33"/>
        <v>#DIV/0!</v>
      </c>
      <c r="Z123" s="117" t="e">
        <f>ABS(0.4*0.85*Main!$G$546*'Pile Data'!X123+Main!$G$545*'Pile Data'!R123-Main!$G$545*('Pile Data'!T123+'Pile Data'!V123))</f>
        <v>#DIV/0!</v>
      </c>
      <c r="AA123" s="117" t="e">
        <f>(0.4*0.85*Main!$G$546*'Pile Data'!X123*Y123+Main!$G$545*('Pile Data'!R123*S123+'Pile Data'!T123*U123+'Pile Data'!V123*W123))</f>
        <v>#DIV/0!</v>
      </c>
      <c r="AB123" s="37"/>
    </row>
    <row r="124" spans="14:28">
      <c r="N124" s="2"/>
      <c r="O124" s="38">
        <f t="shared" si="27"/>
        <v>119</v>
      </c>
      <c r="P124" s="98">
        <f t="shared" si="23"/>
        <v>2.0769418098732522</v>
      </c>
      <c r="Q124" s="117">
        <f t="shared" si="28"/>
        <v>0</v>
      </c>
      <c r="R124" s="117" t="e">
        <f t="shared" si="29"/>
        <v>#DIV/0!</v>
      </c>
      <c r="S124" s="117" t="e">
        <f t="shared" si="30"/>
        <v>#DIV/0!</v>
      </c>
      <c r="T124" s="117" t="e">
        <f t="shared" si="24"/>
        <v>#DIV/0!</v>
      </c>
      <c r="U124" s="117" t="e">
        <f t="shared" si="20"/>
        <v>#DIV/0!</v>
      </c>
      <c r="V124" s="117">
        <f t="shared" si="25"/>
        <v>0</v>
      </c>
      <c r="W124" s="117">
        <f t="shared" si="31"/>
        <v>0</v>
      </c>
      <c r="X124" s="117">
        <f t="shared" si="32"/>
        <v>0</v>
      </c>
      <c r="Y124" s="117" t="e">
        <f t="shared" si="33"/>
        <v>#DIV/0!</v>
      </c>
      <c r="Z124" s="117" t="e">
        <f>ABS(0.4*0.85*Main!$G$546*'Pile Data'!X124+Main!$G$545*'Pile Data'!R124-Main!$G$545*('Pile Data'!T124+'Pile Data'!V124))</f>
        <v>#DIV/0!</v>
      </c>
      <c r="AA124" s="117" t="e">
        <f>(0.4*0.85*Main!$G$546*'Pile Data'!X124*Y124+Main!$G$545*('Pile Data'!R124*S124+'Pile Data'!T124*U124+'Pile Data'!V124*W124))</f>
        <v>#DIV/0!</v>
      </c>
      <c r="AB124" s="37"/>
    </row>
    <row r="125" spans="14:28">
      <c r="N125" s="2"/>
      <c r="O125" s="38">
        <f t="shared" si="27"/>
        <v>120</v>
      </c>
      <c r="P125" s="98">
        <f t="shared" si="23"/>
        <v>2.0943951023931953</v>
      </c>
      <c r="Q125" s="117">
        <f t="shared" si="28"/>
        <v>0</v>
      </c>
      <c r="R125" s="117" t="e">
        <f t="shared" si="29"/>
        <v>#DIV/0!</v>
      </c>
      <c r="S125" s="117" t="e">
        <f t="shared" si="30"/>
        <v>#DIV/0!</v>
      </c>
      <c r="T125" s="117" t="e">
        <f t="shared" si="24"/>
        <v>#DIV/0!</v>
      </c>
      <c r="U125" s="117" t="e">
        <f t="shared" si="20"/>
        <v>#DIV/0!</v>
      </c>
      <c r="V125" s="117">
        <f t="shared" si="25"/>
        <v>0</v>
      </c>
      <c r="W125" s="117">
        <f t="shared" si="31"/>
        <v>0</v>
      </c>
      <c r="X125" s="117">
        <f t="shared" si="32"/>
        <v>0</v>
      </c>
      <c r="Y125" s="117" t="e">
        <f t="shared" si="33"/>
        <v>#DIV/0!</v>
      </c>
      <c r="Z125" s="117" t="e">
        <f>ABS(0.4*0.85*Main!$G$546*'Pile Data'!X125+Main!$G$545*'Pile Data'!R125-Main!$G$545*('Pile Data'!T125+'Pile Data'!V125))</f>
        <v>#DIV/0!</v>
      </c>
      <c r="AA125" s="117" t="e">
        <f>(0.4*0.85*Main!$G$546*'Pile Data'!X125*Y125+Main!$G$545*('Pile Data'!R125*S125+'Pile Data'!T125*U125+'Pile Data'!V125*W125))</f>
        <v>#DIV/0!</v>
      </c>
      <c r="AB125" s="37"/>
    </row>
    <row r="126" spans="14:28">
      <c r="N126" s="2"/>
      <c r="O126" s="38">
        <f t="shared" si="27"/>
        <v>121</v>
      </c>
      <c r="P126" s="98">
        <f t="shared" si="23"/>
        <v>2.1118483949131388</v>
      </c>
      <c r="Q126" s="117">
        <f t="shared" si="28"/>
        <v>0</v>
      </c>
      <c r="R126" s="117" t="e">
        <f t="shared" si="29"/>
        <v>#DIV/0!</v>
      </c>
      <c r="S126" s="117" t="e">
        <f t="shared" si="30"/>
        <v>#DIV/0!</v>
      </c>
      <c r="T126" s="117" t="e">
        <f t="shared" si="24"/>
        <v>#DIV/0!</v>
      </c>
      <c r="U126" s="117" t="e">
        <f t="shared" si="20"/>
        <v>#DIV/0!</v>
      </c>
      <c r="V126" s="117">
        <f t="shared" si="25"/>
        <v>0</v>
      </c>
      <c r="W126" s="117">
        <f t="shared" si="31"/>
        <v>0</v>
      </c>
      <c r="X126" s="117">
        <f t="shared" si="32"/>
        <v>0</v>
      </c>
      <c r="Y126" s="117" t="e">
        <f t="shared" si="33"/>
        <v>#DIV/0!</v>
      </c>
      <c r="Z126" s="117" t="e">
        <f>ABS(0.4*0.85*Main!$G$546*'Pile Data'!X126+Main!$G$545*'Pile Data'!R126-Main!$G$545*('Pile Data'!T126+'Pile Data'!V126))</f>
        <v>#DIV/0!</v>
      </c>
      <c r="AA126" s="117" t="e">
        <f>(0.4*0.85*Main!$G$546*'Pile Data'!X126*Y126+Main!$G$545*('Pile Data'!R126*S126+'Pile Data'!T126*U126+'Pile Data'!V126*W126))</f>
        <v>#DIV/0!</v>
      </c>
      <c r="AB126" s="37"/>
    </row>
    <row r="127" spans="14:28">
      <c r="N127" s="2"/>
      <c r="O127" s="38">
        <f t="shared" si="27"/>
        <v>122</v>
      </c>
      <c r="P127" s="98">
        <f t="shared" si="23"/>
        <v>2.1293016874330819</v>
      </c>
      <c r="Q127" s="117">
        <f t="shared" si="28"/>
        <v>0</v>
      </c>
      <c r="R127" s="117" t="e">
        <f t="shared" si="29"/>
        <v>#DIV/0!</v>
      </c>
      <c r="S127" s="117" t="e">
        <f t="shared" si="30"/>
        <v>#DIV/0!</v>
      </c>
      <c r="T127" s="117" t="e">
        <f t="shared" si="24"/>
        <v>#DIV/0!</v>
      </c>
      <c r="U127" s="117" t="e">
        <f t="shared" si="20"/>
        <v>#DIV/0!</v>
      </c>
      <c r="V127" s="117">
        <f t="shared" si="25"/>
        <v>0</v>
      </c>
      <c r="W127" s="117">
        <f t="shared" si="31"/>
        <v>0</v>
      </c>
      <c r="X127" s="117">
        <f t="shared" si="32"/>
        <v>0</v>
      </c>
      <c r="Y127" s="117" t="e">
        <f t="shared" si="33"/>
        <v>#DIV/0!</v>
      </c>
      <c r="Z127" s="117" t="e">
        <f>ABS(0.4*0.85*Main!$G$546*'Pile Data'!X127+Main!$G$545*'Pile Data'!R127-Main!$G$545*('Pile Data'!T127+'Pile Data'!V127))</f>
        <v>#DIV/0!</v>
      </c>
      <c r="AA127" s="117" t="e">
        <f>(0.4*0.85*Main!$G$546*'Pile Data'!X127*Y127+Main!$G$545*('Pile Data'!R127*S127+'Pile Data'!T127*U127+'Pile Data'!V127*W127))</f>
        <v>#DIV/0!</v>
      </c>
      <c r="AB127" s="37"/>
    </row>
    <row r="128" spans="14:28">
      <c r="N128" s="2"/>
      <c r="O128" s="38">
        <f t="shared" si="27"/>
        <v>123</v>
      </c>
      <c r="P128" s="98">
        <f t="shared" si="23"/>
        <v>2.1467549799530254</v>
      </c>
      <c r="Q128" s="117">
        <f t="shared" si="28"/>
        <v>0</v>
      </c>
      <c r="R128" s="117" t="e">
        <f t="shared" si="29"/>
        <v>#DIV/0!</v>
      </c>
      <c r="S128" s="117" t="e">
        <f t="shared" si="30"/>
        <v>#DIV/0!</v>
      </c>
      <c r="T128" s="117" t="e">
        <f t="shared" si="24"/>
        <v>#DIV/0!</v>
      </c>
      <c r="U128" s="117" t="e">
        <f t="shared" si="20"/>
        <v>#DIV/0!</v>
      </c>
      <c r="V128" s="117">
        <f t="shared" si="25"/>
        <v>0</v>
      </c>
      <c r="W128" s="117">
        <f t="shared" si="31"/>
        <v>0</v>
      </c>
      <c r="X128" s="117">
        <f t="shared" si="32"/>
        <v>0</v>
      </c>
      <c r="Y128" s="117" t="e">
        <f t="shared" si="33"/>
        <v>#DIV/0!</v>
      </c>
      <c r="Z128" s="117" t="e">
        <f>ABS(0.4*0.85*Main!$G$546*'Pile Data'!X128+Main!$G$545*'Pile Data'!R128-Main!$G$545*('Pile Data'!T128+'Pile Data'!V128))</f>
        <v>#DIV/0!</v>
      </c>
      <c r="AA128" s="117" t="e">
        <f>(0.4*0.85*Main!$G$546*'Pile Data'!X128*Y128+Main!$G$545*('Pile Data'!R128*S128+'Pile Data'!T128*U128+'Pile Data'!V128*W128))</f>
        <v>#DIV/0!</v>
      </c>
      <c r="AB128" s="37"/>
    </row>
    <row r="129" spans="14:28">
      <c r="N129" s="2"/>
      <c r="O129" s="38">
        <f t="shared" si="27"/>
        <v>124</v>
      </c>
      <c r="P129" s="98">
        <f t="shared" si="23"/>
        <v>2.1642082724729685</v>
      </c>
      <c r="Q129" s="117">
        <f t="shared" si="28"/>
        <v>0</v>
      </c>
      <c r="R129" s="117" t="e">
        <f t="shared" si="29"/>
        <v>#DIV/0!</v>
      </c>
      <c r="S129" s="117" t="e">
        <f t="shared" si="30"/>
        <v>#DIV/0!</v>
      </c>
      <c r="T129" s="117" t="e">
        <f t="shared" si="24"/>
        <v>#DIV/0!</v>
      </c>
      <c r="U129" s="117" t="e">
        <f t="shared" si="20"/>
        <v>#DIV/0!</v>
      </c>
      <c r="V129" s="117">
        <f t="shared" si="25"/>
        <v>0</v>
      </c>
      <c r="W129" s="117">
        <f t="shared" si="31"/>
        <v>0</v>
      </c>
      <c r="X129" s="117">
        <f t="shared" si="32"/>
        <v>0</v>
      </c>
      <c r="Y129" s="117" t="e">
        <f t="shared" si="33"/>
        <v>#DIV/0!</v>
      </c>
      <c r="Z129" s="117" t="e">
        <f>ABS(0.4*0.85*Main!$G$546*'Pile Data'!X129+Main!$G$545*'Pile Data'!R129-Main!$G$545*('Pile Data'!T129+'Pile Data'!V129))</f>
        <v>#DIV/0!</v>
      </c>
      <c r="AA129" s="117" t="e">
        <f>(0.4*0.85*Main!$G$546*'Pile Data'!X129*Y129+Main!$G$545*('Pile Data'!R129*S129+'Pile Data'!T129*U129+'Pile Data'!V129*W129))</f>
        <v>#DIV/0!</v>
      </c>
      <c r="AB129" s="37"/>
    </row>
    <row r="130" spans="14:28">
      <c r="N130" s="2"/>
      <c r="O130" s="38">
        <f t="shared" si="27"/>
        <v>125</v>
      </c>
      <c r="P130" s="98">
        <f t="shared" si="23"/>
        <v>2.1816615649929116</v>
      </c>
      <c r="Q130" s="117">
        <f t="shared" si="28"/>
        <v>0</v>
      </c>
      <c r="R130" s="117" t="e">
        <f t="shared" si="29"/>
        <v>#DIV/0!</v>
      </c>
      <c r="S130" s="117" t="e">
        <f t="shared" si="30"/>
        <v>#DIV/0!</v>
      </c>
      <c r="T130" s="117" t="e">
        <f t="shared" si="24"/>
        <v>#DIV/0!</v>
      </c>
      <c r="U130" s="117" t="e">
        <f t="shared" si="20"/>
        <v>#DIV/0!</v>
      </c>
      <c r="V130" s="117">
        <f t="shared" si="25"/>
        <v>0</v>
      </c>
      <c r="W130" s="117">
        <f t="shared" si="31"/>
        <v>0</v>
      </c>
      <c r="X130" s="117">
        <f t="shared" si="32"/>
        <v>0</v>
      </c>
      <c r="Y130" s="117" t="e">
        <f t="shared" si="33"/>
        <v>#DIV/0!</v>
      </c>
      <c r="Z130" s="117" t="e">
        <f>ABS(0.4*0.85*Main!$G$546*'Pile Data'!X130+Main!$G$545*'Pile Data'!R130-Main!$G$545*('Pile Data'!T130+'Pile Data'!V130))</f>
        <v>#DIV/0!</v>
      </c>
      <c r="AA130" s="117" t="e">
        <f>(0.4*0.85*Main!$G$546*'Pile Data'!X130*Y130+Main!$G$545*('Pile Data'!R130*S130+'Pile Data'!T130*U130+'Pile Data'!V130*W130))</f>
        <v>#DIV/0!</v>
      </c>
      <c r="AB130" s="37"/>
    </row>
    <row r="131" spans="14:28">
      <c r="N131" s="2"/>
      <c r="O131" s="38">
        <f t="shared" si="27"/>
        <v>126</v>
      </c>
      <c r="P131" s="98">
        <f t="shared" si="23"/>
        <v>2.1991148575128552</v>
      </c>
      <c r="Q131" s="117">
        <f t="shared" si="28"/>
        <v>0</v>
      </c>
      <c r="R131" s="117" t="e">
        <f t="shared" si="29"/>
        <v>#DIV/0!</v>
      </c>
      <c r="S131" s="117" t="e">
        <f t="shared" si="30"/>
        <v>#DIV/0!</v>
      </c>
      <c r="T131" s="117" t="e">
        <f t="shared" si="24"/>
        <v>#DIV/0!</v>
      </c>
      <c r="U131" s="117" t="e">
        <f t="shared" si="20"/>
        <v>#DIV/0!</v>
      </c>
      <c r="V131" s="117">
        <f t="shared" si="25"/>
        <v>0</v>
      </c>
      <c r="W131" s="117">
        <f t="shared" si="31"/>
        <v>0</v>
      </c>
      <c r="X131" s="117">
        <f t="shared" si="32"/>
        <v>0</v>
      </c>
      <c r="Y131" s="117" t="e">
        <f t="shared" si="33"/>
        <v>#DIV/0!</v>
      </c>
      <c r="Z131" s="117" t="e">
        <f>ABS(0.4*0.85*Main!$G$546*'Pile Data'!X131+Main!$G$545*'Pile Data'!R131-Main!$G$545*('Pile Data'!T131+'Pile Data'!V131))</f>
        <v>#DIV/0!</v>
      </c>
      <c r="AA131" s="117" t="e">
        <f>(0.4*0.85*Main!$G$546*'Pile Data'!X131*Y131+Main!$G$545*('Pile Data'!R131*S131+'Pile Data'!T131*U131+'Pile Data'!V131*W131))</f>
        <v>#DIV/0!</v>
      </c>
      <c r="AB131" s="37"/>
    </row>
    <row r="132" spans="14:28">
      <c r="N132" s="2"/>
      <c r="O132" s="38">
        <f t="shared" si="27"/>
        <v>127</v>
      </c>
      <c r="P132" s="98">
        <f t="shared" si="23"/>
        <v>2.2165681500327987</v>
      </c>
      <c r="Q132" s="117">
        <f t="shared" si="28"/>
        <v>0</v>
      </c>
      <c r="R132" s="117" t="e">
        <f t="shared" si="29"/>
        <v>#DIV/0!</v>
      </c>
      <c r="S132" s="117" t="e">
        <f t="shared" si="30"/>
        <v>#DIV/0!</v>
      </c>
      <c r="T132" s="117" t="e">
        <f t="shared" si="24"/>
        <v>#DIV/0!</v>
      </c>
      <c r="U132" s="117" t="e">
        <f t="shared" si="20"/>
        <v>#DIV/0!</v>
      </c>
      <c r="V132" s="117">
        <f t="shared" si="25"/>
        <v>0</v>
      </c>
      <c r="W132" s="117">
        <f t="shared" si="31"/>
        <v>0</v>
      </c>
      <c r="X132" s="117">
        <f t="shared" si="32"/>
        <v>0</v>
      </c>
      <c r="Y132" s="117" t="e">
        <f t="shared" si="33"/>
        <v>#DIV/0!</v>
      </c>
      <c r="Z132" s="117" t="e">
        <f>ABS(0.4*0.85*Main!$G$546*'Pile Data'!X132+Main!$G$545*'Pile Data'!R132-Main!$G$545*('Pile Data'!T132+'Pile Data'!V132))</f>
        <v>#DIV/0!</v>
      </c>
      <c r="AA132" s="117" t="e">
        <f>(0.4*0.85*Main!$G$546*'Pile Data'!X132*Y132+Main!$G$545*('Pile Data'!R132*S132+'Pile Data'!T132*U132+'Pile Data'!V132*W132))</f>
        <v>#DIV/0!</v>
      </c>
      <c r="AB132" s="37"/>
    </row>
    <row r="133" spans="14:28">
      <c r="N133" s="2"/>
      <c r="O133" s="38">
        <f t="shared" si="27"/>
        <v>128</v>
      </c>
      <c r="P133" s="98">
        <f t="shared" si="23"/>
        <v>2.2340214425527418</v>
      </c>
      <c r="Q133" s="117">
        <f t="shared" ref="Q133:Q164" si="34">COS(P133/2)*($D$25-2*$E$25)/2</f>
        <v>0</v>
      </c>
      <c r="R133" s="117" t="e">
        <f t="shared" ref="R133:R164" si="35">+(($D$25-$E$25)*ACOS(Q133*2/($D$25-$E$25)))*$E$25</f>
        <v>#DIV/0!</v>
      </c>
      <c r="S133" s="117" t="e">
        <f t="shared" ref="S133:S164" si="36">+(($D$25-$E$25)/2)*SIN(ACOS(2*Q133/($D$25-$E$25)))/(ACOS(2*Q133/($D$25-$E$25)))</f>
        <v>#DIV/0!</v>
      </c>
      <c r="T133" s="117" t="e">
        <f t="shared" si="24"/>
        <v>#DIV/0!</v>
      </c>
      <c r="U133" s="117" t="e">
        <f t="shared" ref="U133:U184" si="37">+(V133*W133-R133*S133)/T133</f>
        <v>#DIV/0!</v>
      </c>
      <c r="V133" s="117">
        <f t="shared" si="25"/>
        <v>0</v>
      </c>
      <c r="W133" s="117">
        <f t="shared" ref="W133:W164" si="38">($D$25-$E$25)/PI()</f>
        <v>0</v>
      </c>
      <c r="X133" s="117">
        <f t="shared" ref="X133:X164" si="39">+($D$25/2-$E$25)^2*(P133-SIN(P133))/2</f>
        <v>0</v>
      </c>
      <c r="Y133" s="117" t="e">
        <f t="shared" si="33"/>
        <v>#DIV/0!</v>
      </c>
      <c r="Z133" s="117" t="e">
        <f>ABS(0.4*0.85*Main!$G$546*'Pile Data'!X133+Main!$G$545*'Pile Data'!R133-Main!$G$545*('Pile Data'!T133+'Pile Data'!V133))</f>
        <v>#DIV/0!</v>
      </c>
      <c r="AA133" s="117" t="e">
        <f>(0.4*0.85*Main!$G$546*'Pile Data'!X133*Y133+Main!$G$545*('Pile Data'!R133*S133+'Pile Data'!T133*U133+'Pile Data'!V133*W133))</f>
        <v>#DIV/0!</v>
      </c>
      <c r="AB133" s="37"/>
    </row>
    <row r="134" spans="14:28">
      <c r="N134" s="2"/>
      <c r="O134" s="38">
        <f t="shared" si="27"/>
        <v>129</v>
      </c>
      <c r="P134" s="98">
        <f t="shared" ref="P134:P185" si="40">+O134*PI()/180</f>
        <v>2.2514747350726849</v>
      </c>
      <c r="Q134" s="117">
        <f t="shared" si="34"/>
        <v>0</v>
      </c>
      <c r="R134" s="117" t="e">
        <f t="shared" si="35"/>
        <v>#DIV/0!</v>
      </c>
      <c r="S134" s="117" t="e">
        <f t="shared" si="36"/>
        <v>#DIV/0!</v>
      </c>
      <c r="T134" s="117" t="e">
        <f t="shared" ref="T134:T185" si="41">+(As/2)-R134</f>
        <v>#DIV/0!</v>
      </c>
      <c r="U134" s="117" t="e">
        <f t="shared" si="37"/>
        <v>#DIV/0!</v>
      </c>
      <c r="V134" s="117">
        <f t="shared" ref="V134:V185" si="42">+(As/2)</f>
        <v>0</v>
      </c>
      <c r="W134" s="117">
        <f t="shared" si="38"/>
        <v>0</v>
      </c>
      <c r="X134" s="117">
        <f t="shared" si="39"/>
        <v>0</v>
      </c>
      <c r="Y134" s="117" t="e">
        <f t="shared" ref="Y134:Y165" si="43">2*($D$25/2-$E$25)^3*SIN(P134/2)^3/(3*X134)</f>
        <v>#DIV/0!</v>
      </c>
      <c r="Z134" s="117" t="e">
        <f>ABS(0.4*0.85*Main!$G$546*'Pile Data'!X134+Main!$G$545*'Pile Data'!R134-Main!$G$545*('Pile Data'!T134+'Pile Data'!V134))</f>
        <v>#DIV/0!</v>
      </c>
      <c r="AA134" s="117" t="e">
        <f>(0.4*0.85*Main!$G$546*'Pile Data'!X134*Y134+Main!$G$545*('Pile Data'!R134*S134+'Pile Data'!T134*U134+'Pile Data'!V134*W134))</f>
        <v>#DIV/0!</v>
      </c>
      <c r="AB134" s="37"/>
    </row>
    <row r="135" spans="14:28">
      <c r="N135" s="2"/>
      <c r="O135" s="38">
        <f t="shared" ref="O135:O185" si="44">+O134+1</f>
        <v>130</v>
      </c>
      <c r="P135" s="98">
        <f t="shared" si="40"/>
        <v>2.2689280275926285</v>
      </c>
      <c r="Q135" s="117">
        <f t="shared" si="34"/>
        <v>0</v>
      </c>
      <c r="R135" s="117" t="e">
        <f t="shared" si="35"/>
        <v>#DIV/0!</v>
      </c>
      <c r="S135" s="117" t="e">
        <f t="shared" si="36"/>
        <v>#DIV/0!</v>
      </c>
      <c r="T135" s="117" t="e">
        <f t="shared" si="41"/>
        <v>#DIV/0!</v>
      </c>
      <c r="U135" s="117" t="e">
        <f t="shared" si="37"/>
        <v>#DIV/0!</v>
      </c>
      <c r="V135" s="117">
        <f t="shared" si="42"/>
        <v>0</v>
      </c>
      <c r="W135" s="117">
        <f t="shared" si="38"/>
        <v>0</v>
      </c>
      <c r="X135" s="117">
        <f t="shared" si="39"/>
        <v>0</v>
      </c>
      <c r="Y135" s="117" t="e">
        <f t="shared" si="43"/>
        <v>#DIV/0!</v>
      </c>
      <c r="Z135" s="117" t="e">
        <f>ABS(0.4*0.85*Main!$G$546*'Pile Data'!X135+Main!$G$545*'Pile Data'!R135-Main!$G$545*('Pile Data'!T135+'Pile Data'!V135))</f>
        <v>#DIV/0!</v>
      </c>
      <c r="AA135" s="117" t="e">
        <f>(0.4*0.85*Main!$G$546*'Pile Data'!X135*Y135+Main!$G$545*('Pile Data'!R135*S135+'Pile Data'!T135*U135+'Pile Data'!V135*W135))</f>
        <v>#DIV/0!</v>
      </c>
      <c r="AB135" s="37"/>
    </row>
    <row r="136" spans="14:28">
      <c r="N136" s="2"/>
      <c r="O136" s="38">
        <f t="shared" si="44"/>
        <v>131</v>
      </c>
      <c r="P136" s="98">
        <f t="shared" si="40"/>
        <v>2.286381320112572</v>
      </c>
      <c r="Q136" s="117">
        <f t="shared" si="34"/>
        <v>0</v>
      </c>
      <c r="R136" s="117" t="e">
        <f t="shared" si="35"/>
        <v>#DIV/0!</v>
      </c>
      <c r="S136" s="117" t="e">
        <f t="shared" si="36"/>
        <v>#DIV/0!</v>
      </c>
      <c r="T136" s="117" t="e">
        <f t="shared" si="41"/>
        <v>#DIV/0!</v>
      </c>
      <c r="U136" s="117" t="e">
        <f t="shared" si="37"/>
        <v>#DIV/0!</v>
      </c>
      <c r="V136" s="117">
        <f t="shared" si="42"/>
        <v>0</v>
      </c>
      <c r="W136" s="117">
        <f t="shared" si="38"/>
        <v>0</v>
      </c>
      <c r="X136" s="117">
        <f t="shared" si="39"/>
        <v>0</v>
      </c>
      <c r="Y136" s="117" t="e">
        <f t="shared" si="43"/>
        <v>#DIV/0!</v>
      </c>
      <c r="Z136" s="117" t="e">
        <f>ABS(0.4*0.85*Main!$G$546*'Pile Data'!X136+Main!$G$545*'Pile Data'!R136-Main!$G$545*('Pile Data'!T136+'Pile Data'!V136))</f>
        <v>#DIV/0!</v>
      </c>
      <c r="AA136" s="117" t="e">
        <f>(0.4*0.85*Main!$G$546*'Pile Data'!X136*Y136+Main!$G$545*('Pile Data'!R136*S136+'Pile Data'!T136*U136+'Pile Data'!V136*W136))</f>
        <v>#DIV/0!</v>
      </c>
      <c r="AB136" s="37"/>
    </row>
    <row r="137" spans="14:28">
      <c r="N137" s="2"/>
      <c r="O137" s="38">
        <f t="shared" si="44"/>
        <v>132</v>
      </c>
      <c r="P137" s="98">
        <f t="shared" si="40"/>
        <v>2.3038346126325151</v>
      </c>
      <c r="Q137" s="117">
        <f t="shared" si="34"/>
        <v>0</v>
      </c>
      <c r="R137" s="117" t="e">
        <f t="shared" si="35"/>
        <v>#DIV/0!</v>
      </c>
      <c r="S137" s="117" t="e">
        <f t="shared" si="36"/>
        <v>#DIV/0!</v>
      </c>
      <c r="T137" s="117" t="e">
        <f t="shared" si="41"/>
        <v>#DIV/0!</v>
      </c>
      <c r="U137" s="117" t="e">
        <f t="shared" si="37"/>
        <v>#DIV/0!</v>
      </c>
      <c r="V137" s="117">
        <f t="shared" si="42"/>
        <v>0</v>
      </c>
      <c r="W137" s="117">
        <f t="shared" si="38"/>
        <v>0</v>
      </c>
      <c r="X137" s="117">
        <f t="shared" si="39"/>
        <v>0</v>
      </c>
      <c r="Y137" s="117" t="e">
        <f t="shared" si="43"/>
        <v>#DIV/0!</v>
      </c>
      <c r="Z137" s="117" t="e">
        <f>ABS(0.4*0.85*Main!$G$546*'Pile Data'!X137+Main!$G$545*'Pile Data'!R137-Main!$G$545*('Pile Data'!T137+'Pile Data'!V137))</f>
        <v>#DIV/0!</v>
      </c>
      <c r="AA137" s="117" t="e">
        <f>(0.4*0.85*Main!$G$546*'Pile Data'!X137*Y137+Main!$G$545*('Pile Data'!R137*S137+'Pile Data'!T137*U137+'Pile Data'!V137*W137))</f>
        <v>#DIV/0!</v>
      </c>
      <c r="AB137" s="37"/>
    </row>
    <row r="138" spans="14:28">
      <c r="N138" s="2"/>
      <c r="O138" s="38">
        <f t="shared" si="44"/>
        <v>133</v>
      </c>
      <c r="P138" s="98">
        <f t="shared" si="40"/>
        <v>2.3212879051524582</v>
      </c>
      <c r="Q138" s="117">
        <f t="shared" si="34"/>
        <v>0</v>
      </c>
      <c r="R138" s="117" t="e">
        <f t="shared" si="35"/>
        <v>#DIV/0!</v>
      </c>
      <c r="S138" s="117" t="e">
        <f t="shared" si="36"/>
        <v>#DIV/0!</v>
      </c>
      <c r="T138" s="117" t="e">
        <f t="shared" si="41"/>
        <v>#DIV/0!</v>
      </c>
      <c r="U138" s="117" t="e">
        <f t="shared" si="37"/>
        <v>#DIV/0!</v>
      </c>
      <c r="V138" s="117">
        <f t="shared" si="42"/>
        <v>0</v>
      </c>
      <c r="W138" s="117">
        <f t="shared" si="38"/>
        <v>0</v>
      </c>
      <c r="X138" s="117">
        <f t="shared" si="39"/>
        <v>0</v>
      </c>
      <c r="Y138" s="117" t="e">
        <f t="shared" si="43"/>
        <v>#DIV/0!</v>
      </c>
      <c r="Z138" s="117" t="e">
        <f>ABS(0.4*0.85*Main!$G$546*'Pile Data'!X138+Main!$G$545*'Pile Data'!R138-Main!$G$545*('Pile Data'!T138+'Pile Data'!V138))</f>
        <v>#DIV/0!</v>
      </c>
      <c r="AA138" s="117" t="e">
        <f>(0.4*0.85*Main!$G$546*'Pile Data'!X138*Y138+Main!$G$545*('Pile Data'!R138*S138+'Pile Data'!T138*U138+'Pile Data'!V138*W138))</f>
        <v>#DIV/0!</v>
      </c>
      <c r="AB138" s="37"/>
    </row>
    <row r="139" spans="14:28">
      <c r="N139" s="2"/>
      <c r="O139" s="38">
        <f t="shared" si="44"/>
        <v>134</v>
      </c>
      <c r="P139" s="98">
        <f t="shared" si="40"/>
        <v>2.3387411976724013</v>
      </c>
      <c r="Q139" s="117">
        <f t="shared" si="34"/>
        <v>0</v>
      </c>
      <c r="R139" s="117" t="e">
        <f t="shared" si="35"/>
        <v>#DIV/0!</v>
      </c>
      <c r="S139" s="117" t="e">
        <f t="shared" si="36"/>
        <v>#DIV/0!</v>
      </c>
      <c r="T139" s="117" t="e">
        <f t="shared" si="41"/>
        <v>#DIV/0!</v>
      </c>
      <c r="U139" s="117" t="e">
        <f t="shared" si="37"/>
        <v>#DIV/0!</v>
      </c>
      <c r="V139" s="117">
        <f t="shared" si="42"/>
        <v>0</v>
      </c>
      <c r="W139" s="117">
        <f t="shared" si="38"/>
        <v>0</v>
      </c>
      <c r="X139" s="117">
        <f t="shared" si="39"/>
        <v>0</v>
      </c>
      <c r="Y139" s="117" t="e">
        <f t="shared" si="43"/>
        <v>#DIV/0!</v>
      </c>
      <c r="Z139" s="117" t="e">
        <f>ABS(0.4*0.85*Main!$G$546*'Pile Data'!X139+Main!$G$545*'Pile Data'!R139-Main!$G$545*('Pile Data'!T139+'Pile Data'!V139))</f>
        <v>#DIV/0!</v>
      </c>
      <c r="AA139" s="117" t="e">
        <f>(0.4*0.85*Main!$G$546*'Pile Data'!X139*Y139+Main!$G$545*('Pile Data'!R139*S139+'Pile Data'!T139*U139+'Pile Data'!V139*W139))</f>
        <v>#DIV/0!</v>
      </c>
      <c r="AB139" s="37"/>
    </row>
    <row r="140" spans="14:28">
      <c r="N140" s="2"/>
      <c r="O140" s="38">
        <f t="shared" si="44"/>
        <v>135</v>
      </c>
      <c r="P140" s="98">
        <f t="shared" si="40"/>
        <v>2.3561944901923448</v>
      </c>
      <c r="Q140" s="117">
        <f t="shared" si="34"/>
        <v>0</v>
      </c>
      <c r="R140" s="117" t="e">
        <f t="shared" si="35"/>
        <v>#DIV/0!</v>
      </c>
      <c r="S140" s="117" t="e">
        <f t="shared" si="36"/>
        <v>#DIV/0!</v>
      </c>
      <c r="T140" s="117" t="e">
        <f t="shared" si="41"/>
        <v>#DIV/0!</v>
      </c>
      <c r="U140" s="117" t="e">
        <f t="shared" si="37"/>
        <v>#DIV/0!</v>
      </c>
      <c r="V140" s="117">
        <f t="shared" si="42"/>
        <v>0</v>
      </c>
      <c r="W140" s="117">
        <f t="shared" si="38"/>
        <v>0</v>
      </c>
      <c r="X140" s="117">
        <f t="shared" si="39"/>
        <v>0</v>
      </c>
      <c r="Y140" s="117" t="e">
        <f t="shared" si="43"/>
        <v>#DIV/0!</v>
      </c>
      <c r="Z140" s="117" t="e">
        <f>ABS(0.4*0.85*Main!$G$546*'Pile Data'!X140+Main!$G$545*'Pile Data'!R140-Main!$G$545*('Pile Data'!T140+'Pile Data'!V140))</f>
        <v>#DIV/0!</v>
      </c>
      <c r="AA140" s="117" t="e">
        <f>(0.4*0.85*Main!$G$546*'Pile Data'!X140*Y140+Main!$G$545*('Pile Data'!R140*S140+'Pile Data'!T140*U140+'Pile Data'!V140*W140))</f>
        <v>#DIV/0!</v>
      </c>
      <c r="AB140" s="37"/>
    </row>
    <row r="141" spans="14:28">
      <c r="N141" s="2"/>
      <c r="O141" s="38">
        <f t="shared" si="44"/>
        <v>136</v>
      </c>
      <c r="P141" s="98">
        <f t="shared" si="40"/>
        <v>2.3736477827122884</v>
      </c>
      <c r="Q141" s="117">
        <f t="shared" si="34"/>
        <v>0</v>
      </c>
      <c r="R141" s="117" t="e">
        <f t="shared" si="35"/>
        <v>#DIV/0!</v>
      </c>
      <c r="S141" s="117" t="e">
        <f t="shared" si="36"/>
        <v>#DIV/0!</v>
      </c>
      <c r="T141" s="117" t="e">
        <f t="shared" si="41"/>
        <v>#DIV/0!</v>
      </c>
      <c r="U141" s="117" t="e">
        <f t="shared" si="37"/>
        <v>#DIV/0!</v>
      </c>
      <c r="V141" s="117">
        <f t="shared" si="42"/>
        <v>0</v>
      </c>
      <c r="W141" s="117">
        <f t="shared" si="38"/>
        <v>0</v>
      </c>
      <c r="X141" s="117">
        <f t="shared" si="39"/>
        <v>0</v>
      </c>
      <c r="Y141" s="117" t="e">
        <f t="shared" si="43"/>
        <v>#DIV/0!</v>
      </c>
      <c r="Z141" s="117" t="e">
        <f>ABS(0.4*0.85*Main!$G$546*'Pile Data'!X141+Main!$G$545*'Pile Data'!R141-Main!$G$545*('Pile Data'!T141+'Pile Data'!V141))</f>
        <v>#DIV/0!</v>
      </c>
      <c r="AA141" s="117" t="e">
        <f>(0.4*0.85*Main!$G$546*'Pile Data'!X141*Y141+Main!$G$545*('Pile Data'!R141*S141+'Pile Data'!T141*U141+'Pile Data'!V141*W141))</f>
        <v>#DIV/0!</v>
      </c>
      <c r="AB141" s="37"/>
    </row>
    <row r="142" spans="14:28">
      <c r="N142" s="2"/>
      <c r="O142" s="38">
        <f t="shared" si="44"/>
        <v>137</v>
      </c>
      <c r="P142" s="98">
        <f t="shared" si="40"/>
        <v>2.3911010752322315</v>
      </c>
      <c r="Q142" s="117">
        <f t="shared" si="34"/>
        <v>0</v>
      </c>
      <c r="R142" s="117" t="e">
        <f t="shared" si="35"/>
        <v>#DIV/0!</v>
      </c>
      <c r="S142" s="117" t="e">
        <f t="shared" si="36"/>
        <v>#DIV/0!</v>
      </c>
      <c r="T142" s="117" t="e">
        <f t="shared" si="41"/>
        <v>#DIV/0!</v>
      </c>
      <c r="U142" s="117" t="e">
        <f t="shared" si="37"/>
        <v>#DIV/0!</v>
      </c>
      <c r="V142" s="117">
        <f t="shared" si="42"/>
        <v>0</v>
      </c>
      <c r="W142" s="117">
        <f t="shared" si="38"/>
        <v>0</v>
      </c>
      <c r="X142" s="117">
        <f t="shared" si="39"/>
        <v>0</v>
      </c>
      <c r="Y142" s="117" t="e">
        <f t="shared" si="43"/>
        <v>#DIV/0!</v>
      </c>
      <c r="Z142" s="117" t="e">
        <f>ABS(0.4*0.85*Main!$G$546*'Pile Data'!X142+Main!$G$545*'Pile Data'!R142-Main!$G$545*('Pile Data'!T142+'Pile Data'!V142))</f>
        <v>#DIV/0!</v>
      </c>
      <c r="AA142" s="117" t="e">
        <f>(0.4*0.85*Main!$G$546*'Pile Data'!X142*Y142+Main!$G$545*('Pile Data'!R142*S142+'Pile Data'!T142*U142+'Pile Data'!V142*W142))</f>
        <v>#DIV/0!</v>
      </c>
      <c r="AB142" s="37"/>
    </row>
    <row r="143" spans="14:28">
      <c r="N143" s="2"/>
      <c r="O143" s="38">
        <f t="shared" si="44"/>
        <v>138</v>
      </c>
      <c r="P143" s="98">
        <f t="shared" si="40"/>
        <v>2.4085543677521746</v>
      </c>
      <c r="Q143" s="117">
        <f t="shared" si="34"/>
        <v>0</v>
      </c>
      <c r="R143" s="117" t="e">
        <f t="shared" si="35"/>
        <v>#DIV/0!</v>
      </c>
      <c r="S143" s="117" t="e">
        <f t="shared" si="36"/>
        <v>#DIV/0!</v>
      </c>
      <c r="T143" s="117" t="e">
        <f t="shared" si="41"/>
        <v>#DIV/0!</v>
      </c>
      <c r="U143" s="117" t="e">
        <f t="shared" si="37"/>
        <v>#DIV/0!</v>
      </c>
      <c r="V143" s="117">
        <f t="shared" si="42"/>
        <v>0</v>
      </c>
      <c r="W143" s="117">
        <f t="shared" si="38"/>
        <v>0</v>
      </c>
      <c r="X143" s="117">
        <f t="shared" si="39"/>
        <v>0</v>
      </c>
      <c r="Y143" s="117" t="e">
        <f t="shared" si="43"/>
        <v>#DIV/0!</v>
      </c>
      <c r="Z143" s="117" t="e">
        <f>ABS(0.4*0.85*Main!$G$546*'Pile Data'!X143+Main!$G$545*'Pile Data'!R143-Main!$G$545*('Pile Data'!T143+'Pile Data'!V143))</f>
        <v>#DIV/0!</v>
      </c>
      <c r="AA143" s="117" t="e">
        <f>(0.4*0.85*Main!$G$546*'Pile Data'!X143*Y143+Main!$G$545*('Pile Data'!R143*S143+'Pile Data'!T143*U143+'Pile Data'!V143*W143))</f>
        <v>#DIV/0!</v>
      </c>
      <c r="AB143" s="37"/>
    </row>
    <row r="144" spans="14:28">
      <c r="N144" s="2"/>
      <c r="O144" s="38">
        <f t="shared" si="44"/>
        <v>139</v>
      </c>
      <c r="P144" s="98">
        <f t="shared" si="40"/>
        <v>2.4260076602721181</v>
      </c>
      <c r="Q144" s="117">
        <f t="shared" si="34"/>
        <v>0</v>
      </c>
      <c r="R144" s="117" t="e">
        <f t="shared" si="35"/>
        <v>#DIV/0!</v>
      </c>
      <c r="S144" s="117" t="e">
        <f t="shared" si="36"/>
        <v>#DIV/0!</v>
      </c>
      <c r="T144" s="117" t="e">
        <f t="shared" si="41"/>
        <v>#DIV/0!</v>
      </c>
      <c r="U144" s="117" t="e">
        <f t="shared" si="37"/>
        <v>#DIV/0!</v>
      </c>
      <c r="V144" s="117">
        <f t="shared" si="42"/>
        <v>0</v>
      </c>
      <c r="W144" s="117">
        <f t="shared" si="38"/>
        <v>0</v>
      </c>
      <c r="X144" s="117">
        <f t="shared" si="39"/>
        <v>0</v>
      </c>
      <c r="Y144" s="117" t="e">
        <f t="shared" si="43"/>
        <v>#DIV/0!</v>
      </c>
      <c r="Z144" s="117" t="e">
        <f>ABS(0.4*0.85*Main!$G$546*'Pile Data'!X144+Main!$G$545*'Pile Data'!R144-Main!$G$545*('Pile Data'!T144+'Pile Data'!V144))</f>
        <v>#DIV/0!</v>
      </c>
      <c r="AA144" s="117" t="e">
        <f>(0.4*0.85*Main!$G$546*'Pile Data'!X144*Y144+Main!$G$545*('Pile Data'!R144*S144+'Pile Data'!T144*U144+'Pile Data'!V144*W144))</f>
        <v>#DIV/0!</v>
      </c>
      <c r="AB144" s="37"/>
    </row>
    <row r="145" spans="14:28">
      <c r="N145" s="2"/>
      <c r="O145" s="38">
        <f t="shared" si="44"/>
        <v>140</v>
      </c>
      <c r="P145" s="98">
        <f t="shared" si="40"/>
        <v>2.4434609527920612</v>
      </c>
      <c r="Q145" s="117">
        <f t="shared" si="34"/>
        <v>0</v>
      </c>
      <c r="R145" s="117" t="e">
        <f t="shared" si="35"/>
        <v>#DIV/0!</v>
      </c>
      <c r="S145" s="117" t="e">
        <f t="shared" si="36"/>
        <v>#DIV/0!</v>
      </c>
      <c r="T145" s="117" t="e">
        <f t="shared" si="41"/>
        <v>#DIV/0!</v>
      </c>
      <c r="U145" s="117" t="e">
        <f t="shared" si="37"/>
        <v>#DIV/0!</v>
      </c>
      <c r="V145" s="117">
        <f t="shared" si="42"/>
        <v>0</v>
      </c>
      <c r="W145" s="117">
        <f t="shared" si="38"/>
        <v>0</v>
      </c>
      <c r="X145" s="117">
        <f t="shared" si="39"/>
        <v>0</v>
      </c>
      <c r="Y145" s="117" t="e">
        <f t="shared" si="43"/>
        <v>#DIV/0!</v>
      </c>
      <c r="Z145" s="117" t="e">
        <f>ABS(0.4*0.85*Main!$G$546*'Pile Data'!X145+Main!$G$545*'Pile Data'!R145-Main!$G$545*('Pile Data'!T145+'Pile Data'!V145))</f>
        <v>#DIV/0!</v>
      </c>
      <c r="AA145" s="117" t="e">
        <f>(0.4*0.85*Main!$G$546*'Pile Data'!X145*Y145+Main!$G$545*('Pile Data'!R145*S145+'Pile Data'!T145*U145+'Pile Data'!V145*W145))</f>
        <v>#DIV/0!</v>
      </c>
      <c r="AB145" s="37"/>
    </row>
    <row r="146" spans="14:28">
      <c r="N146" s="2"/>
      <c r="O146" s="38">
        <f t="shared" si="44"/>
        <v>141</v>
      </c>
      <c r="P146" s="98">
        <f t="shared" si="40"/>
        <v>2.4609142453120043</v>
      </c>
      <c r="Q146" s="117">
        <f t="shared" si="34"/>
        <v>0</v>
      </c>
      <c r="R146" s="117" t="e">
        <f t="shared" si="35"/>
        <v>#DIV/0!</v>
      </c>
      <c r="S146" s="117" t="e">
        <f t="shared" si="36"/>
        <v>#DIV/0!</v>
      </c>
      <c r="T146" s="117" t="e">
        <f t="shared" si="41"/>
        <v>#DIV/0!</v>
      </c>
      <c r="U146" s="117" t="e">
        <f t="shared" si="37"/>
        <v>#DIV/0!</v>
      </c>
      <c r="V146" s="117">
        <f t="shared" si="42"/>
        <v>0</v>
      </c>
      <c r="W146" s="117">
        <f t="shared" si="38"/>
        <v>0</v>
      </c>
      <c r="X146" s="117">
        <f t="shared" si="39"/>
        <v>0</v>
      </c>
      <c r="Y146" s="117" t="e">
        <f t="shared" si="43"/>
        <v>#DIV/0!</v>
      </c>
      <c r="Z146" s="117" t="e">
        <f>ABS(0.4*0.85*Main!$G$546*'Pile Data'!X146+Main!$G$545*'Pile Data'!R146-Main!$G$545*('Pile Data'!T146+'Pile Data'!V146))</f>
        <v>#DIV/0!</v>
      </c>
      <c r="AA146" s="117" t="e">
        <f>(0.4*0.85*Main!$G$546*'Pile Data'!X146*Y146+Main!$G$545*('Pile Data'!R146*S146+'Pile Data'!T146*U146+'Pile Data'!V146*W146))</f>
        <v>#DIV/0!</v>
      </c>
      <c r="AB146" s="37"/>
    </row>
    <row r="147" spans="14:28">
      <c r="N147" s="2"/>
      <c r="O147" s="38">
        <f t="shared" si="44"/>
        <v>142</v>
      </c>
      <c r="P147" s="98">
        <f t="shared" si="40"/>
        <v>2.4783675378319479</v>
      </c>
      <c r="Q147" s="117">
        <f t="shared" si="34"/>
        <v>0</v>
      </c>
      <c r="R147" s="117" t="e">
        <f t="shared" si="35"/>
        <v>#DIV/0!</v>
      </c>
      <c r="S147" s="117" t="e">
        <f t="shared" si="36"/>
        <v>#DIV/0!</v>
      </c>
      <c r="T147" s="117" t="e">
        <f t="shared" si="41"/>
        <v>#DIV/0!</v>
      </c>
      <c r="U147" s="117" t="e">
        <f t="shared" si="37"/>
        <v>#DIV/0!</v>
      </c>
      <c r="V147" s="117">
        <f t="shared" si="42"/>
        <v>0</v>
      </c>
      <c r="W147" s="117">
        <f t="shared" si="38"/>
        <v>0</v>
      </c>
      <c r="X147" s="117">
        <f t="shared" si="39"/>
        <v>0</v>
      </c>
      <c r="Y147" s="117" t="e">
        <f t="shared" si="43"/>
        <v>#DIV/0!</v>
      </c>
      <c r="Z147" s="117" t="e">
        <f>ABS(0.4*0.85*Main!$G$546*'Pile Data'!X147+Main!$G$545*'Pile Data'!R147-Main!$G$545*('Pile Data'!T147+'Pile Data'!V147))</f>
        <v>#DIV/0!</v>
      </c>
      <c r="AA147" s="117" t="e">
        <f>(0.4*0.85*Main!$G$546*'Pile Data'!X147*Y147+Main!$G$545*('Pile Data'!R147*S147+'Pile Data'!T147*U147+'Pile Data'!V147*W147))</f>
        <v>#DIV/0!</v>
      </c>
      <c r="AB147" s="37"/>
    </row>
    <row r="148" spans="14:28">
      <c r="N148" s="2"/>
      <c r="O148" s="38">
        <f t="shared" si="44"/>
        <v>143</v>
      </c>
      <c r="P148" s="98">
        <f t="shared" si="40"/>
        <v>2.4958208303518914</v>
      </c>
      <c r="Q148" s="117">
        <f t="shared" si="34"/>
        <v>0</v>
      </c>
      <c r="R148" s="117" t="e">
        <f t="shared" si="35"/>
        <v>#DIV/0!</v>
      </c>
      <c r="S148" s="117" t="e">
        <f t="shared" si="36"/>
        <v>#DIV/0!</v>
      </c>
      <c r="T148" s="117" t="e">
        <f t="shared" si="41"/>
        <v>#DIV/0!</v>
      </c>
      <c r="U148" s="117" t="e">
        <f t="shared" si="37"/>
        <v>#DIV/0!</v>
      </c>
      <c r="V148" s="117">
        <f t="shared" si="42"/>
        <v>0</v>
      </c>
      <c r="W148" s="117">
        <f t="shared" si="38"/>
        <v>0</v>
      </c>
      <c r="X148" s="117">
        <f t="shared" si="39"/>
        <v>0</v>
      </c>
      <c r="Y148" s="117" t="e">
        <f t="shared" si="43"/>
        <v>#DIV/0!</v>
      </c>
      <c r="Z148" s="117" t="e">
        <f>ABS(0.4*0.85*Main!$G$546*'Pile Data'!X148+Main!$G$545*'Pile Data'!R148-Main!$G$545*('Pile Data'!T148+'Pile Data'!V148))</f>
        <v>#DIV/0!</v>
      </c>
      <c r="AA148" s="117" t="e">
        <f>(0.4*0.85*Main!$G$546*'Pile Data'!X148*Y148+Main!$G$545*('Pile Data'!R148*S148+'Pile Data'!T148*U148+'Pile Data'!V148*W148))</f>
        <v>#DIV/0!</v>
      </c>
      <c r="AB148" s="37"/>
    </row>
    <row r="149" spans="14:28">
      <c r="N149" s="2"/>
      <c r="O149" s="38">
        <f t="shared" si="44"/>
        <v>144</v>
      </c>
      <c r="P149" s="98">
        <f t="shared" si="40"/>
        <v>2.5132741228718345</v>
      </c>
      <c r="Q149" s="117">
        <f t="shared" si="34"/>
        <v>0</v>
      </c>
      <c r="R149" s="117" t="e">
        <f t="shared" si="35"/>
        <v>#DIV/0!</v>
      </c>
      <c r="S149" s="117" t="e">
        <f t="shared" si="36"/>
        <v>#DIV/0!</v>
      </c>
      <c r="T149" s="117" t="e">
        <f t="shared" si="41"/>
        <v>#DIV/0!</v>
      </c>
      <c r="U149" s="117" t="e">
        <f t="shared" si="37"/>
        <v>#DIV/0!</v>
      </c>
      <c r="V149" s="117">
        <f t="shared" si="42"/>
        <v>0</v>
      </c>
      <c r="W149" s="117">
        <f t="shared" si="38"/>
        <v>0</v>
      </c>
      <c r="X149" s="117">
        <f t="shared" si="39"/>
        <v>0</v>
      </c>
      <c r="Y149" s="117" t="e">
        <f t="shared" si="43"/>
        <v>#DIV/0!</v>
      </c>
      <c r="Z149" s="117" t="e">
        <f>ABS(0.4*0.85*Main!$G$546*'Pile Data'!X149+Main!$G$545*'Pile Data'!R149-Main!$G$545*('Pile Data'!T149+'Pile Data'!V149))</f>
        <v>#DIV/0!</v>
      </c>
      <c r="AA149" s="117" t="e">
        <f>(0.4*0.85*Main!$G$546*'Pile Data'!X149*Y149+Main!$G$545*('Pile Data'!R149*S149+'Pile Data'!T149*U149+'Pile Data'!V149*W149))</f>
        <v>#DIV/0!</v>
      </c>
      <c r="AB149" s="37"/>
    </row>
    <row r="150" spans="14:28">
      <c r="N150" s="2"/>
      <c r="O150" s="38">
        <f t="shared" si="44"/>
        <v>145</v>
      </c>
      <c r="P150" s="98">
        <f t="shared" si="40"/>
        <v>2.5307274153917776</v>
      </c>
      <c r="Q150" s="117">
        <f t="shared" si="34"/>
        <v>0</v>
      </c>
      <c r="R150" s="117" t="e">
        <f t="shared" si="35"/>
        <v>#DIV/0!</v>
      </c>
      <c r="S150" s="117" t="e">
        <f t="shared" si="36"/>
        <v>#DIV/0!</v>
      </c>
      <c r="T150" s="117" t="e">
        <f t="shared" si="41"/>
        <v>#DIV/0!</v>
      </c>
      <c r="U150" s="117" t="e">
        <f t="shared" si="37"/>
        <v>#DIV/0!</v>
      </c>
      <c r="V150" s="117">
        <f t="shared" si="42"/>
        <v>0</v>
      </c>
      <c r="W150" s="117">
        <f t="shared" si="38"/>
        <v>0</v>
      </c>
      <c r="X150" s="117">
        <f t="shared" si="39"/>
        <v>0</v>
      </c>
      <c r="Y150" s="117" t="e">
        <f t="shared" si="43"/>
        <v>#DIV/0!</v>
      </c>
      <c r="Z150" s="117" t="e">
        <f>ABS(0.4*0.85*Main!$G$546*'Pile Data'!X150+Main!$G$545*'Pile Data'!R150-Main!$G$545*('Pile Data'!T150+'Pile Data'!V150))</f>
        <v>#DIV/0!</v>
      </c>
      <c r="AA150" s="117" t="e">
        <f>(0.4*0.85*Main!$G$546*'Pile Data'!X150*Y150+Main!$G$545*('Pile Data'!R150*S150+'Pile Data'!T150*U150+'Pile Data'!V150*W150))</f>
        <v>#DIV/0!</v>
      </c>
      <c r="AB150" s="37"/>
    </row>
    <row r="151" spans="14:28">
      <c r="N151" s="2"/>
      <c r="O151" s="38">
        <f t="shared" si="44"/>
        <v>146</v>
      </c>
      <c r="P151" s="98">
        <f t="shared" si="40"/>
        <v>2.5481807079117211</v>
      </c>
      <c r="Q151" s="117">
        <f t="shared" si="34"/>
        <v>0</v>
      </c>
      <c r="R151" s="117" t="e">
        <f t="shared" si="35"/>
        <v>#DIV/0!</v>
      </c>
      <c r="S151" s="117" t="e">
        <f t="shared" si="36"/>
        <v>#DIV/0!</v>
      </c>
      <c r="T151" s="117" t="e">
        <f t="shared" si="41"/>
        <v>#DIV/0!</v>
      </c>
      <c r="U151" s="117" t="e">
        <f t="shared" si="37"/>
        <v>#DIV/0!</v>
      </c>
      <c r="V151" s="117">
        <f t="shared" si="42"/>
        <v>0</v>
      </c>
      <c r="W151" s="117">
        <f t="shared" si="38"/>
        <v>0</v>
      </c>
      <c r="X151" s="117">
        <f t="shared" si="39"/>
        <v>0</v>
      </c>
      <c r="Y151" s="117" t="e">
        <f t="shared" si="43"/>
        <v>#DIV/0!</v>
      </c>
      <c r="Z151" s="117" t="e">
        <f>ABS(0.4*0.85*Main!$G$546*'Pile Data'!X151+Main!$G$545*'Pile Data'!R151-Main!$G$545*('Pile Data'!T151+'Pile Data'!V151))</f>
        <v>#DIV/0!</v>
      </c>
      <c r="AA151" s="117" t="e">
        <f>(0.4*0.85*Main!$G$546*'Pile Data'!X151*Y151+Main!$G$545*('Pile Data'!R151*S151+'Pile Data'!T151*U151+'Pile Data'!V151*W151))</f>
        <v>#DIV/0!</v>
      </c>
      <c r="AB151" s="37"/>
    </row>
    <row r="152" spans="14:28">
      <c r="N152" s="2"/>
      <c r="O152" s="38">
        <f t="shared" si="44"/>
        <v>147</v>
      </c>
      <c r="P152" s="98">
        <f t="shared" si="40"/>
        <v>2.5656340004316647</v>
      </c>
      <c r="Q152" s="117">
        <f t="shared" si="34"/>
        <v>0</v>
      </c>
      <c r="R152" s="117" t="e">
        <f t="shared" si="35"/>
        <v>#DIV/0!</v>
      </c>
      <c r="S152" s="117" t="e">
        <f t="shared" si="36"/>
        <v>#DIV/0!</v>
      </c>
      <c r="T152" s="117" t="e">
        <f t="shared" si="41"/>
        <v>#DIV/0!</v>
      </c>
      <c r="U152" s="117" t="e">
        <f t="shared" si="37"/>
        <v>#DIV/0!</v>
      </c>
      <c r="V152" s="117">
        <f t="shared" si="42"/>
        <v>0</v>
      </c>
      <c r="W152" s="117">
        <f t="shared" si="38"/>
        <v>0</v>
      </c>
      <c r="X152" s="117">
        <f t="shared" si="39"/>
        <v>0</v>
      </c>
      <c r="Y152" s="117" t="e">
        <f t="shared" si="43"/>
        <v>#DIV/0!</v>
      </c>
      <c r="Z152" s="117" t="e">
        <f>ABS(0.4*0.85*Main!$G$546*'Pile Data'!X152+Main!$G$545*'Pile Data'!R152-Main!$G$545*('Pile Data'!T152+'Pile Data'!V152))</f>
        <v>#DIV/0!</v>
      </c>
      <c r="AA152" s="117" t="e">
        <f>(0.4*0.85*Main!$G$546*'Pile Data'!X152*Y152+Main!$G$545*('Pile Data'!R152*S152+'Pile Data'!T152*U152+'Pile Data'!V152*W152))</f>
        <v>#DIV/0!</v>
      </c>
      <c r="AB152" s="37"/>
    </row>
    <row r="153" spans="14:28">
      <c r="N153" s="2"/>
      <c r="O153" s="38">
        <f t="shared" si="44"/>
        <v>148</v>
      </c>
      <c r="P153" s="98">
        <f t="shared" si="40"/>
        <v>2.5830872929516078</v>
      </c>
      <c r="Q153" s="117">
        <f t="shared" si="34"/>
        <v>0</v>
      </c>
      <c r="R153" s="117" t="e">
        <f t="shared" si="35"/>
        <v>#DIV/0!</v>
      </c>
      <c r="S153" s="117" t="e">
        <f t="shared" si="36"/>
        <v>#DIV/0!</v>
      </c>
      <c r="T153" s="117" t="e">
        <f t="shared" si="41"/>
        <v>#DIV/0!</v>
      </c>
      <c r="U153" s="117" t="e">
        <f t="shared" si="37"/>
        <v>#DIV/0!</v>
      </c>
      <c r="V153" s="117">
        <f t="shared" si="42"/>
        <v>0</v>
      </c>
      <c r="W153" s="117">
        <f t="shared" si="38"/>
        <v>0</v>
      </c>
      <c r="X153" s="117">
        <f t="shared" si="39"/>
        <v>0</v>
      </c>
      <c r="Y153" s="117" t="e">
        <f t="shared" si="43"/>
        <v>#DIV/0!</v>
      </c>
      <c r="Z153" s="117" t="e">
        <f>ABS(0.4*0.85*Main!$G$546*'Pile Data'!X153+Main!$G$545*'Pile Data'!R153-Main!$G$545*('Pile Data'!T153+'Pile Data'!V153))</f>
        <v>#DIV/0!</v>
      </c>
      <c r="AA153" s="117" t="e">
        <f>(0.4*0.85*Main!$G$546*'Pile Data'!X153*Y153+Main!$G$545*('Pile Data'!R153*S153+'Pile Data'!T153*U153+'Pile Data'!V153*W153))</f>
        <v>#DIV/0!</v>
      </c>
      <c r="AB153" s="37"/>
    </row>
    <row r="154" spans="14:28">
      <c r="N154" s="2"/>
      <c r="O154" s="38">
        <f t="shared" si="44"/>
        <v>149</v>
      </c>
      <c r="P154" s="98">
        <f t="shared" si="40"/>
        <v>2.6005405854715509</v>
      </c>
      <c r="Q154" s="117">
        <f t="shared" si="34"/>
        <v>0</v>
      </c>
      <c r="R154" s="117" t="e">
        <f t="shared" si="35"/>
        <v>#DIV/0!</v>
      </c>
      <c r="S154" s="117" t="e">
        <f t="shared" si="36"/>
        <v>#DIV/0!</v>
      </c>
      <c r="T154" s="117" t="e">
        <f t="shared" si="41"/>
        <v>#DIV/0!</v>
      </c>
      <c r="U154" s="117" t="e">
        <f t="shared" si="37"/>
        <v>#DIV/0!</v>
      </c>
      <c r="V154" s="117">
        <f t="shared" si="42"/>
        <v>0</v>
      </c>
      <c r="W154" s="117">
        <f t="shared" si="38"/>
        <v>0</v>
      </c>
      <c r="X154" s="117">
        <f t="shared" si="39"/>
        <v>0</v>
      </c>
      <c r="Y154" s="117" t="e">
        <f t="shared" si="43"/>
        <v>#DIV/0!</v>
      </c>
      <c r="Z154" s="117" t="e">
        <f>ABS(0.4*0.85*Main!$G$546*'Pile Data'!X154+Main!$G$545*'Pile Data'!R154-Main!$G$545*('Pile Data'!T154+'Pile Data'!V154))</f>
        <v>#DIV/0!</v>
      </c>
      <c r="AA154" s="117" t="e">
        <f>(0.4*0.85*Main!$G$546*'Pile Data'!X154*Y154+Main!$G$545*('Pile Data'!R154*S154+'Pile Data'!T154*U154+'Pile Data'!V154*W154))</f>
        <v>#DIV/0!</v>
      </c>
      <c r="AB154" s="37"/>
    </row>
    <row r="155" spans="14:28">
      <c r="N155" s="2"/>
      <c r="O155" s="38">
        <f t="shared" si="44"/>
        <v>150</v>
      </c>
      <c r="P155" s="98">
        <f t="shared" si="40"/>
        <v>2.6179938779914944</v>
      </c>
      <c r="Q155" s="117">
        <f t="shared" si="34"/>
        <v>0</v>
      </c>
      <c r="R155" s="117" t="e">
        <f t="shared" si="35"/>
        <v>#DIV/0!</v>
      </c>
      <c r="S155" s="117" t="e">
        <f t="shared" si="36"/>
        <v>#DIV/0!</v>
      </c>
      <c r="T155" s="117" t="e">
        <f t="shared" si="41"/>
        <v>#DIV/0!</v>
      </c>
      <c r="U155" s="117" t="e">
        <f t="shared" si="37"/>
        <v>#DIV/0!</v>
      </c>
      <c r="V155" s="117">
        <f t="shared" si="42"/>
        <v>0</v>
      </c>
      <c r="W155" s="117">
        <f t="shared" si="38"/>
        <v>0</v>
      </c>
      <c r="X155" s="117">
        <f t="shared" si="39"/>
        <v>0</v>
      </c>
      <c r="Y155" s="117" t="e">
        <f t="shared" si="43"/>
        <v>#DIV/0!</v>
      </c>
      <c r="Z155" s="117" t="e">
        <f>ABS(0.4*0.85*Main!$G$546*'Pile Data'!X155+Main!$G$545*'Pile Data'!R155-Main!$G$545*('Pile Data'!T155+'Pile Data'!V155))</f>
        <v>#DIV/0!</v>
      </c>
      <c r="AA155" s="117" t="e">
        <f>(0.4*0.85*Main!$G$546*'Pile Data'!X155*Y155+Main!$G$545*('Pile Data'!R155*S155+'Pile Data'!T155*U155+'Pile Data'!V155*W155))</f>
        <v>#DIV/0!</v>
      </c>
      <c r="AB155" s="37"/>
    </row>
    <row r="156" spans="14:28">
      <c r="N156" s="2"/>
      <c r="O156" s="38">
        <f t="shared" si="44"/>
        <v>151</v>
      </c>
      <c r="P156" s="98">
        <f t="shared" si="40"/>
        <v>2.6354471705114375</v>
      </c>
      <c r="Q156" s="117">
        <f t="shared" si="34"/>
        <v>0</v>
      </c>
      <c r="R156" s="117" t="e">
        <f t="shared" si="35"/>
        <v>#DIV/0!</v>
      </c>
      <c r="S156" s="117" t="e">
        <f t="shared" si="36"/>
        <v>#DIV/0!</v>
      </c>
      <c r="T156" s="117" t="e">
        <f t="shared" si="41"/>
        <v>#DIV/0!</v>
      </c>
      <c r="U156" s="117" t="e">
        <f t="shared" si="37"/>
        <v>#DIV/0!</v>
      </c>
      <c r="V156" s="117">
        <f t="shared" si="42"/>
        <v>0</v>
      </c>
      <c r="W156" s="117">
        <f t="shared" si="38"/>
        <v>0</v>
      </c>
      <c r="X156" s="117">
        <f t="shared" si="39"/>
        <v>0</v>
      </c>
      <c r="Y156" s="117" t="e">
        <f t="shared" si="43"/>
        <v>#DIV/0!</v>
      </c>
      <c r="Z156" s="117" t="e">
        <f>ABS(0.4*0.85*Main!$G$546*'Pile Data'!X156+Main!$G$545*'Pile Data'!R156-Main!$G$545*('Pile Data'!T156+'Pile Data'!V156))</f>
        <v>#DIV/0!</v>
      </c>
      <c r="AA156" s="117" t="e">
        <f>(0.4*0.85*Main!$G$546*'Pile Data'!X156*Y156+Main!$G$545*('Pile Data'!R156*S156+'Pile Data'!T156*U156+'Pile Data'!V156*W156))</f>
        <v>#DIV/0!</v>
      </c>
      <c r="AB156" s="37"/>
    </row>
    <row r="157" spans="14:28">
      <c r="N157" s="2"/>
      <c r="O157" s="38">
        <f t="shared" si="44"/>
        <v>152</v>
      </c>
      <c r="P157" s="98">
        <f t="shared" si="40"/>
        <v>2.6529004630313806</v>
      </c>
      <c r="Q157" s="117">
        <f t="shared" si="34"/>
        <v>0</v>
      </c>
      <c r="R157" s="117" t="e">
        <f t="shared" si="35"/>
        <v>#DIV/0!</v>
      </c>
      <c r="S157" s="117" t="e">
        <f t="shared" si="36"/>
        <v>#DIV/0!</v>
      </c>
      <c r="T157" s="117" t="e">
        <f t="shared" si="41"/>
        <v>#DIV/0!</v>
      </c>
      <c r="U157" s="117" t="e">
        <f t="shared" si="37"/>
        <v>#DIV/0!</v>
      </c>
      <c r="V157" s="117">
        <f t="shared" si="42"/>
        <v>0</v>
      </c>
      <c r="W157" s="117">
        <f t="shared" si="38"/>
        <v>0</v>
      </c>
      <c r="X157" s="117">
        <f t="shared" si="39"/>
        <v>0</v>
      </c>
      <c r="Y157" s="117" t="e">
        <f t="shared" si="43"/>
        <v>#DIV/0!</v>
      </c>
      <c r="Z157" s="117" t="e">
        <f>ABS(0.4*0.85*Main!$G$546*'Pile Data'!X157+Main!$G$545*'Pile Data'!R157-Main!$G$545*('Pile Data'!T157+'Pile Data'!V157))</f>
        <v>#DIV/0!</v>
      </c>
      <c r="AA157" s="117" t="e">
        <f>(0.4*0.85*Main!$G$546*'Pile Data'!X157*Y157+Main!$G$545*('Pile Data'!R157*S157+'Pile Data'!T157*U157+'Pile Data'!V157*W157))</f>
        <v>#DIV/0!</v>
      </c>
      <c r="AB157" s="37"/>
    </row>
    <row r="158" spans="14:28">
      <c r="N158" s="2"/>
      <c r="O158" s="38">
        <f t="shared" si="44"/>
        <v>153</v>
      </c>
      <c r="P158" s="98">
        <f t="shared" si="40"/>
        <v>2.6703537555513241</v>
      </c>
      <c r="Q158" s="117">
        <f t="shared" si="34"/>
        <v>0</v>
      </c>
      <c r="R158" s="117" t="e">
        <f t="shared" si="35"/>
        <v>#DIV/0!</v>
      </c>
      <c r="S158" s="117" t="e">
        <f t="shared" si="36"/>
        <v>#DIV/0!</v>
      </c>
      <c r="T158" s="117" t="e">
        <f t="shared" si="41"/>
        <v>#DIV/0!</v>
      </c>
      <c r="U158" s="117" t="e">
        <f t="shared" si="37"/>
        <v>#DIV/0!</v>
      </c>
      <c r="V158" s="117">
        <f t="shared" si="42"/>
        <v>0</v>
      </c>
      <c r="W158" s="117">
        <f t="shared" si="38"/>
        <v>0</v>
      </c>
      <c r="X158" s="117">
        <f t="shared" si="39"/>
        <v>0</v>
      </c>
      <c r="Y158" s="117" t="e">
        <f t="shared" si="43"/>
        <v>#DIV/0!</v>
      </c>
      <c r="Z158" s="117" t="e">
        <f>ABS(0.4*0.85*Main!$G$546*'Pile Data'!X158+Main!$G$545*'Pile Data'!R158-Main!$G$545*('Pile Data'!T158+'Pile Data'!V158))</f>
        <v>#DIV/0!</v>
      </c>
      <c r="AA158" s="117" t="e">
        <f>(0.4*0.85*Main!$G$546*'Pile Data'!X158*Y158+Main!$G$545*('Pile Data'!R158*S158+'Pile Data'!T158*U158+'Pile Data'!V158*W158))</f>
        <v>#DIV/0!</v>
      </c>
      <c r="AB158" s="37"/>
    </row>
    <row r="159" spans="14:28">
      <c r="N159" s="2"/>
      <c r="O159" s="38">
        <f t="shared" si="44"/>
        <v>154</v>
      </c>
      <c r="P159" s="98">
        <f t="shared" si="40"/>
        <v>2.6878070480712677</v>
      </c>
      <c r="Q159" s="117">
        <f t="shared" si="34"/>
        <v>0</v>
      </c>
      <c r="R159" s="117" t="e">
        <f t="shared" si="35"/>
        <v>#DIV/0!</v>
      </c>
      <c r="S159" s="117" t="e">
        <f t="shared" si="36"/>
        <v>#DIV/0!</v>
      </c>
      <c r="T159" s="117" t="e">
        <f t="shared" si="41"/>
        <v>#DIV/0!</v>
      </c>
      <c r="U159" s="117" t="e">
        <f t="shared" si="37"/>
        <v>#DIV/0!</v>
      </c>
      <c r="V159" s="117">
        <f t="shared" si="42"/>
        <v>0</v>
      </c>
      <c r="W159" s="117">
        <f t="shared" si="38"/>
        <v>0</v>
      </c>
      <c r="X159" s="117">
        <f t="shared" si="39"/>
        <v>0</v>
      </c>
      <c r="Y159" s="117" t="e">
        <f t="shared" si="43"/>
        <v>#DIV/0!</v>
      </c>
      <c r="Z159" s="117" t="e">
        <f>ABS(0.4*0.85*Main!$G$546*'Pile Data'!X159+Main!$G$545*'Pile Data'!R159-Main!$G$545*('Pile Data'!T159+'Pile Data'!V159))</f>
        <v>#DIV/0!</v>
      </c>
      <c r="AA159" s="117" t="e">
        <f>(0.4*0.85*Main!$G$546*'Pile Data'!X159*Y159+Main!$G$545*('Pile Data'!R159*S159+'Pile Data'!T159*U159+'Pile Data'!V159*W159))</f>
        <v>#DIV/0!</v>
      </c>
      <c r="AB159" s="37"/>
    </row>
    <row r="160" spans="14:28">
      <c r="N160" s="2"/>
      <c r="O160" s="38">
        <f t="shared" si="44"/>
        <v>155</v>
      </c>
      <c r="P160" s="98">
        <f t="shared" si="40"/>
        <v>2.7052603405912108</v>
      </c>
      <c r="Q160" s="117">
        <f t="shared" si="34"/>
        <v>0</v>
      </c>
      <c r="R160" s="117" t="e">
        <f t="shared" si="35"/>
        <v>#DIV/0!</v>
      </c>
      <c r="S160" s="117" t="e">
        <f t="shared" si="36"/>
        <v>#DIV/0!</v>
      </c>
      <c r="T160" s="117" t="e">
        <f t="shared" si="41"/>
        <v>#DIV/0!</v>
      </c>
      <c r="U160" s="117" t="e">
        <f t="shared" si="37"/>
        <v>#DIV/0!</v>
      </c>
      <c r="V160" s="117">
        <f t="shared" si="42"/>
        <v>0</v>
      </c>
      <c r="W160" s="117">
        <f t="shared" si="38"/>
        <v>0</v>
      </c>
      <c r="X160" s="117">
        <f t="shared" si="39"/>
        <v>0</v>
      </c>
      <c r="Y160" s="117" t="e">
        <f t="shared" si="43"/>
        <v>#DIV/0!</v>
      </c>
      <c r="Z160" s="117" t="e">
        <f>ABS(0.4*0.85*Main!$G$546*'Pile Data'!X160+Main!$G$545*'Pile Data'!R160-Main!$G$545*('Pile Data'!T160+'Pile Data'!V160))</f>
        <v>#DIV/0!</v>
      </c>
      <c r="AA160" s="117" t="e">
        <f>(0.4*0.85*Main!$G$546*'Pile Data'!X160*Y160+Main!$G$545*('Pile Data'!R160*S160+'Pile Data'!T160*U160+'Pile Data'!V160*W160))</f>
        <v>#DIV/0!</v>
      </c>
      <c r="AB160" s="37"/>
    </row>
    <row r="161" spans="14:28">
      <c r="N161" s="2"/>
      <c r="O161" s="38">
        <f t="shared" si="44"/>
        <v>156</v>
      </c>
      <c r="P161" s="98">
        <f t="shared" si="40"/>
        <v>2.7227136331111539</v>
      </c>
      <c r="Q161" s="117">
        <f t="shared" si="34"/>
        <v>0</v>
      </c>
      <c r="R161" s="117" t="e">
        <f t="shared" si="35"/>
        <v>#DIV/0!</v>
      </c>
      <c r="S161" s="117" t="e">
        <f t="shared" si="36"/>
        <v>#DIV/0!</v>
      </c>
      <c r="T161" s="117" t="e">
        <f t="shared" si="41"/>
        <v>#DIV/0!</v>
      </c>
      <c r="U161" s="117" t="e">
        <f t="shared" si="37"/>
        <v>#DIV/0!</v>
      </c>
      <c r="V161" s="117">
        <f t="shared" si="42"/>
        <v>0</v>
      </c>
      <c r="W161" s="117">
        <f t="shared" si="38"/>
        <v>0</v>
      </c>
      <c r="X161" s="117">
        <f t="shared" si="39"/>
        <v>0</v>
      </c>
      <c r="Y161" s="117" t="e">
        <f t="shared" si="43"/>
        <v>#DIV/0!</v>
      </c>
      <c r="Z161" s="117" t="e">
        <f>ABS(0.4*0.85*Main!$G$546*'Pile Data'!X161+Main!$G$545*'Pile Data'!R161-Main!$G$545*('Pile Data'!T161+'Pile Data'!V161))</f>
        <v>#DIV/0!</v>
      </c>
      <c r="AA161" s="117" t="e">
        <f>(0.4*0.85*Main!$G$546*'Pile Data'!X161*Y161+Main!$G$545*('Pile Data'!R161*S161+'Pile Data'!T161*U161+'Pile Data'!V161*W161))</f>
        <v>#DIV/0!</v>
      </c>
      <c r="AB161" s="37"/>
    </row>
    <row r="162" spans="14:28">
      <c r="N162" s="2"/>
      <c r="O162" s="38">
        <f t="shared" si="44"/>
        <v>157</v>
      </c>
      <c r="P162" s="98">
        <f t="shared" si="40"/>
        <v>2.740166925631097</v>
      </c>
      <c r="Q162" s="117">
        <f t="shared" si="34"/>
        <v>0</v>
      </c>
      <c r="R162" s="117" t="e">
        <f t="shared" si="35"/>
        <v>#DIV/0!</v>
      </c>
      <c r="S162" s="117" t="e">
        <f t="shared" si="36"/>
        <v>#DIV/0!</v>
      </c>
      <c r="T162" s="117" t="e">
        <f t="shared" si="41"/>
        <v>#DIV/0!</v>
      </c>
      <c r="U162" s="117" t="e">
        <f t="shared" si="37"/>
        <v>#DIV/0!</v>
      </c>
      <c r="V162" s="117">
        <f t="shared" si="42"/>
        <v>0</v>
      </c>
      <c r="W162" s="117">
        <f t="shared" si="38"/>
        <v>0</v>
      </c>
      <c r="X162" s="117">
        <f t="shared" si="39"/>
        <v>0</v>
      </c>
      <c r="Y162" s="117" t="e">
        <f t="shared" si="43"/>
        <v>#DIV/0!</v>
      </c>
      <c r="Z162" s="117" t="e">
        <f>ABS(0.4*0.85*Main!$G$546*'Pile Data'!X162+Main!$G$545*'Pile Data'!R162-Main!$G$545*('Pile Data'!T162+'Pile Data'!V162))</f>
        <v>#DIV/0!</v>
      </c>
      <c r="AA162" s="117" t="e">
        <f>(0.4*0.85*Main!$G$546*'Pile Data'!X162*Y162+Main!$G$545*('Pile Data'!R162*S162+'Pile Data'!T162*U162+'Pile Data'!V162*W162))</f>
        <v>#DIV/0!</v>
      </c>
      <c r="AB162" s="37"/>
    </row>
    <row r="163" spans="14:28">
      <c r="N163" s="2"/>
      <c r="O163" s="38">
        <f t="shared" si="44"/>
        <v>158</v>
      </c>
      <c r="P163" s="98">
        <f t="shared" si="40"/>
        <v>2.7576202181510405</v>
      </c>
      <c r="Q163" s="117">
        <f t="shared" si="34"/>
        <v>0</v>
      </c>
      <c r="R163" s="117" t="e">
        <f t="shared" si="35"/>
        <v>#DIV/0!</v>
      </c>
      <c r="S163" s="117" t="e">
        <f t="shared" si="36"/>
        <v>#DIV/0!</v>
      </c>
      <c r="T163" s="117" t="e">
        <f t="shared" si="41"/>
        <v>#DIV/0!</v>
      </c>
      <c r="U163" s="117" t="e">
        <f t="shared" si="37"/>
        <v>#DIV/0!</v>
      </c>
      <c r="V163" s="117">
        <f t="shared" si="42"/>
        <v>0</v>
      </c>
      <c r="W163" s="117">
        <f t="shared" si="38"/>
        <v>0</v>
      </c>
      <c r="X163" s="117">
        <f t="shared" si="39"/>
        <v>0</v>
      </c>
      <c r="Y163" s="117" t="e">
        <f t="shared" si="43"/>
        <v>#DIV/0!</v>
      </c>
      <c r="Z163" s="117" t="e">
        <f>ABS(0.4*0.85*Main!$G$546*'Pile Data'!X163+Main!$G$545*'Pile Data'!R163-Main!$G$545*('Pile Data'!T163+'Pile Data'!V163))</f>
        <v>#DIV/0!</v>
      </c>
      <c r="AA163" s="117" t="e">
        <f>(0.4*0.85*Main!$G$546*'Pile Data'!X163*Y163+Main!$G$545*('Pile Data'!R163*S163+'Pile Data'!T163*U163+'Pile Data'!V163*W163))</f>
        <v>#DIV/0!</v>
      </c>
      <c r="AB163" s="37"/>
    </row>
    <row r="164" spans="14:28">
      <c r="N164" s="2"/>
      <c r="O164" s="38">
        <f t="shared" si="44"/>
        <v>159</v>
      </c>
      <c r="P164" s="98">
        <f t="shared" si="40"/>
        <v>2.7750735106709841</v>
      </c>
      <c r="Q164" s="117">
        <f t="shared" si="34"/>
        <v>0</v>
      </c>
      <c r="R164" s="117" t="e">
        <f t="shared" si="35"/>
        <v>#DIV/0!</v>
      </c>
      <c r="S164" s="117" t="e">
        <f t="shared" si="36"/>
        <v>#DIV/0!</v>
      </c>
      <c r="T164" s="117" t="e">
        <f t="shared" si="41"/>
        <v>#DIV/0!</v>
      </c>
      <c r="U164" s="117" t="e">
        <f t="shared" si="37"/>
        <v>#DIV/0!</v>
      </c>
      <c r="V164" s="117">
        <f t="shared" si="42"/>
        <v>0</v>
      </c>
      <c r="W164" s="117">
        <f t="shared" si="38"/>
        <v>0</v>
      </c>
      <c r="X164" s="117">
        <f t="shared" si="39"/>
        <v>0</v>
      </c>
      <c r="Y164" s="117" t="e">
        <f t="shared" si="43"/>
        <v>#DIV/0!</v>
      </c>
      <c r="Z164" s="117" t="e">
        <f>ABS(0.4*0.85*Main!$G$546*'Pile Data'!X164+Main!$G$545*'Pile Data'!R164-Main!$G$545*('Pile Data'!T164+'Pile Data'!V164))</f>
        <v>#DIV/0!</v>
      </c>
      <c r="AA164" s="117" t="e">
        <f>(0.4*0.85*Main!$G$546*'Pile Data'!X164*Y164+Main!$G$545*('Pile Data'!R164*S164+'Pile Data'!T164*U164+'Pile Data'!V164*W164))</f>
        <v>#DIV/0!</v>
      </c>
      <c r="AB164" s="37"/>
    </row>
    <row r="165" spans="14:28">
      <c r="N165" s="2"/>
      <c r="O165" s="38">
        <f t="shared" si="44"/>
        <v>160</v>
      </c>
      <c r="P165" s="98">
        <f t="shared" si="40"/>
        <v>2.7925268031909272</v>
      </c>
      <c r="Q165" s="117">
        <f t="shared" ref="Q165:Q185" si="45">COS(P165/2)*($D$25-2*$E$25)/2</f>
        <v>0</v>
      </c>
      <c r="R165" s="117" t="e">
        <f t="shared" ref="R165:R185" si="46">+(($D$25-$E$25)*ACOS(Q165*2/($D$25-$E$25)))*$E$25</f>
        <v>#DIV/0!</v>
      </c>
      <c r="S165" s="117" t="e">
        <f t="shared" ref="S165:S185" si="47">+(($D$25-$E$25)/2)*SIN(ACOS(2*Q165/($D$25-$E$25)))/(ACOS(2*Q165/($D$25-$E$25)))</f>
        <v>#DIV/0!</v>
      </c>
      <c r="T165" s="117" t="e">
        <f t="shared" si="41"/>
        <v>#DIV/0!</v>
      </c>
      <c r="U165" s="117" t="e">
        <f t="shared" si="37"/>
        <v>#DIV/0!</v>
      </c>
      <c r="V165" s="117">
        <f t="shared" si="42"/>
        <v>0</v>
      </c>
      <c r="W165" s="117">
        <f t="shared" ref="W165:W185" si="48">($D$25-$E$25)/PI()</f>
        <v>0</v>
      </c>
      <c r="X165" s="117">
        <f t="shared" ref="X165:X185" si="49">+($D$25/2-$E$25)^2*(P165-SIN(P165))/2</f>
        <v>0</v>
      </c>
      <c r="Y165" s="117" t="e">
        <f t="shared" si="43"/>
        <v>#DIV/0!</v>
      </c>
      <c r="Z165" s="117" t="e">
        <f>ABS(0.4*0.85*Main!$G$546*'Pile Data'!X165+Main!$G$545*'Pile Data'!R165-Main!$G$545*('Pile Data'!T165+'Pile Data'!V165))</f>
        <v>#DIV/0!</v>
      </c>
      <c r="AA165" s="117" t="e">
        <f>(0.4*0.85*Main!$G$546*'Pile Data'!X165*Y165+Main!$G$545*('Pile Data'!R165*S165+'Pile Data'!T165*U165+'Pile Data'!V165*W165))</f>
        <v>#DIV/0!</v>
      </c>
      <c r="AB165" s="37"/>
    </row>
    <row r="166" spans="14:28">
      <c r="N166" s="2"/>
      <c r="O166" s="38">
        <f t="shared" si="44"/>
        <v>161</v>
      </c>
      <c r="P166" s="98">
        <f t="shared" si="40"/>
        <v>2.8099800957108703</v>
      </c>
      <c r="Q166" s="117">
        <f t="shared" si="45"/>
        <v>0</v>
      </c>
      <c r="R166" s="117" t="e">
        <f t="shared" si="46"/>
        <v>#DIV/0!</v>
      </c>
      <c r="S166" s="117" t="e">
        <f t="shared" si="47"/>
        <v>#DIV/0!</v>
      </c>
      <c r="T166" s="117" t="e">
        <f t="shared" si="41"/>
        <v>#DIV/0!</v>
      </c>
      <c r="U166" s="117" t="e">
        <f t="shared" si="37"/>
        <v>#DIV/0!</v>
      </c>
      <c r="V166" s="117">
        <f t="shared" si="42"/>
        <v>0</v>
      </c>
      <c r="W166" s="117">
        <f t="shared" si="48"/>
        <v>0</v>
      </c>
      <c r="X166" s="117">
        <f t="shared" si="49"/>
        <v>0</v>
      </c>
      <c r="Y166" s="117" t="e">
        <f t="shared" ref="Y166:Y185" si="50">2*($D$25/2-$E$25)^3*SIN(P166/2)^3/(3*X166)</f>
        <v>#DIV/0!</v>
      </c>
      <c r="Z166" s="117" t="e">
        <f>ABS(0.4*0.85*Main!$G$546*'Pile Data'!X166+Main!$G$545*'Pile Data'!R166-Main!$G$545*('Pile Data'!T166+'Pile Data'!V166))</f>
        <v>#DIV/0!</v>
      </c>
      <c r="AA166" s="117" t="e">
        <f>(0.4*0.85*Main!$G$546*'Pile Data'!X166*Y166+Main!$G$545*('Pile Data'!R166*S166+'Pile Data'!T166*U166+'Pile Data'!V166*W166))</f>
        <v>#DIV/0!</v>
      </c>
      <c r="AB166" s="37"/>
    </row>
    <row r="167" spans="14:28">
      <c r="N167" s="2"/>
      <c r="O167" s="38">
        <f t="shared" si="44"/>
        <v>162</v>
      </c>
      <c r="P167" s="98">
        <f t="shared" si="40"/>
        <v>2.8274333882308138</v>
      </c>
      <c r="Q167" s="117">
        <f t="shared" si="45"/>
        <v>0</v>
      </c>
      <c r="R167" s="117" t="e">
        <f t="shared" si="46"/>
        <v>#DIV/0!</v>
      </c>
      <c r="S167" s="117" t="e">
        <f t="shared" si="47"/>
        <v>#DIV/0!</v>
      </c>
      <c r="T167" s="117" t="e">
        <f t="shared" si="41"/>
        <v>#DIV/0!</v>
      </c>
      <c r="U167" s="117" t="e">
        <f t="shared" si="37"/>
        <v>#DIV/0!</v>
      </c>
      <c r="V167" s="117">
        <f t="shared" si="42"/>
        <v>0</v>
      </c>
      <c r="W167" s="117">
        <f t="shared" si="48"/>
        <v>0</v>
      </c>
      <c r="X167" s="117">
        <f t="shared" si="49"/>
        <v>0</v>
      </c>
      <c r="Y167" s="117" t="e">
        <f t="shared" si="50"/>
        <v>#DIV/0!</v>
      </c>
      <c r="Z167" s="117" t="e">
        <f>ABS(0.4*0.85*Main!$G$546*'Pile Data'!X167+Main!$G$545*'Pile Data'!R167-Main!$G$545*('Pile Data'!T167+'Pile Data'!V167))</f>
        <v>#DIV/0!</v>
      </c>
      <c r="AA167" s="117" t="e">
        <f>(0.4*0.85*Main!$G$546*'Pile Data'!X167*Y167+Main!$G$545*('Pile Data'!R167*S167+'Pile Data'!T167*U167+'Pile Data'!V167*W167))</f>
        <v>#DIV/0!</v>
      </c>
      <c r="AB167" s="37"/>
    </row>
    <row r="168" spans="14:28">
      <c r="N168" s="2"/>
      <c r="O168" s="38">
        <f t="shared" si="44"/>
        <v>163</v>
      </c>
      <c r="P168" s="98">
        <f t="shared" si="40"/>
        <v>2.8448866807507569</v>
      </c>
      <c r="Q168" s="117">
        <f t="shared" si="45"/>
        <v>0</v>
      </c>
      <c r="R168" s="117" t="e">
        <f t="shared" si="46"/>
        <v>#DIV/0!</v>
      </c>
      <c r="S168" s="117" t="e">
        <f t="shared" si="47"/>
        <v>#DIV/0!</v>
      </c>
      <c r="T168" s="117" t="e">
        <f t="shared" si="41"/>
        <v>#DIV/0!</v>
      </c>
      <c r="U168" s="117" t="e">
        <f t="shared" si="37"/>
        <v>#DIV/0!</v>
      </c>
      <c r="V168" s="117">
        <f t="shared" si="42"/>
        <v>0</v>
      </c>
      <c r="W168" s="117">
        <f t="shared" si="48"/>
        <v>0</v>
      </c>
      <c r="X168" s="117">
        <f t="shared" si="49"/>
        <v>0</v>
      </c>
      <c r="Y168" s="117" t="e">
        <f t="shared" si="50"/>
        <v>#DIV/0!</v>
      </c>
      <c r="Z168" s="117" t="e">
        <f>ABS(0.4*0.85*Main!$G$546*'Pile Data'!X168+Main!$G$545*'Pile Data'!R168-Main!$G$545*('Pile Data'!T168+'Pile Data'!V168))</f>
        <v>#DIV/0!</v>
      </c>
      <c r="AA168" s="117" t="e">
        <f>(0.4*0.85*Main!$G$546*'Pile Data'!X168*Y168+Main!$G$545*('Pile Data'!R168*S168+'Pile Data'!T168*U168+'Pile Data'!V168*W168))</f>
        <v>#DIV/0!</v>
      </c>
      <c r="AB168" s="37"/>
    </row>
    <row r="169" spans="14:28">
      <c r="N169" s="2"/>
      <c r="O169" s="38">
        <f t="shared" si="44"/>
        <v>164</v>
      </c>
      <c r="P169" s="98">
        <f t="shared" si="40"/>
        <v>2.8623399732707</v>
      </c>
      <c r="Q169" s="117">
        <f t="shared" si="45"/>
        <v>0</v>
      </c>
      <c r="R169" s="117" t="e">
        <f t="shared" si="46"/>
        <v>#DIV/0!</v>
      </c>
      <c r="S169" s="117" t="e">
        <f t="shared" si="47"/>
        <v>#DIV/0!</v>
      </c>
      <c r="T169" s="117" t="e">
        <f t="shared" si="41"/>
        <v>#DIV/0!</v>
      </c>
      <c r="U169" s="117" t="e">
        <f t="shared" si="37"/>
        <v>#DIV/0!</v>
      </c>
      <c r="V169" s="117">
        <f t="shared" si="42"/>
        <v>0</v>
      </c>
      <c r="W169" s="117">
        <f t="shared" si="48"/>
        <v>0</v>
      </c>
      <c r="X169" s="117">
        <f t="shared" si="49"/>
        <v>0</v>
      </c>
      <c r="Y169" s="117" t="e">
        <f t="shared" si="50"/>
        <v>#DIV/0!</v>
      </c>
      <c r="Z169" s="117" t="e">
        <f>ABS(0.4*0.85*Main!$G$546*'Pile Data'!X169+Main!$G$545*'Pile Data'!R169-Main!$G$545*('Pile Data'!T169+'Pile Data'!V169))</f>
        <v>#DIV/0!</v>
      </c>
      <c r="AA169" s="117" t="e">
        <f>(0.4*0.85*Main!$G$546*'Pile Data'!X169*Y169+Main!$G$545*('Pile Data'!R169*S169+'Pile Data'!T169*U169+'Pile Data'!V169*W169))</f>
        <v>#DIV/0!</v>
      </c>
      <c r="AB169" s="37"/>
    </row>
    <row r="170" spans="14:28">
      <c r="N170" s="2"/>
      <c r="O170" s="38">
        <f t="shared" si="44"/>
        <v>165</v>
      </c>
      <c r="P170" s="98">
        <f t="shared" si="40"/>
        <v>2.8797932657906435</v>
      </c>
      <c r="Q170" s="117">
        <f t="shared" si="45"/>
        <v>0</v>
      </c>
      <c r="R170" s="117" t="e">
        <f t="shared" si="46"/>
        <v>#DIV/0!</v>
      </c>
      <c r="S170" s="117" t="e">
        <f t="shared" si="47"/>
        <v>#DIV/0!</v>
      </c>
      <c r="T170" s="117" t="e">
        <f t="shared" si="41"/>
        <v>#DIV/0!</v>
      </c>
      <c r="U170" s="117" t="e">
        <f t="shared" si="37"/>
        <v>#DIV/0!</v>
      </c>
      <c r="V170" s="117">
        <f t="shared" si="42"/>
        <v>0</v>
      </c>
      <c r="W170" s="117">
        <f t="shared" si="48"/>
        <v>0</v>
      </c>
      <c r="X170" s="117">
        <f t="shared" si="49"/>
        <v>0</v>
      </c>
      <c r="Y170" s="117" t="e">
        <f t="shared" si="50"/>
        <v>#DIV/0!</v>
      </c>
      <c r="Z170" s="117" t="e">
        <f>ABS(0.4*0.85*Main!$G$546*'Pile Data'!X170+Main!$G$545*'Pile Data'!R170-Main!$G$545*('Pile Data'!T170+'Pile Data'!V170))</f>
        <v>#DIV/0!</v>
      </c>
      <c r="AA170" s="117" t="e">
        <f>(0.4*0.85*Main!$G$546*'Pile Data'!X170*Y170+Main!$G$545*('Pile Data'!R170*S170+'Pile Data'!T170*U170+'Pile Data'!V170*W170))</f>
        <v>#DIV/0!</v>
      </c>
      <c r="AB170" s="37"/>
    </row>
    <row r="171" spans="14:28">
      <c r="N171" s="2"/>
      <c r="O171" s="38">
        <f t="shared" si="44"/>
        <v>166</v>
      </c>
      <c r="P171" s="98">
        <f t="shared" si="40"/>
        <v>2.8972465583105871</v>
      </c>
      <c r="Q171" s="117">
        <f t="shared" si="45"/>
        <v>0</v>
      </c>
      <c r="R171" s="117" t="e">
        <f t="shared" si="46"/>
        <v>#DIV/0!</v>
      </c>
      <c r="S171" s="117" t="e">
        <f t="shared" si="47"/>
        <v>#DIV/0!</v>
      </c>
      <c r="T171" s="117" t="e">
        <f t="shared" si="41"/>
        <v>#DIV/0!</v>
      </c>
      <c r="U171" s="117" t="e">
        <f t="shared" si="37"/>
        <v>#DIV/0!</v>
      </c>
      <c r="V171" s="117">
        <f t="shared" si="42"/>
        <v>0</v>
      </c>
      <c r="W171" s="117">
        <f t="shared" si="48"/>
        <v>0</v>
      </c>
      <c r="X171" s="117">
        <f t="shared" si="49"/>
        <v>0</v>
      </c>
      <c r="Y171" s="117" t="e">
        <f t="shared" si="50"/>
        <v>#DIV/0!</v>
      </c>
      <c r="Z171" s="117" t="e">
        <f>ABS(0.4*0.85*Main!$G$546*'Pile Data'!X171+Main!$G$545*'Pile Data'!R171-Main!$G$545*('Pile Data'!T171+'Pile Data'!V171))</f>
        <v>#DIV/0!</v>
      </c>
      <c r="AA171" s="117" t="e">
        <f>(0.4*0.85*Main!$G$546*'Pile Data'!X171*Y171+Main!$G$545*('Pile Data'!R171*S171+'Pile Data'!T171*U171+'Pile Data'!V171*W171))</f>
        <v>#DIV/0!</v>
      </c>
      <c r="AB171" s="37"/>
    </row>
    <row r="172" spans="14:28">
      <c r="N172" s="2"/>
      <c r="O172" s="38">
        <f t="shared" si="44"/>
        <v>167</v>
      </c>
      <c r="P172" s="98">
        <f t="shared" si="40"/>
        <v>2.9146998508305306</v>
      </c>
      <c r="Q172" s="117">
        <f t="shared" si="45"/>
        <v>0</v>
      </c>
      <c r="R172" s="117" t="e">
        <f t="shared" si="46"/>
        <v>#DIV/0!</v>
      </c>
      <c r="S172" s="117" t="e">
        <f t="shared" si="47"/>
        <v>#DIV/0!</v>
      </c>
      <c r="T172" s="117" t="e">
        <f t="shared" si="41"/>
        <v>#DIV/0!</v>
      </c>
      <c r="U172" s="117" t="e">
        <f t="shared" si="37"/>
        <v>#DIV/0!</v>
      </c>
      <c r="V172" s="117">
        <f t="shared" si="42"/>
        <v>0</v>
      </c>
      <c r="W172" s="117">
        <f t="shared" si="48"/>
        <v>0</v>
      </c>
      <c r="X172" s="117">
        <f t="shared" si="49"/>
        <v>0</v>
      </c>
      <c r="Y172" s="117" t="e">
        <f t="shared" si="50"/>
        <v>#DIV/0!</v>
      </c>
      <c r="Z172" s="117" t="e">
        <f>ABS(0.4*0.85*Main!$G$546*'Pile Data'!X172+Main!$G$545*'Pile Data'!R172-Main!$G$545*('Pile Data'!T172+'Pile Data'!V172))</f>
        <v>#DIV/0!</v>
      </c>
      <c r="AA172" s="117" t="e">
        <f>(0.4*0.85*Main!$G$546*'Pile Data'!X172*Y172+Main!$G$545*('Pile Data'!R172*S172+'Pile Data'!T172*U172+'Pile Data'!V172*W172))</f>
        <v>#DIV/0!</v>
      </c>
      <c r="AB172" s="37"/>
    </row>
    <row r="173" spans="14:28">
      <c r="N173" s="2"/>
      <c r="O173" s="38">
        <f t="shared" si="44"/>
        <v>168</v>
      </c>
      <c r="P173" s="98">
        <f t="shared" si="40"/>
        <v>2.9321531433504737</v>
      </c>
      <c r="Q173" s="117">
        <f t="shared" si="45"/>
        <v>0</v>
      </c>
      <c r="R173" s="117" t="e">
        <f t="shared" si="46"/>
        <v>#DIV/0!</v>
      </c>
      <c r="S173" s="117" t="e">
        <f t="shared" si="47"/>
        <v>#DIV/0!</v>
      </c>
      <c r="T173" s="117" t="e">
        <f t="shared" si="41"/>
        <v>#DIV/0!</v>
      </c>
      <c r="U173" s="117" t="e">
        <f t="shared" si="37"/>
        <v>#DIV/0!</v>
      </c>
      <c r="V173" s="117">
        <f t="shared" si="42"/>
        <v>0</v>
      </c>
      <c r="W173" s="117">
        <f t="shared" si="48"/>
        <v>0</v>
      </c>
      <c r="X173" s="117">
        <f t="shared" si="49"/>
        <v>0</v>
      </c>
      <c r="Y173" s="117" t="e">
        <f t="shared" si="50"/>
        <v>#DIV/0!</v>
      </c>
      <c r="Z173" s="117" t="e">
        <f>ABS(0.4*0.85*Main!$G$546*'Pile Data'!X173+Main!$G$545*'Pile Data'!R173-Main!$G$545*('Pile Data'!T173+'Pile Data'!V173))</f>
        <v>#DIV/0!</v>
      </c>
      <c r="AA173" s="117" t="e">
        <f>(0.4*0.85*Main!$G$546*'Pile Data'!X173*Y173+Main!$G$545*('Pile Data'!R173*S173+'Pile Data'!T173*U173+'Pile Data'!V173*W173))</f>
        <v>#DIV/0!</v>
      </c>
      <c r="AB173" s="37"/>
    </row>
    <row r="174" spans="14:28">
      <c r="N174" s="2"/>
      <c r="O174" s="38">
        <f t="shared" si="44"/>
        <v>169</v>
      </c>
      <c r="P174" s="98">
        <f t="shared" si="40"/>
        <v>2.9496064358704168</v>
      </c>
      <c r="Q174" s="117">
        <f t="shared" si="45"/>
        <v>0</v>
      </c>
      <c r="R174" s="117" t="e">
        <f t="shared" si="46"/>
        <v>#DIV/0!</v>
      </c>
      <c r="S174" s="117" t="e">
        <f t="shared" si="47"/>
        <v>#DIV/0!</v>
      </c>
      <c r="T174" s="117" t="e">
        <f t="shared" si="41"/>
        <v>#DIV/0!</v>
      </c>
      <c r="U174" s="117" t="e">
        <f t="shared" si="37"/>
        <v>#DIV/0!</v>
      </c>
      <c r="V174" s="117">
        <f t="shared" si="42"/>
        <v>0</v>
      </c>
      <c r="W174" s="117">
        <f t="shared" si="48"/>
        <v>0</v>
      </c>
      <c r="X174" s="117">
        <f t="shared" si="49"/>
        <v>0</v>
      </c>
      <c r="Y174" s="117" t="e">
        <f t="shared" si="50"/>
        <v>#DIV/0!</v>
      </c>
      <c r="Z174" s="117" t="e">
        <f>ABS(0.4*0.85*Main!$G$546*'Pile Data'!X174+Main!$G$545*'Pile Data'!R174-Main!$G$545*('Pile Data'!T174+'Pile Data'!V174))</f>
        <v>#DIV/0!</v>
      </c>
      <c r="AA174" s="117" t="e">
        <f>(0.4*0.85*Main!$G$546*'Pile Data'!X174*Y174+Main!$G$545*('Pile Data'!R174*S174+'Pile Data'!T174*U174+'Pile Data'!V174*W174))</f>
        <v>#DIV/0!</v>
      </c>
      <c r="AB174" s="37"/>
    </row>
    <row r="175" spans="14:28">
      <c r="N175" s="2"/>
      <c r="O175" s="38">
        <f t="shared" si="44"/>
        <v>170</v>
      </c>
      <c r="P175" s="98">
        <f t="shared" si="40"/>
        <v>2.9670597283903604</v>
      </c>
      <c r="Q175" s="117">
        <f t="shared" si="45"/>
        <v>0</v>
      </c>
      <c r="R175" s="117" t="e">
        <f t="shared" si="46"/>
        <v>#DIV/0!</v>
      </c>
      <c r="S175" s="117" t="e">
        <f t="shared" si="47"/>
        <v>#DIV/0!</v>
      </c>
      <c r="T175" s="117" t="e">
        <f t="shared" si="41"/>
        <v>#DIV/0!</v>
      </c>
      <c r="U175" s="117" t="e">
        <f t="shared" si="37"/>
        <v>#DIV/0!</v>
      </c>
      <c r="V175" s="117">
        <f t="shared" si="42"/>
        <v>0</v>
      </c>
      <c r="W175" s="117">
        <f t="shared" si="48"/>
        <v>0</v>
      </c>
      <c r="X175" s="117">
        <f t="shared" si="49"/>
        <v>0</v>
      </c>
      <c r="Y175" s="117" t="e">
        <f t="shared" si="50"/>
        <v>#DIV/0!</v>
      </c>
      <c r="Z175" s="117" t="e">
        <f>ABS(0.4*0.85*Main!$G$546*'Pile Data'!X175+Main!$G$545*'Pile Data'!R175-Main!$G$545*('Pile Data'!T175+'Pile Data'!V175))</f>
        <v>#DIV/0!</v>
      </c>
      <c r="AA175" s="117" t="e">
        <f>(0.4*0.85*Main!$G$546*'Pile Data'!X175*Y175+Main!$G$545*('Pile Data'!R175*S175+'Pile Data'!T175*U175+'Pile Data'!V175*W175))</f>
        <v>#DIV/0!</v>
      </c>
      <c r="AB175" s="37"/>
    </row>
    <row r="176" spans="14:28">
      <c r="N176" s="2"/>
      <c r="O176" s="38">
        <f t="shared" si="44"/>
        <v>171</v>
      </c>
      <c r="P176" s="98">
        <f t="shared" si="40"/>
        <v>2.9845130209103035</v>
      </c>
      <c r="Q176" s="117">
        <f t="shared" si="45"/>
        <v>0</v>
      </c>
      <c r="R176" s="117" t="e">
        <f t="shared" si="46"/>
        <v>#DIV/0!</v>
      </c>
      <c r="S176" s="117" t="e">
        <f t="shared" si="47"/>
        <v>#DIV/0!</v>
      </c>
      <c r="T176" s="117" t="e">
        <f t="shared" si="41"/>
        <v>#DIV/0!</v>
      </c>
      <c r="U176" s="117" t="e">
        <f t="shared" si="37"/>
        <v>#DIV/0!</v>
      </c>
      <c r="V176" s="117">
        <f t="shared" si="42"/>
        <v>0</v>
      </c>
      <c r="W176" s="117">
        <f t="shared" si="48"/>
        <v>0</v>
      </c>
      <c r="X176" s="117">
        <f t="shared" si="49"/>
        <v>0</v>
      </c>
      <c r="Y176" s="117" t="e">
        <f t="shared" si="50"/>
        <v>#DIV/0!</v>
      </c>
      <c r="Z176" s="117" t="e">
        <f>ABS(0.4*0.85*Main!$G$546*'Pile Data'!X176+Main!$G$545*'Pile Data'!R176-Main!$G$545*('Pile Data'!T176+'Pile Data'!V176))</f>
        <v>#DIV/0!</v>
      </c>
      <c r="AA176" s="117" t="e">
        <f>(0.4*0.85*Main!$G$546*'Pile Data'!X176*Y176+Main!$G$545*('Pile Data'!R176*S176+'Pile Data'!T176*U176+'Pile Data'!V176*W176))</f>
        <v>#DIV/0!</v>
      </c>
      <c r="AB176" s="37"/>
    </row>
    <row r="177" spans="14:28">
      <c r="N177" s="2"/>
      <c r="O177" s="38">
        <f t="shared" si="44"/>
        <v>172</v>
      </c>
      <c r="P177" s="98">
        <f t="shared" si="40"/>
        <v>3.0019663134302466</v>
      </c>
      <c r="Q177" s="117">
        <f t="shared" si="45"/>
        <v>0</v>
      </c>
      <c r="R177" s="117" t="e">
        <f t="shared" si="46"/>
        <v>#DIV/0!</v>
      </c>
      <c r="S177" s="117" t="e">
        <f t="shared" si="47"/>
        <v>#DIV/0!</v>
      </c>
      <c r="T177" s="117" t="e">
        <f t="shared" si="41"/>
        <v>#DIV/0!</v>
      </c>
      <c r="U177" s="117" t="e">
        <f t="shared" si="37"/>
        <v>#DIV/0!</v>
      </c>
      <c r="V177" s="117">
        <f t="shared" si="42"/>
        <v>0</v>
      </c>
      <c r="W177" s="117">
        <f t="shared" si="48"/>
        <v>0</v>
      </c>
      <c r="X177" s="117">
        <f t="shared" si="49"/>
        <v>0</v>
      </c>
      <c r="Y177" s="117" t="e">
        <f t="shared" si="50"/>
        <v>#DIV/0!</v>
      </c>
      <c r="Z177" s="117" t="e">
        <f>ABS(0.4*0.85*Main!$G$546*'Pile Data'!X177+Main!$G$545*'Pile Data'!R177-Main!$G$545*('Pile Data'!T177+'Pile Data'!V177))</f>
        <v>#DIV/0!</v>
      </c>
      <c r="AA177" s="117" t="e">
        <f>(0.4*0.85*Main!$G$546*'Pile Data'!X177*Y177+Main!$G$545*('Pile Data'!R177*S177+'Pile Data'!T177*U177+'Pile Data'!V177*W177))</f>
        <v>#DIV/0!</v>
      </c>
      <c r="AB177" s="37"/>
    </row>
    <row r="178" spans="14:28">
      <c r="N178" s="2"/>
      <c r="O178" s="38">
        <f t="shared" si="44"/>
        <v>173</v>
      </c>
      <c r="P178" s="98">
        <f t="shared" si="40"/>
        <v>3.0194196059501901</v>
      </c>
      <c r="Q178" s="117">
        <f t="shared" si="45"/>
        <v>0</v>
      </c>
      <c r="R178" s="117" t="e">
        <f t="shared" si="46"/>
        <v>#DIV/0!</v>
      </c>
      <c r="S178" s="117" t="e">
        <f t="shared" si="47"/>
        <v>#DIV/0!</v>
      </c>
      <c r="T178" s="117" t="e">
        <f t="shared" si="41"/>
        <v>#DIV/0!</v>
      </c>
      <c r="U178" s="117" t="e">
        <f t="shared" si="37"/>
        <v>#DIV/0!</v>
      </c>
      <c r="V178" s="117">
        <f t="shared" si="42"/>
        <v>0</v>
      </c>
      <c r="W178" s="117">
        <f t="shared" si="48"/>
        <v>0</v>
      </c>
      <c r="X178" s="117">
        <f t="shared" si="49"/>
        <v>0</v>
      </c>
      <c r="Y178" s="117" t="e">
        <f t="shared" si="50"/>
        <v>#DIV/0!</v>
      </c>
      <c r="Z178" s="117" t="e">
        <f>ABS(0.4*0.85*Main!$G$546*'Pile Data'!X178+Main!$G$545*'Pile Data'!R178-Main!$G$545*('Pile Data'!T178+'Pile Data'!V178))</f>
        <v>#DIV/0!</v>
      </c>
      <c r="AA178" s="117" t="e">
        <f>(0.4*0.85*Main!$G$546*'Pile Data'!X178*Y178+Main!$G$545*('Pile Data'!R178*S178+'Pile Data'!T178*U178+'Pile Data'!V178*W178))</f>
        <v>#DIV/0!</v>
      </c>
      <c r="AB178" s="37"/>
    </row>
    <row r="179" spans="14:28">
      <c r="N179" s="2"/>
      <c r="O179" s="38">
        <f t="shared" si="44"/>
        <v>174</v>
      </c>
      <c r="P179" s="98">
        <f t="shared" si="40"/>
        <v>3.0368728984701332</v>
      </c>
      <c r="Q179" s="117">
        <f t="shared" si="45"/>
        <v>0</v>
      </c>
      <c r="R179" s="117" t="e">
        <f t="shared" si="46"/>
        <v>#DIV/0!</v>
      </c>
      <c r="S179" s="117" t="e">
        <f t="shared" si="47"/>
        <v>#DIV/0!</v>
      </c>
      <c r="T179" s="117" t="e">
        <f t="shared" si="41"/>
        <v>#DIV/0!</v>
      </c>
      <c r="U179" s="117" t="e">
        <f t="shared" si="37"/>
        <v>#DIV/0!</v>
      </c>
      <c r="V179" s="117">
        <f t="shared" si="42"/>
        <v>0</v>
      </c>
      <c r="W179" s="117">
        <f t="shared" si="48"/>
        <v>0</v>
      </c>
      <c r="X179" s="117">
        <f t="shared" si="49"/>
        <v>0</v>
      </c>
      <c r="Y179" s="117" t="e">
        <f t="shared" si="50"/>
        <v>#DIV/0!</v>
      </c>
      <c r="Z179" s="117" t="e">
        <f>ABS(0.4*0.85*Main!$G$546*'Pile Data'!X179+Main!$G$545*'Pile Data'!R179-Main!$G$545*('Pile Data'!T179+'Pile Data'!V179))</f>
        <v>#DIV/0!</v>
      </c>
      <c r="AA179" s="117" t="e">
        <f>(0.4*0.85*Main!$G$546*'Pile Data'!X179*Y179+Main!$G$545*('Pile Data'!R179*S179+'Pile Data'!T179*U179+'Pile Data'!V179*W179))</f>
        <v>#DIV/0!</v>
      </c>
      <c r="AB179" s="37"/>
    </row>
    <row r="180" spans="14:28">
      <c r="N180" s="2"/>
      <c r="O180" s="38">
        <f t="shared" si="44"/>
        <v>175</v>
      </c>
      <c r="P180" s="98">
        <f t="shared" si="40"/>
        <v>3.0543261909900763</v>
      </c>
      <c r="Q180" s="117">
        <f t="shared" si="45"/>
        <v>0</v>
      </c>
      <c r="R180" s="117" t="e">
        <f t="shared" si="46"/>
        <v>#DIV/0!</v>
      </c>
      <c r="S180" s="117" t="e">
        <f t="shared" si="47"/>
        <v>#DIV/0!</v>
      </c>
      <c r="T180" s="117" t="e">
        <f t="shared" si="41"/>
        <v>#DIV/0!</v>
      </c>
      <c r="U180" s="117" t="e">
        <f t="shared" si="37"/>
        <v>#DIV/0!</v>
      </c>
      <c r="V180" s="117">
        <f t="shared" si="42"/>
        <v>0</v>
      </c>
      <c r="W180" s="117">
        <f t="shared" si="48"/>
        <v>0</v>
      </c>
      <c r="X180" s="117">
        <f t="shared" si="49"/>
        <v>0</v>
      </c>
      <c r="Y180" s="117" t="e">
        <f t="shared" si="50"/>
        <v>#DIV/0!</v>
      </c>
      <c r="Z180" s="117" t="e">
        <f>ABS(0.4*0.85*Main!$G$546*'Pile Data'!X180+Main!$G$545*'Pile Data'!R180-Main!$G$545*('Pile Data'!T180+'Pile Data'!V180))</f>
        <v>#DIV/0!</v>
      </c>
      <c r="AA180" s="117" t="e">
        <f>(0.4*0.85*Main!$G$546*'Pile Data'!X180*Y180+Main!$G$545*('Pile Data'!R180*S180+'Pile Data'!T180*U180+'Pile Data'!V180*W180))</f>
        <v>#DIV/0!</v>
      </c>
      <c r="AB180" s="37"/>
    </row>
    <row r="181" spans="14:28">
      <c r="N181" s="2"/>
      <c r="O181" s="38">
        <f t="shared" si="44"/>
        <v>176</v>
      </c>
      <c r="P181" s="98">
        <f t="shared" si="40"/>
        <v>3.0717794835100198</v>
      </c>
      <c r="Q181" s="117">
        <f t="shared" si="45"/>
        <v>0</v>
      </c>
      <c r="R181" s="117" t="e">
        <f t="shared" si="46"/>
        <v>#DIV/0!</v>
      </c>
      <c r="S181" s="117" t="e">
        <f t="shared" si="47"/>
        <v>#DIV/0!</v>
      </c>
      <c r="T181" s="117" t="e">
        <f t="shared" si="41"/>
        <v>#DIV/0!</v>
      </c>
      <c r="U181" s="117" t="e">
        <f t="shared" si="37"/>
        <v>#DIV/0!</v>
      </c>
      <c r="V181" s="117">
        <f t="shared" si="42"/>
        <v>0</v>
      </c>
      <c r="W181" s="117">
        <f t="shared" si="48"/>
        <v>0</v>
      </c>
      <c r="X181" s="117">
        <f t="shared" si="49"/>
        <v>0</v>
      </c>
      <c r="Y181" s="117" t="e">
        <f t="shared" si="50"/>
        <v>#DIV/0!</v>
      </c>
      <c r="Z181" s="117" t="e">
        <f>ABS(0.4*0.85*Main!$G$546*'Pile Data'!X181+Main!$G$545*'Pile Data'!R181-Main!$G$545*('Pile Data'!T181+'Pile Data'!V181))</f>
        <v>#DIV/0!</v>
      </c>
      <c r="AA181" s="117" t="e">
        <f>(0.4*0.85*Main!$G$546*'Pile Data'!X181*Y181+Main!$G$545*('Pile Data'!R181*S181+'Pile Data'!T181*U181+'Pile Data'!V181*W181))</f>
        <v>#DIV/0!</v>
      </c>
      <c r="AB181" s="37"/>
    </row>
    <row r="182" spans="14:28">
      <c r="N182" s="2"/>
      <c r="O182" s="38">
        <f t="shared" si="44"/>
        <v>177</v>
      </c>
      <c r="P182" s="98">
        <f t="shared" si="40"/>
        <v>3.0892327760299634</v>
      </c>
      <c r="Q182" s="117">
        <f t="shared" si="45"/>
        <v>0</v>
      </c>
      <c r="R182" s="117" t="e">
        <f t="shared" si="46"/>
        <v>#DIV/0!</v>
      </c>
      <c r="S182" s="117" t="e">
        <f t="shared" si="47"/>
        <v>#DIV/0!</v>
      </c>
      <c r="T182" s="117" t="e">
        <f t="shared" si="41"/>
        <v>#DIV/0!</v>
      </c>
      <c r="U182" s="117" t="e">
        <f t="shared" si="37"/>
        <v>#DIV/0!</v>
      </c>
      <c r="V182" s="117">
        <f t="shared" si="42"/>
        <v>0</v>
      </c>
      <c r="W182" s="117">
        <f t="shared" si="48"/>
        <v>0</v>
      </c>
      <c r="X182" s="117">
        <f t="shared" si="49"/>
        <v>0</v>
      </c>
      <c r="Y182" s="117" t="e">
        <f t="shared" si="50"/>
        <v>#DIV/0!</v>
      </c>
      <c r="Z182" s="117" t="e">
        <f>ABS(0.4*0.85*Main!$G$546*'Pile Data'!X182+Main!$G$545*'Pile Data'!R182-Main!$G$545*('Pile Data'!T182+'Pile Data'!V182))</f>
        <v>#DIV/0!</v>
      </c>
      <c r="AA182" s="117" t="e">
        <f>(0.4*0.85*Main!$G$546*'Pile Data'!X182*Y182+Main!$G$545*('Pile Data'!R182*S182+'Pile Data'!T182*U182+'Pile Data'!V182*W182))</f>
        <v>#DIV/0!</v>
      </c>
      <c r="AB182" s="37"/>
    </row>
    <row r="183" spans="14:28">
      <c r="N183" s="2"/>
      <c r="O183" s="38">
        <f t="shared" si="44"/>
        <v>178</v>
      </c>
      <c r="P183" s="98">
        <f t="shared" si="40"/>
        <v>3.1066860685499069</v>
      </c>
      <c r="Q183" s="117">
        <f t="shared" si="45"/>
        <v>0</v>
      </c>
      <c r="R183" s="117" t="e">
        <f t="shared" si="46"/>
        <v>#DIV/0!</v>
      </c>
      <c r="S183" s="117" t="e">
        <f t="shared" si="47"/>
        <v>#DIV/0!</v>
      </c>
      <c r="T183" s="117" t="e">
        <f t="shared" si="41"/>
        <v>#DIV/0!</v>
      </c>
      <c r="U183" s="117" t="e">
        <f t="shared" si="37"/>
        <v>#DIV/0!</v>
      </c>
      <c r="V183" s="117">
        <f t="shared" si="42"/>
        <v>0</v>
      </c>
      <c r="W183" s="117">
        <f t="shared" si="48"/>
        <v>0</v>
      </c>
      <c r="X183" s="117">
        <f t="shared" si="49"/>
        <v>0</v>
      </c>
      <c r="Y183" s="117" t="e">
        <f t="shared" si="50"/>
        <v>#DIV/0!</v>
      </c>
      <c r="Z183" s="117" t="e">
        <f>ABS(0.4*0.85*Main!$G$546*'Pile Data'!X183+Main!$G$545*'Pile Data'!R183-Main!$G$545*('Pile Data'!T183+'Pile Data'!V183))</f>
        <v>#DIV/0!</v>
      </c>
      <c r="AA183" s="117" t="e">
        <f>(0.4*0.85*Main!$G$546*'Pile Data'!X183*Y183+Main!$G$545*('Pile Data'!R183*S183+'Pile Data'!T183*U183+'Pile Data'!V183*W183))</f>
        <v>#DIV/0!</v>
      </c>
      <c r="AB183" s="37"/>
    </row>
    <row r="184" spans="14:28">
      <c r="N184" s="2"/>
      <c r="O184" s="38">
        <f t="shared" si="44"/>
        <v>179</v>
      </c>
      <c r="P184" s="98">
        <f t="shared" si="40"/>
        <v>3.12413936106985</v>
      </c>
      <c r="Q184" s="117">
        <f t="shared" si="45"/>
        <v>0</v>
      </c>
      <c r="R184" s="117" t="e">
        <f t="shared" si="46"/>
        <v>#DIV/0!</v>
      </c>
      <c r="S184" s="117" t="e">
        <f t="shared" si="47"/>
        <v>#DIV/0!</v>
      </c>
      <c r="T184" s="117" t="e">
        <f t="shared" si="41"/>
        <v>#DIV/0!</v>
      </c>
      <c r="U184" s="117" t="e">
        <f t="shared" si="37"/>
        <v>#DIV/0!</v>
      </c>
      <c r="V184" s="117">
        <f t="shared" si="42"/>
        <v>0</v>
      </c>
      <c r="W184" s="117">
        <f t="shared" si="48"/>
        <v>0</v>
      </c>
      <c r="X184" s="117">
        <f t="shared" si="49"/>
        <v>0</v>
      </c>
      <c r="Y184" s="117" t="e">
        <f t="shared" si="50"/>
        <v>#DIV/0!</v>
      </c>
      <c r="Z184" s="117" t="e">
        <f>ABS(0.4*0.85*Main!$G$546*'Pile Data'!X184+Main!$G$545*'Pile Data'!R184-Main!$G$545*('Pile Data'!T184+'Pile Data'!V184))</f>
        <v>#DIV/0!</v>
      </c>
      <c r="AA184" s="117" t="e">
        <f>(0.4*0.85*Main!$G$546*'Pile Data'!X184*Y184+Main!$G$545*('Pile Data'!R184*S184+'Pile Data'!T184*U184+'Pile Data'!V184*W184))</f>
        <v>#DIV/0!</v>
      </c>
      <c r="AB184" s="37"/>
    </row>
    <row r="185" spans="14:28">
      <c r="N185" s="2"/>
      <c r="O185" s="38">
        <f t="shared" si="44"/>
        <v>180</v>
      </c>
      <c r="P185" s="98">
        <f t="shared" si="40"/>
        <v>3.1415926535897931</v>
      </c>
      <c r="Q185" s="117">
        <f t="shared" si="45"/>
        <v>0</v>
      </c>
      <c r="R185" s="117" t="e">
        <f t="shared" si="46"/>
        <v>#DIV/0!</v>
      </c>
      <c r="S185" s="117" t="e">
        <f t="shared" si="47"/>
        <v>#DIV/0!</v>
      </c>
      <c r="T185" s="117" t="e">
        <f t="shared" si="41"/>
        <v>#DIV/0!</v>
      </c>
      <c r="U185" s="117">
        <v>0</v>
      </c>
      <c r="V185" s="117">
        <f t="shared" si="42"/>
        <v>0</v>
      </c>
      <c r="W185" s="117">
        <f t="shared" si="48"/>
        <v>0</v>
      </c>
      <c r="X185" s="117">
        <f t="shared" si="49"/>
        <v>0</v>
      </c>
      <c r="Y185" s="117" t="e">
        <f t="shared" si="50"/>
        <v>#DIV/0!</v>
      </c>
      <c r="Z185" s="117" t="e">
        <f>ABS(0.4*0.85*Main!$G$546*'Pile Data'!X185+Main!$G$545*'Pile Data'!R185-Main!$G$545*('Pile Data'!T185+'Pile Data'!V185))</f>
        <v>#DIV/0!</v>
      </c>
      <c r="AA185" s="117" t="e">
        <f>(0.4*0.85*Main!$G$546*'Pile Data'!X185*Y185+Main!$G$545*('Pile Data'!R185*S185+'Pile Data'!T185*U185+'Pile Data'!V185*W185))</f>
        <v>#DIV/0!</v>
      </c>
      <c r="AB185" s="37"/>
    </row>
    <row r="186" spans="14:28" ht="15">
      <c r="N186" s="2"/>
      <c r="O186" s="2"/>
      <c r="P186" s="2"/>
      <c r="Q186" s="2"/>
      <c r="R186" s="2"/>
      <c r="S186" s="2"/>
      <c r="T186" s="2"/>
      <c r="U186" s="2"/>
      <c r="V186" s="2"/>
      <c r="W186" s="2"/>
      <c r="X186" s="2"/>
      <c r="Y186" s="2"/>
      <c r="Z186" s="18" t="s">
        <v>507</v>
      </c>
      <c r="AA186" s="117" t="e">
        <f>VLOOKUP(MIN(Z5:Z185),mplastic,2,FALSE)</f>
        <v>#DIV/0!</v>
      </c>
      <c r="AB186" s="2" t="s">
        <v>255</v>
      </c>
    </row>
    <row r="187" spans="14:28">
      <c r="N187" s="2"/>
      <c r="O187" s="2"/>
      <c r="P187" s="2"/>
      <c r="Q187" s="2"/>
      <c r="R187" s="2"/>
      <c r="S187" s="2"/>
      <c r="T187" s="2"/>
      <c r="U187" s="2"/>
      <c r="V187" s="2"/>
      <c r="W187" s="2"/>
      <c r="X187" s="2"/>
      <c r="Y187" s="2"/>
      <c r="Z187" s="18"/>
      <c r="AA187" s="2"/>
    </row>
    <row r="188" spans="14:28">
      <c r="N188" s="2"/>
      <c r="O188" s="2"/>
      <c r="P188" s="2"/>
      <c r="Q188" s="2"/>
      <c r="R188" s="2"/>
      <c r="S188" s="2"/>
      <c r="T188" s="2"/>
      <c r="U188" s="2"/>
      <c r="V188" s="2"/>
      <c r="W188" s="2"/>
      <c r="X188" s="2"/>
      <c r="Y188" s="2"/>
      <c r="Z188" s="2"/>
      <c r="AA188" s="2"/>
    </row>
    <row r="189" spans="14:28">
      <c r="N189" s="2"/>
      <c r="O189" s="2"/>
      <c r="P189" s="2"/>
      <c r="Q189" s="2"/>
      <c r="R189" s="2"/>
      <c r="S189" s="2"/>
      <c r="T189" s="2"/>
      <c r="U189" s="2"/>
      <c r="V189" s="2"/>
      <c r="W189" s="2"/>
      <c r="X189" s="2"/>
      <c r="Y189" s="2"/>
      <c r="Z189" s="2"/>
      <c r="AA189" s="2"/>
    </row>
    <row r="190" spans="14:28">
      <c r="N190" s="2"/>
      <c r="O190" s="2"/>
      <c r="P190" s="2"/>
      <c r="Q190" s="2"/>
      <c r="R190" s="2"/>
      <c r="S190" s="2"/>
      <c r="T190" s="2"/>
      <c r="U190" s="2"/>
      <c r="V190" s="2"/>
      <c r="W190" s="2"/>
      <c r="X190" s="2"/>
      <c r="Y190" s="2"/>
      <c r="Z190" s="2"/>
      <c r="AA190" s="2"/>
    </row>
    <row r="191" spans="14:28">
      <c r="N191" s="2"/>
      <c r="O191" s="2"/>
      <c r="P191" s="2"/>
      <c r="Q191" s="2"/>
      <c r="R191" s="2"/>
      <c r="S191" s="2"/>
      <c r="T191" s="2"/>
      <c r="U191" s="2"/>
      <c r="V191" s="2"/>
      <c r="W191" s="2"/>
      <c r="X191" s="2"/>
      <c r="Y191" s="2"/>
      <c r="Z191" s="2"/>
      <c r="AA191" s="2"/>
    </row>
    <row r="192" spans="14:28">
      <c r="N192" s="2"/>
      <c r="O192" s="2"/>
      <c r="P192" s="2"/>
      <c r="Q192" s="2"/>
      <c r="R192" s="2"/>
      <c r="S192" s="2"/>
      <c r="T192" s="2"/>
      <c r="U192" s="2"/>
      <c r="V192" s="2"/>
      <c r="W192" s="2"/>
      <c r="X192" s="2"/>
      <c r="Y192" s="2"/>
      <c r="Z192" s="2"/>
      <c r="AA192" s="2"/>
    </row>
    <row r="193" spans="2:27">
      <c r="N193" s="2"/>
      <c r="O193" s="2"/>
      <c r="P193" s="2"/>
      <c r="Q193" s="2"/>
      <c r="R193" s="2"/>
      <c r="S193" s="2"/>
      <c r="T193" s="2"/>
      <c r="U193" s="2"/>
      <c r="V193" s="2"/>
      <c r="W193" s="2"/>
      <c r="X193" s="2"/>
      <c r="Y193" s="2"/>
      <c r="Z193" s="2"/>
      <c r="AA193" s="2"/>
    </row>
    <row r="194" spans="2:27">
      <c r="N194" s="2"/>
      <c r="O194" s="2"/>
      <c r="P194" s="2"/>
      <c r="Q194" s="2"/>
      <c r="R194" s="2"/>
      <c r="S194" s="2"/>
      <c r="T194" s="2"/>
      <c r="U194" s="2"/>
      <c r="V194" s="2"/>
      <c r="W194" s="2"/>
      <c r="X194" s="2"/>
      <c r="Y194" s="2"/>
      <c r="Z194" s="2"/>
      <c r="AA194" s="2"/>
    </row>
    <row r="195" spans="2:27">
      <c r="N195" s="2"/>
      <c r="O195" s="2"/>
      <c r="P195" s="2"/>
      <c r="Q195" s="2"/>
      <c r="R195" s="2"/>
      <c r="S195" s="2"/>
      <c r="T195" s="2"/>
      <c r="U195" s="2"/>
      <c r="V195" s="2"/>
      <c r="W195" s="2"/>
      <c r="X195" s="2"/>
      <c r="Y195" s="2"/>
      <c r="Z195" s="2"/>
      <c r="AA195" s="2"/>
    </row>
    <row r="196" spans="2:27">
      <c r="N196" s="2"/>
      <c r="O196" s="2"/>
      <c r="P196" s="2"/>
      <c r="Q196" s="2"/>
      <c r="R196" s="2"/>
      <c r="S196" s="2"/>
      <c r="T196" s="2"/>
      <c r="U196" s="2"/>
      <c r="V196" s="2"/>
      <c r="W196" s="2"/>
      <c r="X196" s="2"/>
      <c r="Y196" s="2"/>
      <c r="Z196" s="2"/>
      <c r="AA196" s="2"/>
    </row>
    <row r="197" spans="2:27">
      <c r="N197" s="2"/>
      <c r="O197" s="2"/>
      <c r="P197" s="2"/>
      <c r="Q197" s="2"/>
      <c r="R197" s="2"/>
      <c r="S197" s="2"/>
      <c r="T197" s="2"/>
      <c r="U197" s="2"/>
      <c r="V197" s="2"/>
      <c r="W197" s="2"/>
      <c r="X197" s="2"/>
      <c r="Y197" s="2"/>
      <c r="Z197" s="2"/>
      <c r="AA197" s="2"/>
    </row>
    <row r="198" spans="2:27" hidden="1">
      <c r="L198" s="3"/>
      <c r="N198" s="2"/>
      <c r="O198" s="2"/>
      <c r="P198" s="2"/>
      <c r="Q198" s="2"/>
      <c r="R198" s="2"/>
      <c r="S198" s="2"/>
      <c r="T198" s="2"/>
      <c r="U198" s="2"/>
      <c r="V198" s="2"/>
      <c r="W198" s="2"/>
      <c r="X198" s="2"/>
      <c r="Y198" s="2"/>
      <c r="Z198" s="2"/>
      <c r="AA198" s="2"/>
    </row>
    <row r="199" spans="2:27" ht="13.15" hidden="1" thickBot="1">
      <c r="N199" s="2"/>
      <c r="O199" s="2"/>
      <c r="P199" s="2"/>
      <c r="Q199" s="2"/>
      <c r="R199" s="2"/>
      <c r="S199" s="2"/>
      <c r="T199" s="2"/>
      <c r="U199" s="2"/>
      <c r="V199" s="2"/>
      <c r="W199" s="2"/>
      <c r="X199" s="2"/>
      <c r="Y199" s="2"/>
      <c r="Z199" s="2"/>
      <c r="AA199" s="2"/>
    </row>
    <row r="200" spans="2:27" hidden="1">
      <c r="B200" s="646" t="s">
        <v>871</v>
      </c>
      <c r="C200" s="647"/>
      <c r="D200" s="647"/>
      <c r="E200" s="647"/>
      <c r="F200" s="647"/>
      <c r="G200" s="630"/>
      <c r="H200" s="421"/>
      <c r="I200" s="422" t="s">
        <v>200</v>
      </c>
      <c r="J200" s="439"/>
      <c r="K200" s="437"/>
      <c r="L200" s="422" t="s">
        <v>201</v>
      </c>
      <c r="M200" s="444"/>
      <c r="N200" s="446" t="s">
        <v>204</v>
      </c>
      <c r="S200" s="2"/>
      <c r="T200" s="2"/>
      <c r="U200" s="2"/>
      <c r="V200" s="2"/>
      <c r="W200" s="2"/>
      <c r="X200" s="2"/>
      <c r="Y200" s="2"/>
      <c r="Z200" s="2"/>
      <c r="AA200" s="2"/>
    </row>
    <row r="201" spans="2:27" ht="15" hidden="1">
      <c r="B201" s="423" t="s">
        <v>119</v>
      </c>
      <c r="C201" s="424" t="s">
        <v>123</v>
      </c>
      <c r="D201" s="424" t="s">
        <v>130</v>
      </c>
      <c r="E201" s="424" t="s">
        <v>129</v>
      </c>
      <c r="F201" s="424" t="s">
        <v>128</v>
      </c>
      <c r="G201" s="435" t="s">
        <v>203</v>
      </c>
      <c r="H201" s="440" t="s">
        <v>191</v>
      </c>
      <c r="I201" s="424" t="s">
        <v>192</v>
      </c>
      <c r="J201" s="441"/>
      <c r="K201" s="30" t="s">
        <v>191</v>
      </c>
      <c r="L201" s="424" t="s">
        <v>192</v>
      </c>
      <c r="M201" s="445"/>
      <c r="N201" s="447" t="s">
        <v>205</v>
      </c>
      <c r="O201" s="465" t="s">
        <v>876</v>
      </c>
      <c r="S201" s="2"/>
      <c r="T201" s="2"/>
      <c r="U201" s="2"/>
      <c r="V201" s="382" t="s">
        <v>870</v>
      </c>
      <c r="W201" s="2"/>
      <c r="X201" s="2"/>
      <c r="Y201" s="2"/>
      <c r="Z201" s="2"/>
      <c r="AA201" s="2"/>
    </row>
    <row r="202" spans="2:27" ht="15.4" hidden="1" thickBot="1">
      <c r="B202" s="449" t="s">
        <v>121</v>
      </c>
      <c r="C202" s="430" t="s">
        <v>516</v>
      </c>
      <c r="D202" s="430" t="s">
        <v>516</v>
      </c>
      <c r="E202" s="430" t="s">
        <v>516</v>
      </c>
      <c r="F202" s="430" t="s">
        <v>516</v>
      </c>
      <c r="G202" s="408" t="s">
        <v>516</v>
      </c>
      <c r="H202" s="406" t="s">
        <v>516</v>
      </c>
      <c r="I202" s="430" t="s">
        <v>193</v>
      </c>
      <c r="J202" s="407" t="s">
        <v>199</v>
      </c>
      <c r="K202" s="409" t="s">
        <v>516</v>
      </c>
      <c r="L202" s="430" t="s">
        <v>193</v>
      </c>
      <c r="M202" s="408" t="s">
        <v>199</v>
      </c>
      <c r="N202" s="448" t="s">
        <v>199</v>
      </c>
      <c r="O202" s="466" t="s">
        <v>877</v>
      </c>
      <c r="S202" s="2"/>
      <c r="T202" s="2"/>
      <c r="U202" s="2"/>
      <c r="V202" s="3" t="s">
        <v>124</v>
      </c>
      <c r="W202" s="3" t="s">
        <v>125</v>
      </c>
      <c r="X202" s="3" t="s">
        <v>126</v>
      </c>
      <c r="Y202" s="3" t="s">
        <v>127</v>
      </c>
      <c r="Z202" s="2"/>
      <c r="AA202" s="2"/>
    </row>
    <row r="203" spans="2:27" ht="14.25" hidden="1">
      <c r="B203" s="432" t="s">
        <v>109</v>
      </c>
      <c r="C203" s="433">
        <v>14.2</v>
      </c>
      <c r="D203" s="433">
        <v>0.80500000000000005</v>
      </c>
      <c r="E203" s="433">
        <v>14.9</v>
      </c>
      <c r="F203" s="433">
        <v>0.80500000000000005</v>
      </c>
      <c r="G203" s="436">
        <v>11.25</v>
      </c>
      <c r="H203" s="401">
        <f t="shared" ref="H203:H213" si="51">E203/2</f>
        <v>7.45</v>
      </c>
      <c r="I203" s="434">
        <f t="shared" ref="I203:I213" si="52">H203/F203</f>
        <v>9.2546583850931672</v>
      </c>
      <c r="J203" s="442" t="str">
        <f t="shared" ref="J203:J213" si="53">IF($I$217&gt;I203,"No","Yes")</f>
        <v>No</v>
      </c>
      <c r="K203" s="404">
        <f t="shared" ref="K203:K213" si="54">G203</f>
        <v>11.25</v>
      </c>
      <c r="L203" s="434">
        <f t="shared" ref="L203:L213" si="55">K203/D203</f>
        <v>13.975155279503104</v>
      </c>
      <c r="M203" s="442" t="str">
        <f t="shared" ref="M203:M213" si="56">IF($L$217&gt;L203,"No","Yes")</f>
        <v>No</v>
      </c>
      <c r="N203" s="442" t="str">
        <f t="shared" ref="N203:N213" si="57">IF(AND(J203="No",M203="No"),"No","Yes")</f>
        <v>No</v>
      </c>
      <c r="O203" s="4">
        <f>IF(I203&lt;=$I$217,1,IF(I203&gt;1.03*($I$215/$I$216)^0.5,0.69*$I$215/$I$216/(I203^2),1.415-0.74*I203*($I$216/$I$215)^0.5))</f>
        <v>1</v>
      </c>
      <c r="S203" s="2"/>
      <c r="T203" s="2"/>
      <c r="U203" s="2"/>
      <c r="V203" s="3" t="s">
        <v>512</v>
      </c>
      <c r="W203" s="3" t="s">
        <v>515</v>
      </c>
      <c r="X203" s="3" t="s">
        <v>516</v>
      </c>
      <c r="Y203" s="3" t="s">
        <v>515</v>
      </c>
      <c r="Z203" s="2"/>
      <c r="AA203" s="2"/>
    </row>
    <row r="204" spans="2:27" hidden="1">
      <c r="B204" s="425" t="s">
        <v>110</v>
      </c>
      <c r="C204" s="427">
        <v>14</v>
      </c>
      <c r="D204" s="424">
        <v>0.70499999999999996</v>
      </c>
      <c r="E204" s="424">
        <v>14.8</v>
      </c>
      <c r="F204" s="424">
        <v>0.70499999999999996</v>
      </c>
      <c r="G204" s="435">
        <v>11.25</v>
      </c>
      <c r="H204" s="33">
        <f t="shared" si="51"/>
        <v>7.4</v>
      </c>
      <c r="I204" s="426">
        <f t="shared" si="52"/>
        <v>10.496453900709222</v>
      </c>
      <c r="J204" s="442" t="str">
        <f t="shared" si="53"/>
        <v>No</v>
      </c>
      <c r="K204" s="31">
        <f t="shared" si="54"/>
        <v>11.25</v>
      </c>
      <c r="L204" s="426">
        <f t="shared" si="55"/>
        <v>15.957446808510639</v>
      </c>
      <c r="M204" s="442" t="str">
        <f t="shared" si="56"/>
        <v>No</v>
      </c>
      <c r="N204" s="442" t="str">
        <f t="shared" si="57"/>
        <v>No</v>
      </c>
      <c r="O204" s="4">
        <f t="shared" ref="O204:O213" si="58">IF(I204&lt;=$I$217,1,IF(I204&gt;1.03*($I$215/$I$216)^0.5,0.69*$I$215/$I$216/(I204^2),1.415-0.74*I204*($I$216/$I$215)^0.5))</f>
        <v>1</v>
      </c>
      <c r="S204" s="2"/>
      <c r="T204" s="2"/>
      <c r="U204" s="2"/>
      <c r="V204" s="3">
        <v>443</v>
      </c>
      <c r="W204" s="3">
        <v>59.5</v>
      </c>
      <c r="X204" s="3">
        <v>3.59</v>
      </c>
      <c r="Y204" s="3">
        <v>91.4</v>
      </c>
      <c r="Z204" s="2"/>
      <c r="AA204" s="2"/>
    </row>
    <row r="205" spans="2:27" hidden="1">
      <c r="B205" s="425" t="s">
        <v>519</v>
      </c>
      <c r="C205" s="424">
        <v>13.8</v>
      </c>
      <c r="D205" s="424">
        <v>0.61499999999999999</v>
      </c>
      <c r="E205" s="424">
        <v>14.7</v>
      </c>
      <c r="F205" s="424">
        <v>0.61499999999999999</v>
      </c>
      <c r="G205" s="435">
        <v>11.25</v>
      </c>
      <c r="H205" s="33">
        <f t="shared" si="51"/>
        <v>7.35</v>
      </c>
      <c r="I205" s="426">
        <f t="shared" si="52"/>
        <v>11.951219512195122</v>
      </c>
      <c r="J205" s="442" t="str">
        <f t="shared" si="53"/>
        <v>No</v>
      </c>
      <c r="K205" s="31">
        <f t="shared" si="54"/>
        <v>11.25</v>
      </c>
      <c r="L205" s="426">
        <f t="shared" si="55"/>
        <v>18.292682926829269</v>
      </c>
      <c r="M205" s="442" t="str">
        <f t="shared" si="56"/>
        <v>No</v>
      </c>
      <c r="N205" s="442" t="str">
        <f t="shared" si="57"/>
        <v>No</v>
      </c>
      <c r="O205" s="4">
        <f t="shared" si="58"/>
        <v>1</v>
      </c>
      <c r="S205" s="2"/>
      <c r="T205" s="2"/>
      <c r="U205" s="2"/>
      <c r="V205" s="3">
        <v>380</v>
      </c>
      <c r="W205" s="3">
        <v>51.4</v>
      </c>
      <c r="X205" s="3">
        <v>3.56</v>
      </c>
      <c r="Y205" s="3">
        <v>78.8</v>
      </c>
      <c r="Z205" s="2"/>
      <c r="AA205" s="2"/>
    </row>
    <row r="206" spans="2:27" hidden="1">
      <c r="B206" s="425" t="s">
        <v>111</v>
      </c>
      <c r="C206" s="424">
        <v>13.6</v>
      </c>
      <c r="D206" s="424">
        <v>0.505</v>
      </c>
      <c r="E206" s="424">
        <v>14.6</v>
      </c>
      <c r="F206" s="424">
        <v>0.505</v>
      </c>
      <c r="G206" s="435">
        <v>11.25</v>
      </c>
      <c r="H206" s="33">
        <f t="shared" si="51"/>
        <v>7.3</v>
      </c>
      <c r="I206" s="426">
        <f t="shared" si="52"/>
        <v>14.455445544554456</v>
      </c>
      <c r="J206" s="442" t="str">
        <f t="shared" si="53"/>
        <v>No</v>
      </c>
      <c r="K206" s="31">
        <f t="shared" si="54"/>
        <v>11.25</v>
      </c>
      <c r="L206" s="426">
        <f t="shared" si="55"/>
        <v>22.277227722772277</v>
      </c>
      <c r="M206" s="442" t="str">
        <f t="shared" si="56"/>
        <v>No</v>
      </c>
      <c r="N206" s="442" t="str">
        <f t="shared" si="57"/>
        <v>No</v>
      </c>
      <c r="O206" s="4">
        <f t="shared" si="58"/>
        <v>1</v>
      </c>
      <c r="S206" s="2"/>
      <c r="T206" s="2"/>
      <c r="U206" s="2"/>
      <c r="V206" s="3">
        <v>326</v>
      </c>
      <c r="W206" s="3">
        <v>44.3</v>
      </c>
      <c r="X206" s="3">
        <v>3.53</v>
      </c>
      <c r="Y206" s="3">
        <v>67.7</v>
      </c>
      <c r="Z206" s="2"/>
      <c r="AA206" s="2"/>
    </row>
    <row r="207" spans="2:27" hidden="1">
      <c r="B207" s="425" t="s">
        <v>112</v>
      </c>
      <c r="C207" s="424">
        <v>12.3</v>
      </c>
      <c r="D207" s="424">
        <v>0.68500000000000005</v>
      </c>
      <c r="E207" s="424">
        <v>12.3</v>
      </c>
      <c r="F207" s="424">
        <v>0.68500000000000005</v>
      </c>
      <c r="G207" s="435">
        <v>9.5</v>
      </c>
      <c r="H207" s="33">
        <f t="shared" si="51"/>
        <v>6.15</v>
      </c>
      <c r="I207" s="426">
        <f t="shared" si="52"/>
        <v>8.9781021897810209</v>
      </c>
      <c r="J207" s="442" t="str">
        <f t="shared" si="53"/>
        <v>No</v>
      </c>
      <c r="K207" s="31">
        <f t="shared" si="54"/>
        <v>9.5</v>
      </c>
      <c r="L207" s="426">
        <f t="shared" si="55"/>
        <v>13.868613138686131</v>
      </c>
      <c r="M207" s="442" t="str">
        <f t="shared" si="56"/>
        <v>No</v>
      </c>
      <c r="N207" s="442" t="str">
        <f t="shared" si="57"/>
        <v>No</v>
      </c>
      <c r="O207" s="4">
        <f t="shared" si="58"/>
        <v>1</v>
      </c>
      <c r="S207" s="2"/>
      <c r="T207" s="2"/>
      <c r="U207" s="2"/>
      <c r="V207" s="3">
        <v>261</v>
      </c>
      <c r="W207" s="3">
        <v>35.799999999999997</v>
      </c>
      <c r="X207" s="3">
        <v>3.49</v>
      </c>
      <c r="Y207" s="3">
        <v>54.6</v>
      </c>
      <c r="Z207" s="2"/>
      <c r="AA207" s="2"/>
    </row>
    <row r="208" spans="2:27" hidden="1">
      <c r="B208" s="425" t="s">
        <v>113</v>
      </c>
      <c r="C208" s="424">
        <v>12.1</v>
      </c>
      <c r="D208" s="424">
        <v>0.60499999999999998</v>
      </c>
      <c r="E208" s="424">
        <v>12.2</v>
      </c>
      <c r="F208" s="428">
        <v>0.61</v>
      </c>
      <c r="G208" s="435">
        <v>9.5</v>
      </c>
      <c r="H208" s="33">
        <f t="shared" si="51"/>
        <v>6.1</v>
      </c>
      <c r="I208" s="426">
        <f t="shared" si="52"/>
        <v>10</v>
      </c>
      <c r="J208" s="442" t="str">
        <f t="shared" si="53"/>
        <v>No</v>
      </c>
      <c r="K208" s="31">
        <f t="shared" si="54"/>
        <v>9.5</v>
      </c>
      <c r="L208" s="426">
        <f t="shared" si="55"/>
        <v>15.702479338842975</v>
      </c>
      <c r="M208" s="442" t="str">
        <f t="shared" si="56"/>
        <v>No</v>
      </c>
      <c r="N208" s="442" t="str">
        <f t="shared" si="57"/>
        <v>No</v>
      </c>
      <c r="O208" s="4">
        <f t="shared" si="58"/>
        <v>1</v>
      </c>
      <c r="S208" s="2"/>
      <c r="T208" s="2"/>
      <c r="U208" s="2"/>
      <c r="V208" s="3">
        <v>213</v>
      </c>
      <c r="W208" s="3">
        <v>34.6</v>
      </c>
      <c r="X208" s="3">
        <v>2.94</v>
      </c>
      <c r="Y208" s="3">
        <v>53.2</v>
      </c>
      <c r="Z208" s="2"/>
      <c r="AA208" s="2"/>
    </row>
    <row r="209" spans="2:27" hidden="1">
      <c r="B209" s="425" t="s">
        <v>114</v>
      </c>
      <c r="C209" s="424">
        <v>11.9</v>
      </c>
      <c r="D209" s="424">
        <v>0.51500000000000001</v>
      </c>
      <c r="E209" s="424">
        <v>12.1</v>
      </c>
      <c r="F209" s="424">
        <v>0.51500000000000001</v>
      </c>
      <c r="G209" s="435">
        <v>9.5</v>
      </c>
      <c r="H209" s="33">
        <f t="shared" si="51"/>
        <v>6.05</v>
      </c>
      <c r="I209" s="426">
        <f t="shared" si="52"/>
        <v>11.74757281553398</v>
      </c>
      <c r="J209" s="442" t="str">
        <f t="shared" si="53"/>
        <v>No</v>
      </c>
      <c r="K209" s="31">
        <f t="shared" si="54"/>
        <v>9.5</v>
      </c>
      <c r="L209" s="426">
        <f t="shared" si="55"/>
        <v>18.446601941747574</v>
      </c>
      <c r="M209" s="442" t="str">
        <f t="shared" si="56"/>
        <v>No</v>
      </c>
      <c r="N209" s="442" t="str">
        <f t="shared" si="57"/>
        <v>No</v>
      </c>
      <c r="O209" s="4">
        <f t="shared" si="58"/>
        <v>1</v>
      </c>
      <c r="S209" s="2"/>
      <c r="T209" s="2"/>
      <c r="U209" s="2"/>
      <c r="V209" s="3">
        <v>186</v>
      </c>
      <c r="W209" s="3">
        <v>30.4</v>
      </c>
      <c r="X209" s="3">
        <v>2.92</v>
      </c>
      <c r="Y209" s="3">
        <v>46.6</v>
      </c>
      <c r="Z209" s="2"/>
      <c r="AA209" s="2"/>
    </row>
    <row r="210" spans="2:27" hidden="1">
      <c r="B210" s="425" t="s">
        <v>115</v>
      </c>
      <c r="C210" s="424">
        <v>11.8</v>
      </c>
      <c r="D210" s="424">
        <v>0.435</v>
      </c>
      <c r="E210" s="427">
        <v>12</v>
      </c>
      <c r="F210" s="424">
        <v>0.435</v>
      </c>
      <c r="G210" s="435">
        <v>9.5</v>
      </c>
      <c r="H210" s="33">
        <f t="shared" si="51"/>
        <v>6</v>
      </c>
      <c r="I210" s="426">
        <f t="shared" si="52"/>
        <v>13.793103448275863</v>
      </c>
      <c r="J210" s="442" t="str">
        <f t="shared" si="53"/>
        <v>No</v>
      </c>
      <c r="K210" s="31">
        <f t="shared" si="54"/>
        <v>9.5</v>
      </c>
      <c r="L210" s="426">
        <f t="shared" si="55"/>
        <v>21.839080459770116</v>
      </c>
      <c r="M210" s="442" t="str">
        <f t="shared" si="56"/>
        <v>No</v>
      </c>
      <c r="N210" s="442" t="str">
        <f t="shared" si="57"/>
        <v>No</v>
      </c>
      <c r="O210" s="4">
        <f t="shared" si="58"/>
        <v>1</v>
      </c>
      <c r="S210" s="2"/>
      <c r="T210" s="2"/>
      <c r="U210" s="2"/>
      <c r="V210" s="3">
        <v>153</v>
      </c>
      <c r="W210" s="3">
        <v>25.3</v>
      </c>
      <c r="X210" s="3">
        <v>2.88</v>
      </c>
      <c r="Y210" s="3">
        <v>38.700000000000003</v>
      </c>
      <c r="Z210" s="2"/>
      <c r="AA210" s="2"/>
    </row>
    <row r="211" spans="2:27" hidden="1">
      <c r="B211" s="425" t="s">
        <v>116</v>
      </c>
      <c r="C211" s="424">
        <v>9.99</v>
      </c>
      <c r="D211" s="424">
        <v>0.56499999999999995</v>
      </c>
      <c r="E211" s="424">
        <v>10.199999999999999</v>
      </c>
      <c r="F211" s="424">
        <v>0.56499999999999995</v>
      </c>
      <c r="G211" s="435">
        <v>7.5</v>
      </c>
      <c r="H211" s="33">
        <f t="shared" si="51"/>
        <v>5.0999999999999996</v>
      </c>
      <c r="I211" s="426">
        <f t="shared" si="52"/>
        <v>9.0265486725663724</v>
      </c>
      <c r="J211" s="442" t="str">
        <f t="shared" si="53"/>
        <v>No</v>
      </c>
      <c r="K211" s="31">
        <f t="shared" si="54"/>
        <v>7.5</v>
      </c>
      <c r="L211" s="426">
        <f t="shared" si="55"/>
        <v>13.274336283185843</v>
      </c>
      <c r="M211" s="442" t="str">
        <f t="shared" si="56"/>
        <v>No</v>
      </c>
      <c r="N211" s="442" t="str">
        <f t="shared" si="57"/>
        <v>No</v>
      </c>
      <c r="O211" s="4">
        <f t="shared" si="58"/>
        <v>1</v>
      </c>
      <c r="S211" s="2"/>
      <c r="T211" s="2"/>
      <c r="U211" s="2"/>
      <c r="V211" s="3">
        <v>127</v>
      </c>
      <c r="W211" s="3">
        <v>21.1</v>
      </c>
      <c r="X211" s="3">
        <v>2.86</v>
      </c>
      <c r="Y211" s="3">
        <v>32.200000000000003</v>
      </c>
      <c r="Z211" s="2"/>
      <c r="AA211" s="2"/>
    </row>
    <row r="212" spans="2:27" hidden="1">
      <c r="B212" s="425" t="s">
        <v>117</v>
      </c>
      <c r="C212" s="426">
        <v>9.6999999999999993</v>
      </c>
      <c r="D212" s="424">
        <v>0.41499999999999998</v>
      </c>
      <c r="E212" s="424">
        <v>10.1</v>
      </c>
      <c r="F212" s="428">
        <v>0.42</v>
      </c>
      <c r="G212" s="435">
        <v>7.5</v>
      </c>
      <c r="H212" s="33">
        <f t="shared" si="51"/>
        <v>5.05</v>
      </c>
      <c r="I212" s="426">
        <f t="shared" si="52"/>
        <v>12.023809523809524</v>
      </c>
      <c r="J212" s="442" t="str">
        <f t="shared" si="53"/>
        <v>No</v>
      </c>
      <c r="K212" s="31">
        <f t="shared" si="54"/>
        <v>7.5</v>
      </c>
      <c r="L212" s="426">
        <f t="shared" si="55"/>
        <v>18.072289156626507</v>
      </c>
      <c r="M212" s="442" t="str">
        <f t="shared" si="56"/>
        <v>No</v>
      </c>
      <c r="N212" s="442" t="str">
        <f t="shared" si="57"/>
        <v>No</v>
      </c>
      <c r="O212" s="4">
        <f t="shared" si="58"/>
        <v>1</v>
      </c>
      <c r="S212" s="2"/>
      <c r="T212" s="2"/>
      <c r="U212" s="2"/>
      <c r="V212" s="3">
        <v>101</v>
      </c>
      <c r="W212" s="3">
        <v>19.7</v>
      </c>
      <c r="X212" s="3">
        <v>2.4500000000000002</v>
      </c>
      <c r="Y212" s="3">
        <v>30.3</v>
      </c>
      <c r="Z212" s="2"/>
      <c r="AA212" s="2"/>
    </row>
    <row r="213" spans="2:27" ht="13.15" hidden="1" thickBot="1">
      <c r="B213" s="429" t="s">
        <v>118</v>
      </c>
      <c r="C213" s="430">
        <v>8.02</v>
      </c>
      <c r="D213" s="430">
        <v>0.44500000000000001</v>
      </c>
      <c r="E213" s="430">
        <v>8.16</v>
      </c>
      <c r="F213" s="430">
        <v>0.44500000000000001</v>
      </c>
      <c r="G213" s="408">
        <v>5.75</v>
      </c>
      <c r="H213" s="443">
        <f t="shared" si="51"/>
        <v>4.08</v>
      </c>
      <c r="I213" s="431">
        <f t="shared" si="52"/>
        <v>9.1685393258426959</v>
      </c>
      <c r="J213" s="450" t="str">
        <f t="shared" si="53"/>
        <v>No</v>
      </c>
      <c r="K213" s="438">
        <f t="shared" si="54"/>
        <v>5.75</v>
      </c>
      <c r="L213" s="431">
        <f t="shared" si="55"/>
        <v>12.921348314606741</v>
      </c>
      <c r="M213" s="450" t="str">
        <f t="shared" si="56"/>
        <v>No</v>
      </c>
      <c r="N213" s="450" t="str">
        <f t="shared" si="57"/>
        <v>No</v>
      </c>
      <c r="O213" s="4">
        <f t="shared" si="58"/>
        <v>1</v>
      </c>
      <c r="S213" s="2"/>
      <c r="T213" s="2"/>
      <c r="U213" s="2"/>
      <c r="V213" s="3">
        <v>71.7</v>
      </c>
      <c r="W213" s="3">
        <v>14.2</v>
      </c>
      <c r="X213" s="3">
        <v>2.41</v>
      </c>
      <c r="Y213" s="3">
        <v>21.8</v>
      </c>
      <c r="Z213" s="2"/>
      <c r="AA213" s="2"/>
    </row>
    <row r="214" spans="2:27" hidden="1">
      <c r="B214" s="451"/>
      <c r="C214" s="36"/>
      <c r="D214" s="36"/>
      <c r="E214" s="451"/>
      <c r="F214" s="36"/>
      <c r="G214" s="452" t="s">
        <v>197</v>
      </c>
      <c r="H214" s="461" t="s">
        <v>194</v>
      </c>
      <c r="I214" s="393">
        <v>0.56000000000000005</v>
      </c>
      <c r="J214" s="64"/>
      <c r="K214" s="452" t="s">
        <v>194</v>
      </c>
      <c r="L214" s="393">
        <v>1.49</v>
      </c>
      <c r="M214" s="64"/>
      <c r="N214" s="64"/>
      <c r="R214" s="2"/>
      <c r="S214" s="2"/>
      <c r="T214" s="2"/>
      <c r="U214" s="2"/>
      <c r="V214" s="3">
        <v>40.299999999999997</v>
      </c>
      <c r="W214" s="3">
        <v>9.8800000000000008</v>
      </c>
      <c r="X214" s="3">
        <v>1.95</v>
      </c>
      <c r="Y214" s="3">
        <v>15.2</v>
      </c>
      <c r="Z214" s="2"/>
      <c r="AA214" s="2"/>
    </row>
    <row r="215" spans="2:27" hidden="1">
      <c r="B215" s="453"/>
      <c r="C215" s="17"/>
      <c r="D215" s="17"/>
      <c r="E215" s="453"/>
      <c r="F215" s="17"/>
      <c r="G215" s="17"/>
      <c r="H215" s="462" t="s">
        <v>195</v>
      </c>
      <c r="I215" s="29">
        <v>29000</v>
      </c>
      <c r="J215" s="454" t="s">
        <v>829</v>
      </c>
      <c r="K215" s="71" t="s">
        <v>195</v>
      </c>
      <c r="L215" s="29">
        <v>29000</v>
      </c>
      <c r="M215" s="454" t="s">
        <v>829</v>
      </c>
      <c r="N215" s="464"/>
      <c r="R215" s="2"/>
      <c r="S215" s="2"/>
      <c r="T215" s="2"/>
      <c r="U215" s="2"/>
      <c r="V215" s="2"/>
      <c r="W215" s="2"/>
      <c r="X215" s="2"/>
      <c r="Y215" s="2"/>
      <c r="Z215" s="2"/>
      <c r="AA215" s="2"/>
    </row>
    <row r="216" spans="2:27" hidden="1">
      <c r="B216" s="453"/>
      <c r="C216" s="17"/>
      <c r="D216" s="17"/>
      <c r="E216" s="453"/>
      <c r="F216" s="17"/>
      <c r="G216" s="17"/>
      <c r="H216" s="462" t="s">
        <v>196</v>
      </c>
      <c r="I216" s="29">
        <v>36</v>
      </c>
      <c r="J216" s="454" t="s">
        <v>829</v>
      </c>
      <c r="K216" s="71" t="s">
        <v>196</v>
      </c>
      <c r="L216" s="29">
        <v>36</v>
      </c>
      <c r="M216" s="454" t="s">
        <v>829</v>
      </c>
      <c r="N216" s="464"/>
      <c r="R216" s="2"/>
      <c r="S216" s="2"/>
      <c r="T216" s="2"/>
      <c r="U216" s="2"/>
      <c r="V216" s="2"/>
      <c r="W216" s="2"/>
      <c r="X216" s="2"/>
      <c r="Y216" s="2"/>
      <c r="Z216" s="2"/>
      <c r="AA216" s="2"/>
    </row>
    <row r="217" spans="2:27" ht="13.15" hidden="1" thickBot="1">
      <c r="B217" s="455"/>
      <c r="C217" s="456"/>
      <c r="D217" s="456"/>
      <c r="E217" s="455"/>
      <c r="F217" s="456"/>
      <c r="G217" s="457" t="s">
        <v>198</v>
      </c>
      <c r="H217" s="463" t="s">
        <v>202</v>
      </c>
      <c r="I217" s="459">
        <f>I214*(I215/I216)^0.5</f>
        <v>15.89409394153131</v>
      </c>
      <c r="J217" s="460"/>
      <c r="K217" s="458" t="s">
        <v>202</v>
      </c>
      <c r="L217" s="459">
        <f>L214*(L215/L216)^0.5</f>
        <v>42.289642808717232</v>
      </c>
      <c r="M217" s="460"/>
      <c r="N217" s="460"/>
      <c r="R217" s="2"/>
      <c r="S217" s="2"/>
      <c r="T217" s="2"/>
      <c r="U217" s="2"/>
      <c r="V217" s="2"/>
      <c r="W217" s="2"/>
      <c r="X217" s="2"/>
      <c r="Y217" s="2"/>
      <c r="Z217" s="2"/>
      <c r="AA217" s="2"/>
    </row>
    <row r="218" spans="2:27" hidden="1">
      <c r="B218" s="646" t="s">
        <v>872</v>
      </c>
      <c r="C218" s="647"/>
      <c r="D218" s="647"/>
      <c r="E218" s="647"/>
      <c r="F218" s="647"/>
      <c r="G218" s="630"/>
      <c r="H218" s="421"/>
      <c r="I218" s="422" t="s">
        <v>200</v>
      </c>
      <c r="J218" s="439"/>
      <c r="K218" s="437"/>
      <c r="L218" s="422" t="s">
        <v>201</v>
      </c>
      <c r="M218" s="444"/>
      <c r="N218" s="446" t="s">
        <v>204</v>
      </c>
      <c r="S218" s="2"/>
      <c r="T218" s="2"/>
      <c r="U218" s="2"/>
      <c r="V218" s="2"/>
      <c r="W218" s="2"/>
      <c r="X218" s="2"/>
      <c r="Y218" s="2"/>
      <c r="Z218" s="2"/>
      <c r="AA218" s="2"/>
    </row>
    <row r="219" spans="2:27" ht="15" hidden="1">
      <c r="B219" s="423" t="s">
        <v>119</v>
      </c>
      <c r="C219" s="424" t="s">
        <v>123</v>
      </c>
      <c r="D219" s="424" t="s">
        <v>130</v>
      </c>
      <c r="E219" s="424" t="s">
        <v>129</v>
      </c>
      <c r="F219" s="424" t="s">
        <v>128</v>
      </c>
      <c r="G219" s="435" t="s">
        <v>203</v>
      </c>
      <c r="H219" s="440" t="s">
        <v>191</v>
      </c>
      <c r="I219" s="424" t="s">
        <v>192</v>
      </c>
      <c r="J219" s="441"/>
      <c r="K219" s="30" t="s">
        <v>191</v>
      </c>
      <c r="L219" s="424" t="s">
        <v>192</v>
      </c>
      <c r="M219" s="445"/>
      <c r="N219" s="447" t="s">
        <v>205</v>
      </c>
      <c r="S219" s="2"/>
      <c r="T219" s="2"/>
      <c r="U219" s="2"/>
      <c r="V219" s="2"/>
      <c r="W219" s="2"/>
      <c r="X219" s="2"/>
      <c r="Y219" s="2"/>
      <c r="Z219" s="2"/>
      <c r="AA219" s="2"/>
    </row>
    <row r="220" spans="2:27" ht="13.15" hidden="1" thickBot="1">
      <c r="B220" s="449" t="s">
        <v>121</v>
      </c>
      <c r="C220" s="430" t="s">
        <v>516</v>
      </c>
      <c r="D220" s="430" t="s">
        <v>516</v>
      </c>
      <c r="E220" s="430" t="s">
        <v>516</v>
      </c>
      <c r="F220" s="430" t="s">
        <v>516</v>
      </c>
      <c r="G220" s="408" t="s">
        <v>516</v>
      </c>
      <c r="H220" s="406" t="s">
        <v>516</v>
      </c>
      <c r="I220" s="430" t="s">
        <v>193</v>
      </c>
      <c r="J220" s="407" t="s">
        <v>199</v>
      </c>
      <c r="K220" s="409" t="s">
        <v>516</v>
      </c>
      <c r="L220" s="430" t="s">
        <v>193</v>
      </c>
      <c r="M220" s="408" t="s">
        <v>199</v>
      </c>
      <c r="N220" s="448" t="s">
        <v>199</v>
      </c>
      <c r="S220" s="2"/>
      <c r="T220" s="2"/>
      <c r="U220" s="2"/>
      <c r="V220" s="2"/>
      <c r="W220" s="2"/>
      <c r="X220" s="2"/>
      <c r="Y220" s="2"/>
      <c r="Z220" s="2"/>
      <c r="AA220" s="2"/>
    </row>
    <row r="221" spans="2:27" hidden="1">
      <c r="B221" s="432" t="s">
        <v>109</v>
      </c>
      <c r="C221" s="433">
        <f t="shared" ref="C221:F231" si="59">C203-2/16</f>
        <v>14.074999999999999</v>
      </c>
      <c r="D221" s="433">
        <f t="shared" si="59"/>
        <v>0.68</v>
      </c>
      <c r="E221" s="433">
        <f t="shared" si="59"/>
        <v>14.775</v>
      </c>
      <c r="F221" s="433">
        <f t="shared" si="59"/>
        <v>0.68</v>
      </c>
      <c r="G221" s="436">
        <v>11.25</v>
      </c>
      <c r="H221" s="401">
        <f t="shared" ref="H221:H231" si="60">E221/2</f>
        <v>7.3875000000000002</v>
      </c>
      <c r="I221" s="434">
        <f t="shared" ref="I221:I231" si="61">H221/F221</f>
        <v>10.863970588235293</v>
      </c>
      <c r="J221" s="442" t="str">
        <f t="shared" ref="J221:J231" si="62">IF($I$217&gt;I221,"No","Yes")</f>
        <v>No</v>
      </c>
      <c r="K221" s="404">
        <f t="shared" ref="K221:K231" si="63">G221</f>
        <v>11.25</v>
      </c>
      <c r="L221" s="434">
        <f t="shared" ref="L221:L231" si="64">K221/D221</f>
        <v>16.544117647058822</v>
      </c>
      <c r="M221" s="442" t="str">
        <f t="shared" ref="M221:M231" si="65">IF($L$217&gt;L221,"No","Yes")</f>
        <v>No</v>
      </c>
      <c r="N221" s="442" t="str">
        <f t="shared" ref="N221:N231" si="66">IF(AND(J221="No",M221="No"),"No","Yes")</f>
        <v>No</v>
      </c>
      <c r="O221" s="4">
        <f>IF(I221&lt;=$I$217,1,IF(I221&gt;1.03*($I$215/$I$216)^0.5,0.69*$I$215/$I$216/(I221^2),1.415-0.74*I221*($I$216/$I$215)^0.5))</f>
        <v>1</v>
      </c>
      <c r="S221" s="2"/>
      <c r="T221" s="2"/>
      <c r="U221" s="2"/>
      <c r="V221" s="2"/>
      <c r="W221" s="2"/>
      <c r="X221" s="2"/>
      <c r="Y221" s="2"/>
      <c r="Z221" s="2"/>
      <c r="AA221" s="2"/>
    </row>
    <row r="222" spans="2:27" hidden="1">
      <c r="B222" s="425" t="s">
        <v>110</v>
      </c>
      <c r="C222" s="427">
        <f t="shared" si="59"/>
        <v>13.875</v>
      </c>
      <c r="D222" s="424">
        <f t="shared" si="59"/>
        <v>0.57999999999999996</v>
      </c>
      <c r="E222" s="424">
        <f t="shared" si="59"/>
        <v>14.675000000000001</v>
      </c>
      <c r="F222" s="424">
        <f t="shared" si="59"/>
        <v>0.57999999999999996</v>
      </c>
      <c r="G222" s="435">
        <v>11.25</v>
      </c>
      <c r="H222" s="33">
        <f t="shared" si="60"/>
        <v>7.3375000000000004</v>
      </c>
      <c r="I222" s="426">
        <f t="shared" si="61"/>
        <v>12.65086206896552</v>
      </c>
      <c r="J222" s="442" t="str">
        <f t="shared" si="62"/>
        <v>No</v>
      </c>
      <c r="K222" s="31">
        <f t="shared" si="63"/>
        <v>11.25</v>
      </c>
      <c r="L222" s="426">
        <f t="shared" si="64"/>
        <v>19.396551724137932</v>
      </c>
      <c r="M222" s="442" t="str">
        <f t="shared" si="65"/>
        <v>No</v>
      </c>
      <c r="N222" s="442" t="str">
        <f t="shared" si="66"/>
        <v>No</v>
      </c>
      <c r="O222" s="4">
        <f t="shared" ref="O222:O231" si="67">IF(I222&lt;=$I$217,1,IF(I222&gt;1.03*($I$215/$I$216)^0.5,0.69*$I$215/$I$216/(I222^2),1.415-0.74*I222*($I$216/$I$215)^0.5))</f>
        <v>1</v>
      </c>
      <c r="S222" s="2"/>
      <c r="T222" s="2"/>
      <c r="U222" s="2"/>
      <c r="V222" s="2"/>
      <c r="W222" s="2"/>
      <c r="X222" s="2"/>
      <c r="Y222" s="2"/>
      <c r="Z222" s="2"/>
      <c r="AA222" s="2"/>
    </row>
    <row r="223" spans="2:27" hidden="1">
      <c r="B223" s="425" t="s">
        <v>519</v>
      </c>
      <c r="C223" s="424">
        <f t="shared" si="59"/>
        <v>13.675000000000001</v>
      </c>
      <c r="D223" s="424">
        <f t="shared" si="59"/>
        <v>0.49</v>
      </c>
      <c r="E223" s="424">
        <f t="shared" si="59"/>
        <v>14.574999999999999</v>
      </c>
      <c r="F223" s="424">
        <f t="shared" si="59"/>
        <v>0.49</v>
      </c>
      <c r="G223" s="435">
        <v>11.25</v>
      </c>
      <c r="H223" s="33">
        <f t="shared" si="60"/>
        <v>7.2874999999999996</v>
      </c>
      <c r="I223" s="426">
        <f t="shared" si="61"/>
        <v>14.872448979591836</v>
      </c>
      <c r="J223" s="442" t="str">
        <f t="shared" si="62"/>
        <v>No</v>
      </c>
      <c r="K223" s="31">
        <f t="shared" si="63"/>
        <v>11.25</v>
      </c>
      <c r="L223" s="426">
        <f t="shared" si="64"/>
        <v>22.95918367346939</v>
      </c>
      <c r="M223" s="442" t="str">
        <f t="shared" si="65"/>
        <v>No</v>
      </c>
      <c r="N223" s="442" t="str">
        <f t="shared" si="66"/>
        <v>No</v>
      </c>
      <c r="O223" s="4">
        <f t="shared" si="67"/>
        <v>1</v>
      </c>
      <c r="S223" s="2"/>
      <c r="T223" s="2"/>
      <c r="U223" s="2"/>
      <c r="V223" s="2"/>
      <c r="W223" s="2"/>
      <c r="X223" s="2"/>
      <c r="Y223" s="2"/>
      <c r="Z223" s="2"/>
      <c r="AA223" s="2"/>
    </row>
    <row r="224" spans="2:27" hidden="1">
      <c r="B224" s="425" t="s">
        <v>111</v>
      </c>
      <c r="C224" s="424">
        <f t="shared" si="59"/>
        <v>13.475</v>
      </c>
      <c r="D224" s="424">
        <f t="shared" si="59"/>
        <v>0.38</v>
      </c>
      <c r="E224" s="424">
        <f t="shared" si="59"/>
        <v>14.475</v>
      </c>
      <c r="F224" s="424">
        <f t="shared" si="59"/>
        <v>0.38</v>
      </c>
      <c r="G224" s="435">
        <v>11.25</v>
      </c>
      <c r="H224" s="33">
        <f t="shared" si="60"/>
        <v>7.2374999999999998</v>
      </c>
      <c r="I224" s="426">
        <f t="shared" si="61"/>
        <v>19.046052631578945</v>
      </c>
      <c r="J224" s="442" t="str">
        <f t="shared" si="62"/>
        <v>Yes</v>
      </c>
      <c r="K224" s="31">
        <f t="shared" si="63"/>
        <v>11.25</v>
      </c>
      <c r="L224" s="426">
        <f t="shared" si="64"/>
        <v>29.605263157894736</v>
      </c>
      <c r="M224" s="442" t="str">
        <f t="shared" si="65"/>
        <v>No</v>
      </c>
      <c r="N224" s="442" t="str">
        <f t="shared" si="66"/>
        <v>Yes</v>
      </c>
      <c r="O224" s="4">
        <f t="shared" si="67"/>
        <v>0.91842031200012531</v>
      </c>
      <c r="S224" s="2"/>
      <c r="T224" s="2"/>
      <c r="U224" s="2"/>
      <c r="V224" s="2"/>
      <c r="W224" s="2"/>
      <c r="X224" s="2"/>
      <c r="Y224" s="2"/>
      <c r="Z224" s="2"/>
      <c r="AA224" s="2"/>
    </row>
    <row r="225" spans="2:27" hidden="1">
      <c r="B225" s="425" t="s">
        <v>112</v>
      </c>
      <c r="C225" s="424">
        <f t="shared" si="59"/>
        <v>12.175000000000001</v>
      </c>
      <c r="D225" s="424">
        <f t="shared" si="59"/>
        <v>0.56000000000000005</v>
      </c>
      <c r="E225" s="424">
        <f t="shared" si="59"/>
        <v>12.175000000000001</v>
      </c>
      <c r="F225" s="424">
        <f t="shared" si="59"/>
        <v>0.56000000000000005</v>
      </c>
      <c r="G225" s="435">
        <v>9.5</v>
      </c>
      <c r="H225" s="33">
        <f t="shared" si="60"/>
        <v>6.0875000000000004</v>
      </c>
      <c r="I225" s="426">
        <f t="shared" si="61"/>
        <v>10.870535714285714</v>
      </c>
      <c r="J225" s="442" t="str">
        <f t="shared" si="62"/>
        <v>No</v>
      </c>
      <c r="K225" s="31">
        <f t="shared" si="63"/>
        <v>9.5</v>
      </c>
      <c r="L225" s="426">
        <f t="shared" si="64"/>
        <v>16.964285714285712</v>
      </c>
      <c r="M225" s="442" t="str">
        <f t="shared" si="65"/>
        <v>No</v>
      </c>
      <c r="N225" s="442" t="str">
        <f t="shared" si="66"/>
        <v>No</v>
      </c>
      <c r="O225" s="4">
        <f t="shared" si="67"/>
        <v>1</v>
      </c>
      <c r="S225" s="2"/>
      <c r="T225" s="2"/>
      <c r="U225" s="2"/>
      <c r="V225" s="2"/>
      <c r="W225" s="2"/>
      <c r="X225" s="2"/>
      <c r="Y225" s="2"/>
      <c r="Z225" s="2"/>
      <c r="AA225" s="2"/>
    </row>
    <row r="226" spans="2:27" hidden="1">
      <c r="B226" s="425" t="s">
        <v>113</v>
      </c>
      <c r="C226" s="424">
        <f t="shared" si="59"/>
        <v>11.975</v>
      </c>
      <c r="D226" s="424">
        <f t="shared" si="59"/>
        <v>0.48</v>
      </c>
      <c r="E226" s="424">
        <f t="shared" si="59"/>
        <v>12.074999999999999</v>
      </c>
      <c r="F226" s="428">
        <f t="shared" si="59"/>
        <v>0.48499999999999999</v>
      </c>
      <c r="G226" s="435">
        <v>9.5</v>
      </c>
      <c r="H226" s="33">
        <f t="shared" si="60"/>
        <v>6.0374999999999996</v>
      </c>
      <c r="I226" s="426">
        <f t="shared" si="61"/>
        <v>12.448453608247423</v>
      </c>
      <c r="J226" s="442" t="str">
        <f t="shared" si="62"/>
        <v>No</v>
      </c>
      <c r="K226" s="31">
        <f t="shared" si="63"/>
        <v>9.5</v>
      </c>
      <c r="L226" s="426">
        <f t="shared" si="64"/>
        <v>19.791666666666668</v>
      </c>
      <c r="M226" s="442" t="str">
        <f t="shared" si="65"/>
        <v>No</v>
      </c>
      <c r="N226" s="442" t="str">
        <f t="shared" si="66"/>
        <v>No</v>
      </c>
      <c r="O226" s="4">
        <f t="shared" si="67"/>
        <v>1</v>
      </c>
      <c r="S226" s="2"/>
      <c r="T226" s="2"/>
      <c r="U226" s="2"/>
      <c r="V226" s="2"/>
      <c r="W226" s="2"/>
      <c r="X226" s="2"/>
      <c r="Y226" s="2"/>
      <c r="Z226" s="2"/>
      <c r="AA226" s="2"/>
    </row>
    <row r="227" spans="2:27" hidden="1">
      <c r="B227" s="425" t="s">
        <v>114</v>
      </c>
      <c r="C227" s="424">
        <f t="shared" si="59"/>
        <v>11.775</v>
      </c>
      <c r="D227" s="424">
        <f t="shared" si="59"/>
        <v>0.39</v>
      </c>
      <c r="E227" s="424">
        <f t="shared" si="59"/>
        <v>11.975</v>
      </c>
      <c r="F227" s="424">
        <f t="shared" si="59"/>
        <v>0.39</v>
      </c>
      <c r="G227" s="435">
        <v>9.5</v>
      </c>
      <c r="H227" s="33">
        <f t="shared" si="60"/>
        <v>5.9874999999999998</v>
      </c>
      <c r="I227" s="426">
        <f t="shared" si="61"/>
        <v>15.352564102564102</v>
      </c>
      <c r="J227" s="442" t="str">
        <f t="shared" si="62"/>
        <v>No</v>
      </c>
      <c r="K227" s="31">
        <f t="shared" si="63"/>
        <v>9.5</v>
      </c>
      <c r="L227" s="426">
        <f t="shared" si="64"/>
        <v>24.358974358974358</v>
      </c>
      <c r="M227" s="442" t="str">
        <f t="shared" si="65"/>
        <v>No</v>
      </c>
      <c r="N227" s="442" t="str">
        <f t="shared" si="66"/>
        <v>No</v>
      </c>
      <c r="O227" s="4">
        <f t="shared" si="67"/>
        <v>1</v>
      </c>
      <c r="S227" s="2"/>
      <c r="T227" s="2"/>
      <c r="U227" s="2"/>
      <c r="V227" s="2"/>
      <c r="W227" s="2"/>
      <c r="X227" s="2"/>
      <c r="Y227" s="2"/>
      <c r="Z227" s="2"/>
      <c r="AA227" s="2"/>
    </row>
    <row r="228" spans="2:27" hidden="1">
      <c r="B228" s="425" t="s">
        <v>115</v>
      </c>
      <c r="C228" s="424">
        <f t="shared" si="59"/>
        <v>11.675000000000001</v>
      </c>
      <c r="D228" s="424">
        <f t="shared" si="59"/>
        <v>0.31</v>
      </c>
      <c r="E228" s="427">
        <f t="shared" si="59"/>
        <v>11.875</v>
      </c>
      <c r="F228" s="424">
        <f t="shared" si="59"/>
        <v>0.31</v>
      </c>
      <c r="G228" s="435">
        <v>9.5</v>
      </c>
      <c r="H228" s="33">
        <f t="shared" si="60"/>
        <v>5.9375</v>
      </c>
      <c r="I228" s="426">
        <f t="shared" si="61"/>
        <v>19.153225806451612</v>
      </c>
      <c r="J228" s="442" t="str">
        <f t="shared" si="62"/>
        <v>Yes</v>
      </c>
      <c r="K228" s="31">
        <f t="shared" si="63"/>
        <v>9.5</v>
      </c>
      <c r="L228" s="426">
        <f t="shared" si="64"/>
        <v>30.64516129032258</v>
      </c>
      <c r="M228" s="442" t="str">
        <f t="shared" si="65"/>
        <v>No</v>
      </c>
      <c r="N228" s="442" t="str">
        <f t="shared" si="66"/>
        <v>Yes</v>
      </c>
      <c r="O228" s="4">
        <f t="shared" si="67"/>
        <v>0.91562603106592366</v>
      </c>
      <c r="S228" s="2"/>
      <c r="T228" s="2"/>
      <c r="U228" s="2"/>
      <c r="V228" s="2"/>
      <c r="W228" s="2"/>
      <c r="X228" s="2"/>
      <c r="Y228" s="2"/>
      <c r="Z228" s="2"/>
      <c r="AA228" s="2"/>
    </row>
    <row r="229" spans="2:27" hidden="1">
      <c r="B229" s="425" t="s">
        <v>116</v>
      </c>
      <c r="C229" s="424">
        <f t="shared" si="59"/>
        <v>9.8650000000000002</v>
      </c>
      <c r="D229" s="424">
        <f t="shared" si="59"/>
        <v>0.43999999999999995</v>
      </c>
      <c r="E229" s="424">
        <f t="shared" si="59"/>
        <v>10.074999999999999</v>
      </c>
      <c r="F229" s="424">
        <f t="shared" si="59"/>
        <v>0.43999999999999995</v>
      </c>
      <c r="G229" s="435">
        <v>7.5</v>
      </c>
      <c r="H229" s="33">
        <f t="shared" si="60"/>
        <v>5.0374999999999996</v>
      </c>
      <c r="I229" s="426">
        <f t="shared" si="61"/>
        <v>11.448863636363637</v>
      </c>
      <c r="J229" s="442" t="str">
        <f t="shared" si="62"/>
        <v>No</v>
      </c>
      <c r="K229" s="31">
        <f t="shared" si="63"/>
        <v>7.5</v>
      </c>
      <c r="L229" s="426">
        <f t="shared" si="64"/>
        <v>17.045454545454547</v>
      </c>
      <c r="M229" s="442" t="str">
        <f t="shared" si="65"/>
        <v>No</v>
      </c>
      <c r="N229" s="442" t="str">
        <f t="shared" si="66"/>
        <v>No</v>
      </c>
      <c r="O229" s="4">
        <f t="shared" si="67"/>
        <v>1</v>
      </c>
      <c r="S229" s="2"/>
      <c r="T229" s="2"/>
      <c r="U229" s="2"/>
      <c r="V229" s="2"/>
      <c r="W229" s="2"/>
      <c r="X229" s="2"/>
      <c r="Y229" s="2"/>
      <c r="Z229" s="2"/>
      <c r="AA229" s="2"/>
    </row>
    <row r="230" spans="2:27" hidden="1">
      <c r="B230" s="425" t="s">
        <v>117</v>
      </c>
      <c r="C230" s="426">
        <f t="shared" si="59"/>
        <v>9.5749999999999993</v>
      </c>
      <c r="D230" s="424">
        <f t="shared" si="59"/>
        <v>0.28999999999999998</v>
      </c>
      <c r="E230" s="424">
        <f t="shared" si="59"/>
        <v>9.9749999999999996</v>
      </c>
      <c r="F230" s="428">
        <f t="shared" si="59"/>
        <v>0.29499999999999998</v>
      </c>
      <c r="G230" s="435">
        <v>7.5</v>
      </c>
      <c r="H230" s="33">
        <f t="shared" si="60"/>
        <v>4.9874999999999998</v>
      </c>
      <c r="I230" s="426">
        <f t="shared" si="61"/>
        <v>16.906779661016948</v>
      </c>
      <c r="J230" s="442" t="str">
        <f t="shared" si="62"/>
        <v>Yes</v>
      </c>
      <c r="K230" s="31">
        <f t="shared" si="63"/>
        <v>7.5</v>
      </c>
      <c r="L230" s="426">
        <f t="shared" si="64"/>
        <v>25.862068965517242</v>
      </c>
      <c r="M230" s="442" t="str">
        <f t="shared" si="65"/>
        <v>No</v>
      </c>
      <c r="N230" s="442" t="str">
        <f t="shared" si="66"/>
        <v>Yes</v>
      </c>
      <c r="O230" s="4">
        <f t="shared" si="67"/>
        <v>0.9741966728459881</v>
      </c>
      <c r="S230" s="2"/>
      <c r="T230" s="2"/>
      <c r="U230" s="2"/>
      <c r="V230" s="2"/>
      <c r="W230" s="2"/>
      <c r="X230" s="2"/>
      <c r="Y230" s="2"/>
      <c r="Z230" s="2"/>
      <c r="AA230" s="2"/>
    </row>
    <row r="231" spans="2:27" ht="13.15" hidden="1" thickBot="1">
      <c r="B231" s="429" t="s">
        <v>118</v>
      </c>
      <c r="C231" s="430">
        <f t="shared" si="59"/>
        <v>7.8949999999999996</v>
      </c>
      <c r="D231" s="430">
        <f t="shared" si="59"/>
        <v>0.32</v>
      </c>
      <c r="E231" s="430">
        <f t="shared" si="59"/>
        <v>8.0350000000000001</v>
      </c>
      <c r="F231" s="430">
        <f t="shared" si="59"/>
        <v>0.32</v>
      </c>
      <c r="G231" s="408">
        <v>5.75</v>
      </c>
      <c r="H231" s="443">
        <f t="shared" si="60"/>
        <v>4.0175000000000001</v>
      </c>
      <c r="I231" s="431">
        <f t="shared" si="61"/>
        <v>12.5546875</v>
      </c>
      <c r="J231" s="450" t="str">
        <f t="shared" si="62"/>
        <v>No</v>
      </c>
      <c r="K231" s="438">
        <f t="shared" si="63"/>
        <v>5.75</v>
      </c>
      <c r="L231" s="431">
        <f t="shared" si="64"/>
        <v>17.96875</v>
      </c>
      <c r="M231" s="450" t="str">
        <f t="shared" si="65"/>
        <v>No</v>
      </c>
      <c r="N231" s="450" t="str">
        <f t="shared" si="66"/>
        <v>No</v>
      </c>
      <c r="O231" s="4">
        <f t="shared" si="67"/>
        <v>1</v>
      </c>
      <c r="S231" s="2"/>
      <c r="T231" s="2"/>
      <c r="U231" s="2"/>
      <c r="V231" s="2"/>
      <c r="W231" s="2"/>
      <c r="X231" s="2"/>
      <c r="Y231" s="2"/>
      <c r="Z231" s="2"/>
      <c r="AA231" s="2"/>
    </row>
    <row r="232" spans="2:27" hidden="1">
      <c r="K232" s="1"/>
      <c r="L232" s="1"/>
      <c r="M232" s="3"/>
      <c r="O232" s="1"/>
      <c r="P232" s="3"/>
      <c r="R232" s="2"/>
      <c r="S232" s="2"/>
      <c r="T232" s="2"/>
      <c r="U232" s="2"/>
      <c r="V232" s="2"/>
      <c r="W232" s="2"/>
      <c r="X232" s="2"/>
      <c r="Y232" s="2"/>
      <c r="Z232" s="2"/>
      <c r="AA232" s="2"/>
    </row>
    <row r="233" spans="2:27" ht="13.15" hidden="1" thickBot="1">
      <c r="L233" s="1"/>
      <c r="M233" s="3"/>
      <c r="N233" s="2"/>
      <c r="O233" s="1"/>
      <c r="P233" s="3"/>
      <c r="Q233" s="2"/>
      <c r="R233" s="2"/>
      <c r="S233" s="2"/>
      <c r="T233" s="2"/>
      <c r="U233" s="2"/>
      <c r="V233" s="2"/>
      <c r="W233" s="2"/>
      <c r="X233" s="2"/>
      <c r="Y233" s="2"/>
      <c r="Z233" s="2"/>
      <c r="AA233" s="2"/>
    </row>
    <row r="234" spans="2:27" hidden="1">
      <c r="B234" s="646" t="s">
        <v>873</v>
      </c>
      <c r="C234" s="647"/>
      <c r="D234" s="647"/>
      <c r="E234" s="647"/>
      <c r="F234" s="647"/>
      <c r="G234" s="630"/>
      <c r="H234" s="421"/>
      <c r="I234" s="422" t="s">
        <v>200</v>
      </c>
      <c r="J234" s="439"/>
      <c r="K234" s="437"/>
      <c r="L234" s="422" t="s">
        <v>201</v>
      </c>
      <c r="M234" s="444"/>
      <c r="N234" s="446" t="s">
        <v>204</v>
      </c>
      <c r="O234" s="1"/>
      <c r="P234" s="421"/>
      <c r="Q234" s="566" t="s">
        <v>950</v>
      </c>
      <c r="R234" s="439"/>
      <c r="S234" s="2"/>
      <c r="T234" s="2"/>
      <c r="U234" s="2"/>
      <c r="V234" s="2"/>
      <c r="W234" s="2"/>
      <c r="X234" s="2"/>
      <c r="Y234" s="2"/>
      <c r="Z234" s="2"/>
      <c r="AA234" s="2"/>
    </row>
    <row r="235" spans="2:27" ht="15.4" hidden="1" thickBot="1">
      <c r="B235" s="423" t="s">
        <v>119</v>
      </c>
      <c r="C235" s="424" t="s">
        <v>123</v>
      </c>
      <c r="D235" s="424" t="s">
        <v>130</v>
      </c>
      <c r="E235" s="424" t="s">
        <v>129</v>
      </c>
      <c r="F235" s="424" t="s">
        <v>128</v>
      </c>
      <c r="G235" s="435" t="s">
        <v>203</v>
      </c>
      <c r="H235" s="440" t="s">
        <v>191</v>
      </c>
      <c r="I235" s="424" t="s">
        <v>192</v>
      </c>
      <c r="J235" s="441"/>
      <c r="K235" s="30" t="s">
        <v>191</v>
      </c>
      <c r="L235" s="424" t="s">
        <v>192</v>
      </c>
      <c r="M235" s="445"/>
      <c r="N235" s="447" t="s">
        <v>205</v>
      </c>
      <c r="O235" s="1"/>
      <c r="P235" s="567" t="s">
        <v>947</v>
      </c>
      <c r="Q235" s="477" t="s">
        <v>948</v>
      </c>
      <c r="R235" s="478" t="s">
        <v>949</v>
      </c>
      <c r="S235" s="2"/>
      <c r="T235" s="2"/>
      <c r="U235" s="2"/>
      <c r="V235" s="2"/>
      <c r="W235" s="2"/>
      <c r="X235" s="2"/>
      <c r="Y235" s="2"/>
      <c r="Z235" s="2"/>
      <c r="AA235" s="2"/>
    </row>
    <row r="236" spans="2:27" ht="13.15" hidden="1" thickBot="1">
      <c r="B236" s="449" t="s">
        <v>121</v>
      </c>
      <c r="C236" s="430" t="s">
        <v>516</v>
      </c>
      <c r="D236" s="430" t="s">
        <v>516</v>
      </c>
      <c r="E236" s="430" t="s">
        <v>516</v>
      </c>
      <c r="F236" s="430" t="s">
        <v>516</v>
      </c>
      <c r="G236" s="408" t="s">
        <v>516</v>
      </c>
      <c r="H236" s="406" t="s">
        <v>516</v>
      </c>
      <c r="I236" s="430" t="s">
        <v>193</v>
      </c>
      <c r="J236" s="407" t="s">
        <v>199</v>
      </c>
      <c r="K236" s="409" t="s">
        <v>516</v>
      </c>
      <c r="L236" s="430" t="s">
        <v>193</v>
      </c>
      <c r="M236" s="408" t="s">
        <v>199</v>
      </c>
      <c r="N236" s="448" t="s">
        <v>199</v>
      </c>
      <c r="O236" s="572" t="s">
        <v>955</v>
      </c>
      <c r="P236" s="497"/>
      <c r="Q236" s="488" t="s">
        <v>951</v>
      </c>
      <c r="R236" s="489" t="s">
        <v>952</v>
      </c>
      <c r="S236" s="2"/>
      <c r="T236" s="2"/>
      <c r="U236" s="2"/>
      <c r="V236" s="2"/>
      <c r="W236" s="2"/>
      <c r="X236" s="2"/>
      <c r="Y236" s="2"/>
      <c r="Z236" s="2"/>
      <c r="AA236" s="2"/>
    </row>
    <row r="237" spans="2:27" hidden="1">
      <c r="B237" s="432" t="s">
        <v>109</v>
      </c>
      <c r="C237" s="433">
        <v>14.2</v>
      </c>
      <c r="D237" s="433">
        <v>0.80500000000000005</v>
      </c>
      <c r="E237" s="433">
        <v>14.9</v>
      </c>
      <c r="F237" s="433">
        <v>0.80500000000000005</v>
      </c>
      <c r="G237" s="436">
        <v>11.25</v>
      </c>
      <c r="H237" s="401">
        <f t="shared" ref="H237:H247" si="68">E237/2</f>
        <v>7.45</v>
      </c>
      <c r="I237" s="434">
        <f t="shared" ref="I237:I247" si="69">H237/F237</f>
        <v>9.2546583850931672</v>
      </c>
      <c r="J237" s="442" t="str">
        <f>IF($I$251&gt;I237,"No","Yes")</f>
        <v>No</v>
      </c>
      <c r="K237" s="404">
        <f t="shared" ref="K237:K247" si="70">G237</f>
        <v>11.25</v>
      </c>
      <c r="L237" s="434">
        <f t="shared" ref="L237:L247" si="71">K237/D237</f>
        <v>13.975155279503104</v>
      </c>
      <c r="M237" s="442" t="str">
        <f>IF($L$251&gt;L237,"No","Yes")</f>
        <v>No</v>
      </c>
      <c r="N237" s="442" t="str">
        <f t="shared" ref="N237:N247" si="72">IF(AND(J237="No",M237="No"),"No","Yes")</f>
        <v>No</v>
      </c>
      <c r="O237" s="4">
        <f>IF(I237&lt;=$I$251,1,IF(I237&gt;1.03*($I$249/$I$250)^0.5,0.69*$I$249/$I$250/(I237^2),1.415-0.74*I237*($I$250/$I$249)^0.5))</f>
        <v>1</v>
      </c>
      <c r="P237" s="569">
        <f>E237/(2*F237)</f>
        <v>9.2546583850931672</v>
      </c>
      <c r="Q237" s="422" t="str">
        <f>IF($Q$251&gt;=P237,"Yes","No")</f>
        <v>No</v>
      </c>
      <c r="R237" s="568" t="str">
        <f>IF($T$251&gt;=P237,"Yes","No")</f>
        <v>Yes</v>
      </c>
      <c r="S237" s="2"/>
      <c r="T237" s="2"/>
      <c r="U237" s="2"/>
      <c r="V237" s="2"/>
      <c r="W237" s="2"/>
      <c r="X237" s="2"/>
      <c r="Y237" s="2"/>
      <c r="Z237" s="2"/>
      <c r="AA237" s="2"/>
    </row>
    <row r="238" spans="2:27" hidden="1">
      <c r="B238" s="425" t="s">
        <v>110</v>
      </c>
      <c r="C238" s="427">
        <v>14</v>
      </c>
      <c r="D238" s="424">
        <v>0.70499999999999996</v>
      </c>
      <c r="E238" s="424">
        <v>14.8</v>
      </c>
      <c r="F238" s="424">
        <v>0.70499999999999996</v>
      </c>
      <c r="G238" s="435">
        <v>11.25</v>
      </c>
      <c r="H238" s="33">
        <f t="shared" si="68"/>
        <v>7.4</v>
      </c>
      <c r="I238" s="426">
        <f t="shared" si="69"/>
        <v>10.496453900709222</v>
      </c>
      <c r="J238" s="442" t="str">
        <f t="shared" ref="J238:J247" si="73">IF($I$251&gt;I238,"No","Yes")</f>
        <v>No</v>
      </c>
      <c r="K238" s="31">
        <f t="shared" si="70"/>
        <v>11.25</v>
      </c>
      <c r="L238" s="426">
        <f t="shared" si="71"/>
        <v>15.957446808510639</v>
      </c>
      <c r="M238" s="442" t="str">
        <f t="shared" ref="M238:M246" si="74">IF($L$251&gt;L238,"No","Yes")</f>
        <v>No</v>
      </c>
      <c r="N238" s="442" t="str">
        <f t="shared" si="72"/>
        <v>No</v>
      </c>
      <c r="O238" s="4">
        <f t="shared" ref="O238:O247" si="75">IF(I238&lt;=$I$251,1,IF(I238&gt;1.03*($I$249/$I$250)^0.5,0.69*$I$249/$I$250/(I238^2),1.415-0.74*I238*($I$250/$I$249)^0.5))</f>
        <v>1</v>
      </c>
      <c r="P238" s="570">
        <f t="shared" ref="P238:P247" si="76">E238/(2*F238)</f>
        <v>10.496453900709222</v>
      </c>
      <c r="Q238" s="424" t="str">
        <f t="shared" ref="Q238:Q246" si="77">IF($Q$251&gt;=P238,"Yes","No")</f>
        <v>No</v>
      </c>
      <c r="R238" s="568" t="str">
        <f t="shared" ref="R238:R247" si="78">IF($T$251&gt;=P238,"Yes","No")</f>
        <v>Yes</v>
      </c>
      <c r="S238" s="2"/>
      <c r="T238" s="2"/>
      <c r="U238" s="2"/>
      <c r="V238" s="2"/>
      <c r="W238" s="2"/>
      <c r="X238" s="2"/>
      <c r="Y238" s="2"/>
      <c r="Z238" s="2"/>
      <c r="AA238" s="2"/>
    </row>
    <row r="239" spans="2:27" hidden="1">
      <c r="B239" s="425" t="s">
        <v>519</v>
      </c>
      <c r="C239" s="424">
        <v>13.8</v>
      </c>
      <c r="D239" s="424">
        <v>0.61499999999999999</v>
      </c>
      <c r="E239" s="424">
        <v>14.7</v>
      </c>
      <c r="F239" s="424">
        <v>0.61499999999999999</v>
      </c>
      <c r="G239" s="435">
        <v>11.25</v>
      </c>
      <c r="H239" s="33">
        <f t="shared" si="68"/>
        <v>7.35</v>
      </c>
      <c r="I239" s="426">
        <f t="shared" si="69"/>
        <v>11.951219512195122</v>
      </c>
      <c r="J239" s="442" t="str">
        <f t="shared" si="73"/>
        <v>No</v>
      </c>
      <c r="K239" s="31">
        <f t="shared" si="70"/>
        <v>11.25</v>
      </c>
      <c r="L239" s="426">
        <f t="shared" si="71"/>
        <v>18.292682926829269</v>
      </c>
      <c r="M239" s="442" t="str">
        <f t="shared" si="74"/>
        <v>No</v>
      </c>
      <c r="N239" s="442" t="str">
        <f t="shared" si="72"/>
        <v>No</v>
      </c>
      <c r="O239" s="4">
        <f t="shared" si="75"/>
        <v>1</v>
      </c>
      <c r="P239" s="570">
        <f t="shared" si="76"/>
        <v>11.951219512195122</v>
      </c>
      <c r="Q239" s="424" t="str">
        <f t="shared" si="77"/>
        <v>No</v>
      </c>
      <c r="R239" s="568" t="str">
        <f t="shared" si="78"/>
        <v>Yes</v>
      </c>
      <c r="S239" s="2"/>
      <c r="T239" s="2"/>
      <c r="U239" s="2"/>
      <c r="V239" s="2"/>
      <c r="W239" s="2"/>
      <c r="X239" s="2"/>
      <c r="Y239" s="2"/>
      <c r="Z239" s="2"/>
      <c r="AA239" s="2"/>
    </row>
    <row r="240" spans="2:27" hidden="1">
      <c r="B240" s="425" t="s">
        <v>111</v>
      </c>
      <c r="C240" s="424">
        <v>13.6</v>
      </c>
      <c r="D240" s="424">
        <v>0.505</v>
      </c>
      <c r="E240" s="424">
        <v>14.6</v>
      </c>
      <c r="F240" s="424">
        <v>0.505</v>
      </c>
      <c r="G240" s="435">
        <v>11.25</v>
      </c>
      <c r="H240" s="33">
        <f t="shared" si="68"/>
        <v>7.3</v>
      </c>
      <c r="I240" s="426">
        <f t="shared" si="69"/>
        <v>14.455445544554456</v>
      </c>
      <c r="J240" s="442" t="str">
        <f t="shared" si="73"/>
        <v>Yes</v>
      </c>
      <c r="K240" s="31">
        <f t="shared" si="70"/>
        <v>11.25</v>
      </c>
      <c r="L240" s="426">
        <f t="shared" si="71"/>
        <v>22.277227722772277</v>
      </c>
      <c r="M240" s="442" t="str">
        <f t="shared" si="74"/>
        <v>No</v>
      </c>
      <c r="N240" s="442" t="str">
        <f t="shared" si="72"/>
        <v>Yes</v>
      </c>
      <c r="O240" s="4">
        <f t="shared" si="75"/>
        <v>0.97083001765356114</v>
      </c>
      <c r="P240" s="570">
        <f t="shared" si="76"/>
        <v>14.455445544554456</v>
      </c>
      <c r="Q240" s="424" t="str">
        <f t="shared" si="77"/>
        <v>No</v>
      </c>
      <c r="R240" s="568" t="str">
        <f t="shared" si="78"/>
        <v>Yes</v>
      </c>
      <c r="S240" s="2"/>
      <c r="T240" s="2"/>
      <c r="U240" s="2"/>
      <c r="V240" s="2"/>
      <c r="W240" s="2"/>
      <c r="X240" s="2"/>
      <c r="Y240" s="2"/>
      <c r="Z240" s="2"/>
      <c r="AA240" s="2"/>
    </row>
    <row r="241" spans="2:27" hidden="1">
      <c r="B241" s="425" t="s">
        <v>112</v>
      </c>
      <c r="C241" s="424">
        <v>12.3</v>
      </c>
      <c r="D241" s="424">
        <v>0.68500000000000005</v>
      </c>
      <c r="E241" s="424">
        <v>12.3</v>
      </c>
      <c r="F241" s="424">
        <v>0.68500000000000005</v>
      </c>
      <c r="G241" s="435">
        <v>9.5</v>
      </c>
      <c r="H241" s="33">
        <f t="shared" si="68"/>
        <v>6.15</v>
      </c>
      <c r="I241" s="426">
        <f t="shared" si="69"/>
        <v>8.9781021897810209</v>
      </c>
      <c r="J241" s="442" t="str">
        <f t="shared" si="73"/>
        <v>No</v>
      </c>
      <c r="K241" s="31">
        <f t="shared" si="70"/>
        <v>9.5</v>
      </c>
      <c r="L241" s="426">
        <f t="shared" si="71"/>
        <v>13.868613138686131</v>
      </c>
      <c r="M241" s="442" t="str">
        <f t="shared" si="74"/>
        <v>No</v>
      </c>
      <c r="N241" s="442" t="str">
        <f t="shared" si="72"/>
        <v>No</v>
      </c>
      <c r="O241" s="4">
        <f t="shared" si="75"/>
        <v>1</v>
      </c>
      <c r="P241" s="570">
        <f t="shared" si="76"/>
        <v>8.9781021897810209</v>
      </c>
      <c r="Q241" s="424" t="str">
        <f t="shared" si="77"/>
        <v>Yes</v>
      </c>
      <c r="R241" s="568" t="str">
        <f t="shared" si="78"/>
        <v>Yes</v>
      </c>
      <c r="S241" s="2"/>
      <c r="T241" s="2"/>
      <c r="U241" s="2"/>
      <c r="V241" s="2"/>
      <c r="W241" s="2"/>
      <c r="X241" s="2"/>
      <c r="Y241" s="2"/>
      <c r="Z241" s="2"/>
      <c r="AA241" s="2"/>
    </row>
    <row r="242" spans="2:27" hidden="1">
      <c r="B242" s="425" t="s">
        <v>113</v>
      </c>
      <c r="C242" s="424">
        <v>12.1</v>
      </c>
      <c r="D242" s="424">
        <v>0.60499999999999998</v>
      </c>
      <c r="E242" s="424">
        <v>12.2</v>
      </c>
      <c r="F242" s="428">
        <v>0.61</v>
      </c>
      <c r="G242" s="435">
        <v>9.5</v>
      </c>
      <c r="H242" s="33">
        <f t="shared" si="68"/>
        <v>6.1</v>
      </c>
      <c r="I242" s="426">
        <f t="shared" si="69"/>
        <v>10</v>
      </c>
      <c r="J242" s="442" t="str">
        <f t="shared" si="73"/>
        <v>No</v>
      </c>
      <c r="K242" s="31">
        <f t="shared" si="70"/>
        <v>9.5</v>
      </c>
      <c r="L242" s="426">
        <f t="shared" si="71"/>
        <v>15.702479338842975</v>
      </c>
      <c r="M242" s="442" t="str">
        <f t="shared" si="74"/>
        <v>No</v>
      </c>
      <c r="N242" s="442" t="str">
        <f t="shared" si="72"/>
        <v>No</v>
      </c>
      <c r="O242" s="4">
        <f t="shared" si="75"/>
        <v>1</v>
      </c>
      <c r="P242" s="570">
        <f t="shared" si="76"/>
        <v>10</v>
      </c>
      <c r="Q242" s="424" t="str">
        <f t="shared" si="77"/>
        <v>No</v>
      </c>
      <c r="R242" s="568" t="str">
        <f t="shared" si="78"/>
        <v>Yes</v>
      </c>
      <c r="S242" s="2"/>
      <c r="T242" s="2"/>
      <c r="U242" s="2"/>
      <c r="V242" s="2"/>
      <c r="W242" s="2"/>
      <c r="X242" s="2"/>
      <c r="Y242" s="2"/>
      <c r="Z242" s="2"/>
      <c r="AA242" s="2"/>
    </row>
    <row r="243" spans="2:27" hidden="1">
      <c r="B243" s="425" t="s">
        <v>114</v>
      </c>
      <c r="C243" s="424">
        <v>11.9</v>
      </c>
      <c r="D243" s="424">
        <v>0.51500000000000001</v>
      </c>
      <c r="E243" s="424">
        <v>12.1</v>
      </c>
      <c r="F243" s="424">
        <v>0.51500000000000001</v>
      </c>
      <c r="G243" s="435">
        <v>9.5</v>
      </c>
      <c r="H243" s="33">
        <f t="shared" si="68"/>
        <v>6.05</v>
      </c>
      <c r="I243" s="426">
        <f t="shared" si="69"/>
        <v>11.74757281553398</v>
      </c>
      <c r="J243" s="442" t="str">
        <f t="shared" si="73"/>
        <v>No</v>
      </c>
      <c r="K243" s="31">
        <f t="shared" si="70"/>
        <v>9.5</v>
      </c>
      <c r="L243" s="426">
        <f t="shared" si="71"/>
        <v>18.446601941747574</v>
      </c>
      <c r="M243" s="442" t="str">
        <f t="shared" si="74"/>
        <v>No</v>
      </c>
      <c r="N243" s="442" t="str">
        <f t="shared" si="72"/>
        <v>No</v>
      </c>
      <c r="O243" s="4">
        <f t="shared" si="75"/>
        <v>1</v>
      </c>
      <c r="P243" s="570">
        <f t="shared" si="76"/>
        <v>11.74757281553398</v>
      </c>
      <c r="Q243" s="424" t="str">
        <f t="shared" si="77"/>
        <v>No</v>
      </c>
      <c r="R243" s="568" t="str">
        <f t="shared" si="78"/>
        <v>Yes</v>
      </c>
      <c r="S243" s="2"/>
      <c r="T243" s="2"/>
      <c r="U243" s="2"/>
      <c r="V243" s="2"/>
      <c r="W243" s="2"/>
      <c r="X243" s="2"/>
      <c r="Y243" s="2"/>
      <c r="Z243" s="2"/>
      <c r="AA243" s="2"/>
    </row>
    <row r="244" spans="2:27" hidden="1">
      <c r="B244" s="425" t="s">
        <v>115</v>
      </c>
      <c r="C244" s="424">
        <v>11.8</v>
      </c>
      <c r="D244" s="424">
        <v>0.435</v>
      </c>
      <c r="E244" s="427">
        <v>12</v>
      </c>
      <c r="F244" s="424">
        <v>0.435</v>
      </c>
      <c r="G244" s="435">
        <v>9.5</v>
      </c>
      <c r="H244" s="33">
        <f t="shared" si="68"/>
        <v>6</v>
      </c>
      <c r="I244" s="426">
        <f t="shared" si="69"/>
        <v>13.793103448275863</v>
      </c>
      <c r="J244" s="442" t="str">
        <f t="shared" si="73"/>
        <v>Yes</v>
      </c>
      <c r="K244" s="31">
        <f t="shared" si="70"/>
        <v>9.5</v>
      </c>
      <c r="L244" s="426">
        <f t="shared" si="71"/>
        <v>21.839080459770116</v>
      </c>
      <c r="M244" s="442" t="str">
        <f t="shared" si="74"/>
        <v>No</v>
      </c>
      <c r="N244" s="442" t="str">
        <f t="shared" si="72"/>
        <v>Yes</v>
      </c>
      <c r="O244" s="4">
        <f t="shared" si="75"/>
        <v>0.99118168902229253</v>
      </c>
      <c r="P244" s="570">
        <f t="shared" si="76"/>
        <v>13.793103448275863</v>
      </c>
      <c r="Q244" s="424" t="str">
        <f t="shared" si="77"/>
        <v>No</v>
      </c>
      <c r="R244" s="568" t="str">
        <f t="shared" si="78"/>
        <v>Yes</v>
      </c>
      <c r="S244" s="2"/>
      <c r="T244" s="2"/>
      <c r="U244" s="2"/>
      <c r="V244" s="2"/>
      <c r="W244" s="2"/>
      <c r="X244" s="2"/>
      <c r="Y244" s="2"/>
      <c r="Z244" s="2"/>
      <c r="AA244" s="2"/>
    </row>
    <row r="245" spans="2:27" hidden="1">
      <c r="B245" s="425" t="s">
        <v>116</v>
      </c>
      <c r="C245" s="424">
        <v>9.99</v>
      </c>
      <c r="D245" s="424">
        <v>0.56499999999999995</v>
      </c>
      <c r="E245" s="424">
        <v>10.199999999999999</v>
      </c>
      <c r="F245" s="424">
        <v>0.56499999999999995</v>
      </c>
      <c r="G245" s="435">
        <v>7.5</v>
      </c>
      <c r="H245" s="33">
        <f t="shared" si="68"/>
        <v>5.0999999999999996</v>
      </c>
      <c r="I245" s="426">
        <f t="shared" si="69"/>
        <v>9.0265486725663724</v>
      </c>
      <c r="J245" s="442" t="str">
        <f t="shared" si="73"/>
        <v>No</v>
      </c>
      <c r="K245" s="31">
        <f t="shared" si="70"/>
        <v>7.5</v>
      </c>
      <c r="L245" s="426">
        <f t="shared" si="71"/>
        <v>13.274336283185843</v>
      </c>
      <c r="M245" s="442" t="str">
        <f t="shared" si="74"/>
        <v>No</v>
      </c>
      <c r="N245" s="442" t="str">
        <f t="shared" si="72"/>
        <v>No</v>
      </c>
      <c r="O245" s="4">
        <f t="shared" si="75"/>
        <v>1</v>
      </c>
      <c r="P245" s="570">
        <f t="shared" si="76"/>
        <v>9.0265486725663724</v>
      </c>
      <c r="Q245" s="424" t="str">
        <f t="shared" si="77"/>
        <v>Yes</v>
      </c>
      <c r="R245" s="568" t="str">
        <f t="shared" si="78"/>
        <v>Yes</v>
      </c>
      <c r="S245" s="2"/>
      <c r="T245" s="2"/>
      <c r="U245" s="2"/>
      <c r="V245" s="2"/>
      <c r="W245" s="2"/>
      <c r="X245" s="2"/>
      <c r="Y245" s="2"/>
      <c r="Z245" s="2"/>
      <c r="AA245" s="2"/>
    </row>
    <row r="246" spans="2:27" hidden="1">
      <c r="B246" s="425" t="s">
        <v>117</v>
      </c>
      <c r="C246" s="426">
        <v>9.6999999999999993</v>
      </c>
      <c r="D246" s="424">
        <v>0.41499999999999998</v>
      </c>
      <c r="E246" s="424">
        <v>10.1</v>
      </c>
      <c r="F246" s="428">
        <v>0.42</v>
      </c>
      <c r="G246" s="435">
        <v>7.5</v>
      </c>
      <c r="H246" s="33">
        <f t="shared" si="68"/>
        <v>5.05</v>
      </c>
      <c r="I246" s="426">
        <f t="shared" si="69"/>
        <v>12.023809523809524</v>
      </c>
      <c r="J246" s="442" t="str">
        <f t="shared" si="73"/>
        <v>No</v>
      </c>
      <c r="K246" s="31">
        <f t="shared" si="70"/>
        <v>7.5</v>
      </c>
      <c r="L246" s="426">
        <f t="shared" si="71"/>
        <v>18.072289156626507</v>
      </c>
      <c r="M246" s="442" t="str">
        <f t="shared" si="74"/>
        <v>No</v>
      </c>
      <c r="N246" s="442" t="str">
        <f t="shared" si="72"/>
        <v>No</v>
      </c>
      <c r="O246" s="4">
        <f t="shared" si="75"/>
        <v>1</v>
      </c>
      <c r="P246" s="570">
        <f t="shared" si="76"/>
        <v>12.023809523809524</v>
      </c>
      <c r="Q246" s="424" t="str">
        <f t="shared" si="77"/>
        <v>No</v>
      </c>
      <c r="R246" s="568" t="str">
        <f t="shared" si="78"/>
        <v>Yes</v>
      </c>
      <c r="S246" s="2"/>
      <c r="T246" s="2"/>
      <c r="U246" s="2"/>
      <c r="V246" s="2"/>
      <c r="W246" s="2"/>
      <c r="X246" s="2"/>
      <c r="Y246" s="2"/>
      <c r="Z246" s="2"/>
      <c r="AA246" s="2"/>
    </row>
    <row r="247" spans="2:27" ht="13.15" hidden="1" thickBot="1">
      <c r="B247" s="429" t="s">
        <v>118</v>
      </c>
      <c r="C247" s="430">
        <v>8.02</v>
      </c>
      <c r="D247" s="430">
        <v>0.44500000000000001</v>
      </c>
      <c r="E247" s="430">
        <v>8.16</v>
      </c>
      <c r="F247" s="430">
        <v>0.44500000000000001</v>
      </c>
      <c r="G247" s="408">
        <v>5.75</v>
      </c>
      <c r="H247" s="443">
        <f t="shared" si="68"/>
        <v>4.08</v>
      </c>
      <c r="I247" s="431">
        <f t="shared" si="69"/>
        <v>9.1685393258426959</v>
      </c>
      <c r="J247" s="442" t="str">
        <f t="shared" si="73"/>
        <v>No</v>
      </c>
      <c r="K247" s="438">
        <f t="shared" si="70"/>
        <v>5.75</v>
      </c>
      <c r="L247" s="431">
        <f t="shared" si="71"/>
        <v>12.921348314606741</v>
      </c>
      <c r="M247" s="442" t="str">
        <f>IF($L$251&gt;L247,"No","Yes")</f>
        <v>No</v>
      </c>
      <c r="N247" s="450" t="str">
        <f t="shared" si="72"/>
        <v>No</v>
      </c>
      <c r="O247" s="4">
        <f t="shared" si="75"/>
        <v>1</v>
      </c>
      <c r="P247" s="571">
        <f t="shared" si="76"/>
        <v>9.1685393258426959</v>
      </c>
      <c r="Q247" s="430" t="str">
        <f>IF($Q$251&gt;=P247,"Yes","No")</f>
        <v>No</v>
      </c>
      <c r="R247" s="564" t="str">
        <f t="shared" si="78"/>
        <v>Yes</v>
      </c>
      <c r="S247" s="2"/>
      <c r="T247" s="2"/>
      <c r="U247" s="2"/>
      <c r="V247" s="2"/>
      <c r="W247" s="2"/>
      <c r="X247" s="2"/>
      <c r="Y247" s="2"/>
      <c r="Z247" s="2"/>
      <c r="AA247" s="2"/>
    </row>
    <row r="248" spans="2:27" hidden="1">
      <c r="B248" s="451"/>
      <c r="C248" s="36"/>
      <c r="D248" s="36"/>
      <c r="E248" s="451"/>
      <c r="F248" s="36"/>
      <c r="G248" s="452" t="s">
        <v>197</v>
      </c>
      <c r="H248" s="461" t="s">
        <v>194</v>
      </c>
      <c r="I248" s="393">
        <v>0.56000000000000005</v>
      </c>
      <c r="J248" s="64"/>
      <c r="K248" s="452" t="s">
        <v>194</v>
      </c>
      <c r="L248" s="393">
        <v>1.49</v>
      </c>
      <c r="M248" s="64"/>
      <c r="N248" s="64"/>
      <c r="O248" s="654" t="s">
        <v>953</v>
      </c>
      <c r="P248" s="461" t="s">
        <v>194</v>
      </c>
      <c r="Q248" s="565">
        <v>0.38</v>
      </c>
      <c r="R248" s="64"/>
      <c r="S248" s="461" t="s">
        <v>194</v>
      </c>
      <c r="T248" s="565">
        <v>0.83</v>
      </c>
      <c r="U248" s="64"/>
      <c r="V248" s="657" t="s">
        <v>954</v>
      </c>
      <c r="W248" s="2"/>
      <c r="X248" s="2"/>
      <c r="Y248" s="2"/>
      <c r="Z248" s="2"/>
      <c r="AA248" s="2"/>
    </row>
    <row r="249" spans="2:27" hidden="1">
      <c r="B249" s="453"/>
      <c r="C249" s="17"/>
      <c r="D249" s="17"/>
      <c r="E249" s="453"/>
      <c r="F249" s="17"/>
      <c r="G249" s="17"/>
      <c r="H249" s="462" t="s">
        <v>195</v>
      </c>
      <c r="I249" s="29">
        <v>29000</v>
      </c>
      <c r="J249" s="454" t="s">
        <v>829</v>
      </c>
      <c r="K249" s="71" t="s">
        <v>195</v>
      </c>
      <c r="L249" s="29">
        <v>29000</v>
      </c>
      <c r="M249" s="454" t="s">
        <v>829</v>
      </c>
      <c r="N249" s="464"/>
      <c r="O249" s="655"/>
      <c r="P249" s="462" t="s">
        <v>195</v>
      </c>
      <c r="Q249" s="29">
        <v>29000</v>
      </c>
      <c r="R249" s="454" t="s">
        <v>829</v>
      </c>
      <c r="S249" s="462" t="s">
        <v>195</v>
      </c>
      <c r="T249" s="29">
        <v>29000</v>
      </c>
      <c r="U249" s="454" t="s">
        <v>829</v>
      </c>
      <c r="V249" s="658"/>
      <c r="W249" s="2"/>
      <c r="X249" s="2"/>
      <c r="Y249" s="2"/>
      <c r="Z249" s="2"/>
      <c r="AA249" s="2"/>
    </row>
    <row r="250" spans="2:27" hidden="1">
      <c r="B250" s="453"/>
      <c r="C250" s="17"/>
      <c r="D250" s="17"/>
      <c r="E250" s="453"/>
      <c r="F250" s="17"/>
      <c r="G250" s="17"/>
      <c r="H250" s="462" t="s">
        <v>196</v>
      </c>
      <c r="I250" s="29">
        <v>50</v>
      </c>
      <c r="J250" s="454" t="s">
        <v>829</v>
      </c>
      <c r="K250" s="71" t="s">
        <v>196</v>
      </c>
      <c r="L250" s="29">
        <v>50</v>
      </c>
      <c r="M250" s="454" t="s">
        <v>829</v>
      </c>
      <c r="N250" s="464"/>
      <c r="O250" s="655"/>
      <c r="P250" s="462" t="s">
        <v>196</v>
      </c>
      <c r="Q250" s="29">
        <v>50</v>
      </c>
      <c r="R250" s="454" t="s">
        <v>829</v>
      </c>
      <c r="S250" s="462" t="s">
        <v>196</v>
      </c>
      <c r="T250" s="29">
        <v>50</v>
      </c>
      <c r="U250" s="454" t="s">
        <v>829</v>
      </c>
      <c r="V250" s="658"/>
      <c r="W250" s="2"/>
      <c r="X250" s="2"/>
      <c r="Y250" s="2"/>
      <c r="Z250" s="2"/>
      <c r="AA250" s="2"/>
    </row>
    <row r="251" spans="2:27" ht="13.15" hidden="1" thickBot="1">
      <c r="B251" s="455"/>
      <c r="C251" s="456"/>
      <c r="D251" s="456"/>
      <c r="E251" s="455"/>
      <c r="F251" s="456"/>
      <c r="G251" s="457" t="s">
        <v>198</v>
      </c>
      <c r="H251" s="463" t="s">
        <v>202</v>
      </c>
      <c r="I251" s="459">
        <f>I248*(I249/I250)^0.5</f>
        <v>13.486585928247372</v>
      </c>
      <c r="J251" s="460"/>
      <c r="K251" s="458" t="s">
        <v>202</v>
      </c>
      <c r="L251" s="459">
        <f>L248*(L249/L250)^0.5</f>
        <v>35.883951844801039</v>
      </c>
      <c r="M251" s="460"/>
      <c r="N251" s="460"/>
      <c r="O251" s="656"/>
      <c r="P251" s="463" t="s">
        <v>202</v>
      </c>
      <c r="Q251" s="459">
        <f>Q248*(Q249/Q250)^0.5</f>
        <v>9.1516118798821449</v>
      </c>
      <c r="R251" s="460"/>
      <c r="S251" s="463" t="s">
        <v>202</v>
      </c>
      <c r="T251" s="459">
        <f>T248*(T249/T250)^0.5</f>
        <v>19.98904700079521</v>
      </c>
      <c r="U251" s="460"/>
      <c r="V251" s="659"/>
      <c r="W251" s="2"/>
      <c r="X251" s="2"/>
      <c r="Y251" s="2"/>
      <c r="Z251" s="2"/>
      <c r="AA251" s="2"/>
    </row>
    <row r="252" spans="2:27" hidden="1">
      <c r="B252" s="646" t="s">
        <v>874</v>
      </c>
      <c r="C252" s="647"/>
      <c r="D252" s="647"/>
      <c r="E252" s="647"/>
      <c r="F252" s="647"/>
      <c r="G252" s="630"/>
      <c r="H252" s="421"/>
      <c r="I252" s="422" t="s">
        <v>200</v>
      </c>
      <c r="J252" s="439"/>
      <c r="K252" s="437"/>
      <c r="L252" s="422" t="s">
        <v>201</v>
      </c>
      <c r="M252" s="444"/>
      <c r="N252" s="446" t="s">
        <v>204</v>
      </c>
      <c r="O252" s="2"/>
      <c r="P252" s="421"/>
      <c r="Q252" s="566" t="s">
        <v>950</v>
      </c>
      <c r="R252" s="439"/>
      <c r="S252" s="2"/>
      <c r="T252" s="2"/>
      <c r="U252" s="2"/>
      <c r="V252" s="2"/>
      <c r="W252" s="2"/>
      <c r="X252" s="2"/>
      <c r="Y252" s="2"/>
      <c r="Z252" s="2"/>
      <c r="AA252" s="2"/>
    </row>
    <row r="253" spans="2:27" ht="15.4" hidden="1" thickBot="1">
      <c r="B253" s="423" t="s">
        <v>119</v>
      </c>
      <c r="C253" s="424" t="s">
        <v>123</v>
      </c>
      <c r="D253" s="424" t="s">
        <v>130</v>
      </c>
      <c r="E253" s="424" t="s">
        <v>129</v>
      </c>
      <c r="F253" s="424" t="s">
        <v>128</v>
      </c>
      <c r="G253" s="435" t="s">
        <v>203</v>
      </c>
      <c r="H253" s="440" t="s">
        <v>191</v>
      </c>
      <c r="I253" s="424" t="s">
        <v>192</v>
      </c>
      <c r="J253" s="441"/>
      <c r="K253" s="30" t="s">
        <v>191</v>
      </c>
      <c r="L253" s="424" t="s">
        <v>192</v>
      </c>
      <c r="M253" s="445"/>
      <c r="N253" s="447" t="s">
        <v>205</v>
      </c>
      <c r="O253" s="2"/>
      <c r="P253" s="567" t="s">
        <v>947</v>
      </c>
      <c r="Q253" s="477" t="s">
        <v>948</v>
      </c>
      <c r="R253" s="478" t="s">
        <v>949</v>
      </c>
      <c r="S253" s="2"/>
      <c r="T253" s="2"/>
      <c r="U253" s="2"/>
      <c r="V253" s="2"/>
      <c r="W253" s="2"/>
      <c r="X253" s="2"/>
      <c r="Y253" s="2"/>
      <c r="Z253" s="2"/>
      <c r="AA253" s="2"/>
    </row>
    <row r="254" spans="2:27" ht="13.15" hidden="1" thickBot="1">
      <c r="B254" s="449" t="s">
        <v>121</v>
      </c>
      <c r="C254" s="430" t="s">
        <v>516</v>
      </c>
      <c r="D254" s="430" t="s">
        <v>516</v>
      </c>
      <c r="E254" s="430" t="s">
        <v>516</v>
      </c>
      <c r="F254" s="430" t="s">
        <v>516</v>
      </c>
      <c r="G254" s="408" t="s">
        <v>516</v>
      </c>
      <c r="H254" s="406" t="s">
        <v>516</v>
      </c>
      <c r="I254" s="430" t="s">
        <v>193</v>
      </c>
      <c r="J254" s="407" t="s">
        <v>199</v>
      </c>
      <c r="K254" s="409" t="s">
        <v>516</v>
      </c>
      <c r="L254" s="430" t="s">
        <v>193</v>
      </c>
      <c r="M254" s="408" t="s">
        <v>199</v>
      </c>
      <c r="N254" s="448" t="s">
        <v>199</v>
      </c>
      <c r="O254" s="572" t="s">
        <v>955</v>
      </c>
      <c r="P254" s="497"/>
      <c r="Q254" s="488" t="s">
        <v>951</v>
      </c>
      <c r="R254" s="489" t="s">
        <v>952</v>
      </c>
      <c r="S254" s="2"/>
      <c r="T254" s="2"/>
      <c r="U254" s="2"/>
      <c r="V254" s="2"/>
      <c r="W254" s="2"/>
      <c r="X254" s="2"/>
      <c r="Y254" s="2"/>
      <c r="Z254" s="2"/>
      <c r="AA254" s="2"/>
    </row>
    <row r="255" spans="2:27" hidden="1">
      <c r="B255" s="432" t="s">
        <v>109</v>
      </c>
      <c r="C255" s="433">
        <f t="shared" ref="C255:F265" si="79">C237-2/16</f>
        <v>14.074999999999999</v>
      </c>
      <c r="D255" s="433">
        <f t="shared" si="79"/>
        <v>0.68</v>
      </c>
      <c r="E255" s="433">
        <f t="shared" si="79"/>
        <v>14.775</v>
      </c>
      <c r="F255" s="433">
        <f t="shared" si="79"/>
        <v>0.68</v>
      </c>
      <c r="G255" s="436">
        <v>11.25</v>
      </c>
      <c r="H255" s="401">
        <f t="shared" ref="H255:H265" si="80">E255/2</f>
        <v>7.3875000000000002</v>
      </c>
      <c r="I255" s="434">
        <f t="shared" ref="I255:I265" si="81">H255/F255</f>
        <v>10.863970588235293</v>
      </c>
      <c r="J255" s="442" t="str">
        <f>IF($I$251&gt;I255,"No","Yes")</f>
        <v>No</v>
      </c>
      <c r="K255" s="404">
        <f t="shared" ref="K255:K265" si="82">G255</f>
        <v>11.25</v>
      </c>
      <c r="L255" s="434">
        <f t="shared" ref="L255:L265" si="83">K255/D255</f>
        <v>16.544117647058822</v>
      </c>
      <c r="M255" s="442" t="str">
        <f>IF($L$251&gt;L255,"No","Yes")</f>
        <v>No</v>
      </c>
      <c r="N255" s="442" t="str">
        <f t="shared" ref="N255:N265" si="84">IF(AND(J255="No",M255="No"),"No","Yes")</f>
        <v>No</v>
      </c>
      <c r="O255" s="4">
        <f>IF(I255&lt;=$I$251,1,IF(I255&gt;1.03*($I$249/$I$250)^0.5,0.69*$I$249/$I$250/(I255^2),1.415-0.74*I255*($I$250/$I$249)^0.5))</f>
        <v>1</v>
      </c>
      <c r="P255" s="569">
        <f>E255/(2*F255)</f>
        <v>10.863970588235293</v>
      </c>
      <c r="Q255" s="422" t="str">
        <f>IF($Q$251&gt;=P255,"Yes","No")</f>
        <v>No</v>
      </c>
      <c r="R255" s="568" t="str">
        <f>IF($T$251&gt;=P255,"Yes","No")</f>
        <v>Yes</v>
      </c>
      <c r="S255" s="2"/>
      <c r="T255" s="2"/>
      <c r="U255" s="2"/>
      <c r="V255" s="2"/>
      <c r="W255" s="2"/>
      <c r="X255" s="2"/>
      <c r="Y255" s="2"/>
      <c r="Z255" s="2"/>
      <c r="AA255" s="2"/>
    </row>
    <row r="256" spans="2:27" hidden="1">
      <c r="B256" s="425" t="s">
        <v>110</v>
      </c>
      <c r="C256" s="427">
        <f t="shared" si="79"/>
        <v>13.875</v>
      </c>
      <c r="D256" s="424">
        <f t="shared" si="79"/>
        <v>0.57999999999999996</v>
      </c>
      <c r="E256" s="424">
        <f t="shared" si="79"/>
        <v>14.675000000000001</v>
      </c>
      <c r="F256" s="424">
        <f t="shared" si="79"/>
        <v>0.57999999999999996</v>
      </c>
      <c r="G256" s="435">
        <v>11.25</v>
      </c>
      <c r="H256" s="33">
        <f t="shared" si="80"/>
        <v>7.3375000000000004</v>
      </c>
      <c r="I256" s="426">
        <f t="shared" si="81"/>
        <v>12.65086206896552</v>
      </c>
      <c r="J256" s="442" t="str">
        <f>IF($I$251&gt;I256,"No","Yes")</f>
        <v>No</v>
      </c>
      <c r="K256" s="31">
        <f t="shared" si="82"/>
        <v>11.25</v>
      </c>
      <c r="L256" s="426">
        <f t="shared" si="83"/>
        <v>19.396551724137932</v>
      </c>
      <c r="M256" s="442" t="str">
        <f t="shared" ref="M256:M264" si="85">IF($L$251&gt;L256,"No","Yes")</f>
        <v>No</v>
      </c>
      <c r="N256" s="442" t="str">
        <f t="shared" si="84"/>
        <v>No</v>
      </c>
      <c r="O256" s="4">
        <f t="shared" ref="O256:O265" si="86">IF(I256&lt;=$I$251,1,IF(I256&gt;1.03*($I$249/$I$250)^0.5,0.69*$I$249/$I$250/(I256^2),1.415-0.74*I256*($I$250/$I$249)^0.5))</f>
        <v>1</v>
      </c>
      <c r="P256" s="570">
        <f t="shared" ref="P256:P264" si="87">E256/(2*F256)</f>
        <v>12.65086206896552</v>
      </c>
      <c r="Q256" s="424" t="str">
        <f t="shared" ref="Q256:Q264" si="88">IF($Q$251&gt;=P256,"Yes","No")</f>
        <v>No</v>
      </c>
      <c r="R256" s="568" t="str">
        <f t="shared" ref="R256:R264" si="89">IF($T$251&gt;=P256,"Yes","No")</f>
        <v>Yes</v>
      </c>
      <c r="S256" s="2"/>
      <c r="T256" s="2"/>
      <c r="U256" s="2"/>
      <c r="V256" s="2"/>
      <c r="W256" s="2"/>
      <c r="X256" s="2"/>
      <c r="Y256" s="2"/>
      <c r="Z256" s="2"/>
      <c r="AA256" s="2"/>
    </row>
    <row r="257" spans="2:27" hidden="1">
      <c r="B257" s="425" t="s">
        <v>519</v>
      </c>
      <c r="C257" s="424">
        <f t="shared" si="79"/>
        <v>13.675000000000001</v>
      </c>
      <c r="D257" s="424">
        <f t="shared" si="79"/>
        <v>0.49</v>
      </c>
      <c r="E257" s="424">
        <f t="shared" si="79"/>
        <v>14.574999999999999</v>
      </c>
      <c r="F257" s="424">
        <f t="shared" si="79"/>
        <v>0.49</v>
      </c>
      <c r="G257" s="435">
        <v>11.25</v>
      </c>
      <c r="H257" s="33">
        <f t="shared" si="80"/>
        <v>7.2874999999999996</v>
      </c>
      <c r="I257" s="426">
        <f t="shared" si="81"/>
        <v>14.872448979591836</v>
      </c>
      <c r="J257" s="442" t="str">
        <f t="shared" ref="J257:J265" si="90">IF($I$251&gt;I257,"No","Yes")</f>
        <v>Yes</v>
      </c>
      <c r="K257" s="31">
        <f t="shared" si="82"/>
        <v>11.25</v>
      </c>
      <c r="L257" s="426">
        <f t="shared" si="83"/>
        <v>22.95918367346939</v>
      </c>
      <c r="M257" s="442" t="str">
        <f t="shared" si="85"/>
        <v>No</v>
      </c>
      <c r="N257" s="442" t="str">
        <f t="shared" si="84"/>
        <v>Yes</v>
      </c>
      <c r="O257" s="4">
        <f t="shared" si="86"/>
        <v>0.95801682501912633</v>
      </c>
      <c r="P257" s="570">
        <f t="shared" si="87"/>
        <v>14.872448979591836</v>
      </c>
      <c r="Q257" s="424" t="str">
        <f t="shared" si="88"/>
        <v>No</v>
      </c>
      <c r="R257" s="568" t="str">
        <f t="shared" si="89"/>
        <v>Yes</v>
      </c>
      <c r="S257" s="2"/>
      <c r="T257" s="2"/>
      <c r="U257" s="2"/>
      <c r="V257" s="2"/>
      <c r="W257" s="2"/>
      <c r="X257" s="2"/>
      <c r="Y257" s="2"/>
      <c r="Z257" s="2"/>
      <c r="AA257" s="2"/>
    </row>
    <row r="258" spans="2:27" hidden="1">
      <c r="B258" s="425" t="s">
        <v>111</v>
      </c>
      <c r="C258" s="424">
        <f t="shared" si="79"/>
        <v>13.475</v>
      </c>
      <c r="D258" s="424">
        <f t="shared" si="79"/>
        <v>0.38</v>
      </c>
      <c r="E258" s="424">
        <f t="shared" si="79"/>
        <v>14.475</v>
      </c>
      <c r="F258" s="424">
        <f t="shared" si="79"/>
        <v>0.38</v>
      </c>
      <c r="G258" s="435">
        <v>11.25</v>
      </c>
      <c r="H258" s="33">
        <f t="shared" si="80"/>
        <v>7.2374999999999998</v>
      </c>
      <c r="I258" s="426">
        <f t="shared" si="81"/>
        <v>19.046052631578945</v>
      </c>
      <c r="J258" s="442" t="str">
        <f t="shared" si="90"/>
        <v>Yes</v>
      </c>
      <c r="K258" s="31">
        <f t="shared" si="82"/>
        <v>11.25</v>
      </c>
      <c r="L258" s="426">
        <f t="shared" si="83"/>
        <v>29.605263157894736</v>
      </c>
      <c r="M258" s="442" t="str">
        <f t="shared" si="85"/>
        <v>No</v>
      </c>
      <c r="N258" s="442" t="str">
        <f t="shared" si="84"/>
        <v>Yes</v>
      </c>
      <c r="O258" s="4">
        <f t="shared" si="86"/>
        <v>0.82977522535964765</v>
      </c>
      <c r="P258" s="570">
        <f t="shared" si="87"/>
        <v>19.046052631578945</v>
      </c>
      <c r="Q258" s="424" t="str">
        <f t="shared" si="88"/>
        <v>No</v>
      </c>
      <c r="R258" s="568" t="str">
        <f t="shared" si="89"/>
        <v>Yes</v>
      </c>
      <c r="S258" s="2"/>
      <c r="T258" s="2"/>
      <c r="U258" s="2"/>
      <c r="V258" s="2"/>
      <c r="W258" s="2"/>
      <c r="X258" s="2"/>
      <c r="Y258" s="2"/>
      <c r="Z258" s="2"/>
      <c r="AA258" s="2"/>
    </row>
    <row r="259" spans="2:27" hidden="1">
      <c r="B259" s="425" t="s">
        <v>112</v>
      </c>
      <c r="C259" s="424">
        <f t="shared" si="79"/>
        <v>12.175000000000001</v>
      </c>
      <c r="D259" s="424">
        <f t="shared" si="79"/>
        <v>0.56000000000000005</v>
      </c>
      <c r="E259" s="424">
        <f t="shared" si="79"/>
        <v>12.175000000000001</v>
      </c>
      <c r="F259" s="424">
        <f t="shared" si="79"/>
        <v>0.56000000000000005</v>
      </c>
      <c r="G259" s="435">
        <v>9.5</v>
      </c>
      <c r="H259" s="33">
        <f t="shared" si="80"/>
        <v>6.0875000000000004</v>
      </c>
      <c r="I259" s="426">
        <f t="shared" si="81"/>
        <v>10.870535714285714</v>
      </c>
      <c r="J259" s="442" t="str">
        <f t="shared" si="90"/>
        <v>No</v>
      </c>
      <c r="K259" s="31">
        <f t="shared" si="82"/>
        <v>9.5</v>
      </c>
      <c r="L259" s="426">
        <f t="shared" si="83"/>
        <v>16.964285714285712</v>
      </c>
      <c r="M259" s="442" t="str">
        <f t="shared" si="85"/>
        <v>No</v>
      </c>
      <c r="N259" s="442" t="str">
        <f t="shared" si="84"/>
        <v>No</v>
      </c>
      <c r="O259" s="4">
        <f t="shared" si="86"/>
        <v>1</v>
      </c>
      <c r="P259" s="570">
        <f t="shared" si="87"/>
        <v>10.870535714285714</v>
      </c>
      <c r="Q259" s="424" t="str">
        <f t="shared" si="88"/>
        <v>No</v>
      </c>
      <c r="R259" s="568" t="str">
        <f t="shared" si="89"/>
        <v>Yes</v>
      </c>
      <c r="S259" s="2"/>
      <c r="T259" s="2"/>
      <c r="U259" s="2"/>
      <c r="V259" s="2"/>
      <c r="W259" s="2"/>
      <c r="X259" s="2"/>
      <c r="Y259" s="2"/>
      <c r="Z259" s="2"/>
      <c r="AA259" s="2"/>
    </row>
    <row r="260" spans="2:27" hidden="1">
      <c r="B260" s="425" t="s">
        <v>113</v>
      </c>
      <c r="C260" s="424">
        <f t="shared" si="79"/>
        <v>11.975</v>
      </c>
      <c r="D260" s="424">
        <f t="shared" si="79"/>
        <v>0.48</v>
      </c>
      <c r="E260" s="424">
        <f t="shared" si="79"/>
        <v>12.074999999999999</v>
      </c>
      <c r="F260" s="428">
        <f t="shared" si="79"/>
        <v>0.48499999999999999</v>
      </c>
      <c r="G260" s="435">
        <v>9.5</v>
      </c>
      <c r="H260" s="33">
        <f t="shared" si="80"/>
        <v>6.0374999999999996</v>
      </c>
      <c r="I260" s="426">
        <f t="shared" si="81"/>
        <v>12.448453608247423</v>
      </c>
      <c r="J260" s="442" t="str">
        <f t="shared" si="90"/>
        <v>No</v>
      </c>
      <c r="K260" s="31">
        <f t="shared" si="82"/>
        <v>9.5</v>
      </c>
      <c r="L260" s="426">
        <f t="shared" si="83"/>
        <v>19.791666666666668</v>
      </c>
      <c r="M260" s="442" t="str">
        <f t="shared" si="85"/>
        <v>No</v>
      </c>
      <c r="N260" s="442" t="str">
        <f t="shared" si="84"/>
        <v>No</v>
      </c>
      <c r="O260" s="4">
        <f t="shared" si="86"/>
        <v>1</v>
      </c>
      <c r="P260" s="570">
        <f t="shared" si="87"/>
        <v>12.448453608247423</v>
      </c>
      <c r="Q260" s="424" t="str">
        <f t="shared" si="88"/>
        <v>No</v>
      </c>
      <c r="R260" s="568" t="str">
        <f t="shared" si="89"/>
        <v>Yes</v>
      </c>
      <c r="S260" s="2"/>
      <c r="T260" s="2"/>
      <c r="U260" s="2"/>
      <c r="V260" s="2"/>
      <c r="W260" s="2"/>
      <c r="X260" s="2"/>
      <c r="Y260" s="2"/>
      <c r="Z260" s="2"/>
      <c r="AA260" s="2"/>
    </row>
    <row r="261" spans="2:27" hidden="1">
      <c r="B261" s="425" t="s">
        <v>114</v>
      </c>
      <c r="C261" s="424">
        <f t="shared" si="79"/>
        <v>11.775</v>
      </c>
      <c r="D261" s="424">
        <f t="shared" si="79"/>
        <v>0.39</v>
      </c>
      <c r="E261" s="424">
        <f t="shared" si="79"/>
        <v>11.975</v>
      </c>
      <c r="F261" s="424">
        <f t="shared" si="79"/>
        <v>0.39</v>
      </c>
      <c r="G261" s="435">
        <v>9.5</v>
      </c>
      <c r="H261" s="33">
        <f t="shared" si="80"/>
        <v>5.9874999999999998</v>
      </c>
      <c r="I261" s="426">
        <f t="shared" si="81"/>
        <v>15.352564102564102</v>
      </c>
      <c r="J261" s="442" t="str">
        <f t="shared" si="90"/>
        <v>Yes</v>
      </c>
      <c r="K261" s="31">
        <f t="shared" si="82"/>
        <v>9.5</v>
      </c>
      <c r="L261" s="426">
        <f t="shared" si="83"/>
        <v>24.358974358974358</v>
      </c>
      <c r="M261" s="442" t="str">
        <f t="shared" si="85"/>
        <v>No</v>
      </c>
      <c r="N261" s="442" t="str">
        <f t="shared" si="84"/>
        <v>Yes</v>
      </c>
      <c r="O261" s="4">
        <f t="shared" si="86"/>
        <v>0.94326441043338671</v>
      </c>
      <c r="P261" s="570">
        <f t="shared" si="87"/>
        <v>15.352564102564102</v>
      </c>
      <c r="Q261" s="424" t="str">
        <f t="shared" si="88"/>
        <v>No</v>
      </c>
      <c r="R261" s="568" t="str">
        <f t="shared" si="89"/>
        <v>Yes</v>
      </c>
      <c r="S261" s="2"/>
      <c r="T261" s="2"/>
      <c r="U261" s="2"/>
      <c r="V261" s="2"/>
      <c r="W261" s="2"/>
      <c r="X261" s="2"/>
      <c r="Y261" s="2"/>
      <c r="Z261" s="2"/>
      <c r="AA261" s="2"/>
    </row>
    <row r="262" spans="2:27" hidden="1">
      <c r="B262" s="425" t="s">
        <v>115</v>
      </c>
      <c r="C262" s="424">
        <f t="shared" si="79"/>
        <v>11.675000000000001</v>
      </c>
      <c r="D262" s="424">
        <f t="shared" si="79"/>
        <v>0.31</v>
      </c>
      <c r="E262" s="427">
        <f t="shared" si="79"/>
        <v>11.875</v>
      </c>
      <c r="F262" s="424">
        <f t="shared" si="79"/>
        <v>0.31</v>
      </c>
      <c r="G262" s="435">
        <v>9.5</v>
      </c>
      <c r="H262" s="33">
        <f t="shared" si="80"/>
        <v>5.9375</v>
      </c>
      <c r="I262" s="426">
        <f t="shared" si="81"/>
        <v>19.153225806451612</v>
      </c>
      <c r="J262" s="442" t="str">
        <f t="shared" si="90"/>
        <v>Yes</v>
      </c>
      <c r="K262" s="31">
        <f t="shared" si="82"/>
        <v>9.5</v>
      </c>
      <c r="L262" s="426">
        <f t="shared" si="83"/>
        <v>30.64516129032258</v>
      </c>
      <c r="M262" s="442" t="str">
        <f t="shared" si="85"/>
        <v>No</v>
      </c>
      <c r="N262" s="442" t="str">
        <f t="shared" si="84"/>
        <v>Yes</v>
      </c>
      <c r="O262" s="4">
        <f t="shared" si="86"/>
        <v>0.82648213369779044</v>
      </c>
      <c r="P262" s="570">
        <f t="shared" si="87"/>
        <v>19.153225806451612</v>
      </c>
      <c r="Q262" s="424" t="str">
        <f>IF($Q$251&gt;=P262,"Yes","No")</f>
        <v>No</v>
      </c>
      <c r="R262" s="568" t="str">
        <f t="shared" si="89"/>
        <v>Yes</v>
      </c>
      <c r="S262" s="2"/>
      <c r="T262" s="2"/>
      <c r="U262" s="2"/>
      <c r="V262" s="2"/>
      <c r="W262" s="2"/>
      <c r="X262" s="2"/>
      <c r="Y262" s="2"/>
      <c r="Z262" s="2"/>
      <c r="AA262" s="2"/>
    </row>
    <row r="263" spans="2:27" hidden="1">
      <c r="B263" s="425" t="s">
        <v>116</v>
      </c>
      <c r="C263" s="424">
        <f t="shared" si="79"/>
        <v>9.8650000000000002</v>
      </c>
      <c r="D263" s="424">
        <f t="shared" si="79"/>
        <v>0.43999999999999995</v>
      </c>
      <c r="E263" s="424">
        <f t="shared" si="79"/>
        <v>10.074999999999999</v>
      </c>
      <c r="F263" s="424">
        <f t="shared" si="79"/>
        <v>0.43999999999999995</v>
      </c>
      <c r="G263" s="435">
        <v>7.5</v>
      </c>
      <c r="H263" s="33">
        <f t="shared" si="80"/>
        <v>5.0374999999999996</v>
      </c>
      <c r="I263" s="426">
        <f t="shared" si="81"/>
        <v>11.448863636363637</v>
      </c>
      <c r="J263" s="442" t="str">
        <f t="shared" si="90"/>
        <v>No</v>
      </c>
      <c r="K263" s="31">
        <f t="shared" si="82"/>
        <v>7.5</v>
      </c>
      <c r="L263" s="426">
        <f t="shared" si="83"/>
        <v>17.045454545454547</v>
      </c>
      <c r="M263" s="442" t="str">
        <f>IF($L$251&gt;L263,"No","Yes")</f>
        <v>No</v>
      </c>
      <c r="N263" s="442" t="str">
        <f t="shared" si="84"/>
        <v>No</v>
      </c>
      <c r="O263" s="4">
        <f t="shared" si="86"/>
        <v>1</v>
      </c>
      <c r="P263" s="570">
        <f t="shared" si="87"/>
        <v>11.448863636363637</v>
      </c>
      <c r="Q263" s="424" t="str">
        <f t="shared" si="88"/>
        <v>No</v>
      </c>
      <c r="R263" s="568" t="str">
        <f t="shared" si="89"/>
        <v>Yes</v>
      </c>
      <c r="S263" s="2"/>
      <c r="T263" s="2"/>
      <c r="U263" s="2"/>
      <c r="V263" s="2"/>
      <c r="W263" s="2"/>
      <c r="X263" s="2"/>
      <c r="Y263" s="2"/>
      <c r="Z263" s="2"/>
      <c r="AA263" s="2"/>
    </row>
    <row r="264" spans="2:27" hidden="1">
      <c r="B264" s="425" t="s">
        <v>117</v>
      </c>
      <c r="C264" s="426">
        <f t="shared" si="79"/>
        <v>9.5749999999999993</v>
      </c>
      <c r="D264" s="424">
        <f t="shared" si="79"/>
        <v>0.28999999999999998</v>
      </c>
      <c r="E264" s="424">
        <f t="shared" si="79"/>
        <v>9.9749999999999996</v>
      </c>
      <c r="F264" s="428">
        <f t="shared" si="79"/>
        <v>0.29499999999999998</v>
      </c>
      <c r="G264" s="435">
        <v>7.5</v>
      </c>
      <c r="H264" s="33">
        <f t="shared" si="80"/>
        <v>4.9874999999999998</v>
      </c>
      <c r="I264" s="426">
        <f t="shared" si="81"/>
        <v>16.906779661016948</v>
      </c>
      <c r="J264" s="442" t="str">
        <f t="shared" si="90"/>
        <v>Yes</v>
      </c>
      <c r="K264" s="31">
        <f t="shared" si="82"/>
        <v>7.5</v>
      </c>
      <c r="L264" s="426">
        <f t="shared" si="83"/>
        <v>25.862068965517242</v>
      </c>
      <c r="M264" s="442" t="str">
        <f t="shared" si="85"/>
        <v>No</v>
      </c>
      <c r="N264" s="442" t="str">
        <f t="shared" si="84"/>
        <v>Yes</v>
      </c>
      <c r="O264" s="4">
        <f t="shared" si="86"/>
        <v>0.89550829699967671</v>
      </c>
      <c r="P264" s="570">
        <f t="shared" si="87"/>
        <v>16.906779661016948</v>
      </c>
      <c r="Q264" s="424" t="str">
        <f t="shared" si="88"/>
        <v>No</v>
      </c>
      <c r="R264" s="568" t="str">
        <f t="shared" si="89"/>
        <v>Yes</v>
      </c>
      <c r="S264" s="2"/>
      <c r="T264" s="2"/>
      <c r="U264" s="2"/>
      <c r="V264" s="2"/>
      <c r="W264" s="2"/>
      <c r="X264" s="2"/>
      <c r="Y264" s="2"/>
      <c r="Z264" s="2"/>
      <c r="AA264" s="2"/>
    </row>
    <row r="265" spans="2:27" ht="13.15" hidden="1" thickBot="1">
      <c r="B265" s="429" t="s">
        <v>118</v>
      </c>
      <c r="C265" s="430">
        <f t="shared" si="79"/>
        <v>7.8949999999999996</v>
      </c>
      <c r="D265" s="430">
        <f t="shared" si="79"/>
        <v>0.32</v>
      </c>
      <c r="E265" s="430">
        <f t="shared" si="79"/>
        <v>8.0350000000000001</v>
      </c>
      <c r="F265" s="430">
        <f t="shared" si="79"/>
        <v>0.32</v>
      </c>
      <c r="G265" s="408">
        <v>5.75</v>
      </c>
      <c r="H265" s="443">
        <f t="shared" si="80"/>
        <v>4.0175000000000001</v>
      </c>
      <c r="I265" s="431">
        <f t="shared" si="81"/>
        <v>12.5546875</v>
      </c>
      <c r="J265" s="407" t="str">
        <f t="shared" si="90"/>
        <v>No</v>
      </c>
      <c r="K265" s="438">
        <f t="shared" si="82"/>
        <v>5.75</v>
      </c>
      <c r="L265" s="431">
        <f t="shared" si="83"/>
        <v>17.96875</v>
      </c>
      <c r="M265" s="407" t="str">
        <f>IF($L$251&gt;L265,"No","Yes")</f>
        <v>No</v>
      </c>
      <c r="N265" s="450" t="str">
        <f t="shared" si="84"/>
        <v>No</v>
      </c>
      <c r="O265" s="573">
        <f t="shared" si="86"/>
        <v>1</v>
      </c>
      <c r="P265" s="571">
        <f>E265/(2*F265)</f>
        <v>12.5546875</v>
      </c>
      <c r="Q265" s="430" t="str">
        <f>IF($Q$251&gt;=P265,"Yes","No")</f>
        <v>No</v>
      </c>
      <c r="R265" s="407" t="str">
        <f>IF($T$251&gt;=P265,"Yes","No")</f>
        <v>Yes</v>
      </c>
      <c r="S265" s="2"/>
      <c r="T265" s="2"/>
      <c r="U265" s="2"/>
      <c r="V265" s="2"/>
      <c r="W265" s="2"/>
      <c r="X265" s="2"/>
      <c r="Y265" s="2"/>
      <c r="Z265" s="2"/>
      <c r="AA265" s="2"/>
    </row>
    <row r="266" spans="2:27" hidden="1">
      <c r="N266" s="2"/>
      <c r="O266" s="2"/>
      <c r="P266" s="2"/>
      <c r="Q266" s="2"/>
      <c r="R266" s="2"/>
      <c r="S266" s="2"/>
      <c r="T266" s="2"/>
      <c r="U266" s="2"/>
      <c r="V266" s="2"/>
      <c r="W266" s="2"/>
      <c r="X266" s="2"/>
      <c r="Y266" s="2"/>
      <c r="Z266" s="2"/>
      <c r="AA266" s="2"/>
    </row>
    <row r="267" spans="2:27" ht="13.15" hidden="1" thickBot="1">
      <c r="N267" s="2"/>
      <c r="O267" s="2"/>
      <c r="P267" s="2"/>
      <c r="Q267" s="2"/>
      <c r="R267" s="2"/>
      <c r="S267" s="2"/>
      <c r="T267" s="2"/>
      <c r="U267" s="2"/>
      <c r="V267" s="2"/>
      <c r="W267" s="2"/>
      <c r="X267" s="2"/>
      <c r="Y267" s="2"/>
      <c r="Z267" s="2"/>
      <c r="AA267" s="2"/>
    </row>
    <row r="268" spans="2:27" hidden="1">
      <c r="B268" s="421"/>
      <c r="C268" s="476"/>
      <c r="D268" s="490"/>
      <c r="E268" s="648" t="s">
        <v>894</v>
      </c>
      <c r="F268" s="649"/>
      <c r="G268" s="650"/>
      <c r="H268" s="651" t="s">
        <v>895</v>
      </c>
      <c r="I268" s="652"/>
      <c r="J268" s="653"/>
      <c r="K268" s="530"/>
      <c r="L268" s="530"/>
      <c r="M268" s="530"/>
      <c r="N268" s="530"/>
      <c r="O268" s="530"/>
      <c r="P268" s="530"/>
      <c r="Q268" s="530"/>
      <c r="R268" s="530"/>
      <c r="S268" s="530"/>
      <c r="T268" s="522"/>
      <c r="U268" s="522"/>
      <c r="V268" s="522"/>
      <c r="W268" s="2"/>
      <c r="X268" s="2"/>
      <c r="Y268" s="2"/>
      <c r="Z268" s="2"/>
      <c r="AA268" s="2"/>
    </row>
    <row r="269" spans="2:27" hidden="1">
      <c r="B269" s="423" t="s">
        <v>119</v>
      </c>
      <c r="C269" s="424" t="s">
        <v>122</v>
      </c>
      <c r="D269" s="491" t="s">
        <v>896</v>
      </c>
      <c r="E269" s="496" t="s">
        <v>892</v>
      </c>
      <c r="F269" s="477" t="s">
        <v>889</v>
      </c>
      <c r="G269" s="478" t="s">
        <v>891</v>
      </c>
      <c r="H269" s="531" t="s">
        <v>892</v>
      </c>
      <c r="I269" s="532" t="s">
        <v>889</v>
      </c>
      <c r="J269" s="533" t="s">
        <v>891</v>
      </c>
      <c r="K269" s="29"/>
      <c r="L269" s="523"/>
      <c r="M269" s="523"/>
      <c r="N269" s="523"/>
      <c r="O269" s="523"/>
      <c r="P269" s="523"/>
      <c r="Q269" s="523"/>
      <c r="R269" s="523"/>
      <c r="S269" s="523"/>
      <c r="T269" s="522"/>
      <c r="U269" s="522"/>
      <c r="V269" s="522"/>
      <c r="W269" s="2"/>
      <c r="X269" s="2"/>
      <c r="Y269" s="2"/>
      <c r="Z269" s="2"/>
      <c r="AA269" s="2"/>
    </row>
    <row r="270" spans="2:27" ht="14.65" hidden="1" thickBot="1">
      <c r="B270" s="449" t="s">
        <v>121</v>
      </c>
      <c r="C270" s="430" t="s">
        <v>510</v>
      </c>
      <c r="D270" s="492" t="s">
        <v>829</v>
      </c>
      <c r="E270" s="497" t="s">
        <v>893</v>
      </c>
      <c r="F270" s="488" t="s">
        <v>890</v>
      </c>
      <c r="G270" s="489" t="s">
        <v>890</v>
      </c>
      <c r="H270" s="534" t="s">
        <v>893</v>
      </c>
      <c r="I270" s="535" t="s">
        <v>890</v>
      </c>
      <c r="J270" s="536" t="s">
        <v>890</v>
      </c>
      <c r="K270" s="29"/>
      <c r="L270" s="523"/>
      <c r="M270" s="523"/>
      <c r="N270" s="523"/>
      <c r="O270" s="523"/>
      <c r="P270" s="523"/>
      <c r="Q270" s="523"/>
      <c r="R270" s="523"/>
      <c r="S270" s="523"/>
      <c r="T270" s="506"/>
      <c r="U270" s="522"/>
      <c r="V270" s="522"/>
      <c r="W270" s="2"/>
      <c r="X270" s="2"/>
      <c r="Y270" s="2"/>
      <c r="Z270" s="2"/>
      <c r="AA270" s="2"/>
    </row>
    <row r="271" spans="2:27" ht="13.15" hidden="1">
      <c r="B271" s="432" t="s">
        <v>109</v>
      </c>
      <c r="C271" s="433">
        <v>34.4</v>
      </c>
      <c r="D271" s="493">
        <v>36</v>
      </c>
      <c r="E271" s="498">
        <f>0.25*$C271*$D271</f>
        <v>309.59999999999997</v>
      </c>
      <c r="F271" s="485">
        <f>0.35*$C271*$D271</f>
        <v>433.43999999999994</v>
      </c>
      <c r="G271" s="499">
        <f>0.45*$C271*$D271</f>
        <v>557.28</v>
      </c>
      <c r="H271" s="537">
        <f>0.379*0.66*$C271*$D271</f>
        <v>309.77337600000004</v>
      </c>
      <c r="I271" s="538">
        <f>0.5*0.66*$C271*$D271</f>
        <v>408.67200000000003</v>
      </c>
      <c r="J271" s="539">
        <f>0.6*0.66*$C271*$D271</f>
        <v>490.40640000000002</v>
      </c>
      <c r="K271" s="524"/>
      <c r="L271" s="524"/>
      <c r="M271" s="524"/>
      <c r="N271" s="525"/>
      <c r="O271" s="525"/>
      <c r="P271" s="525"/>
      <c r="Q271" s="525"/>
      <c r="R271" s="525"/>
      <c r="S271" s="525"/>
      <c r="T271" s="526"/>
      <c r="U271" s="526"/>
      <c r="V271" s="526"/>
      <c r="W271" s="2"/>
      <c r="X271" s="2"/>
      <c r="Y271" s="2"/>
      <c r="Z271" s="2"/>
      <c r="AA271" s="2"/>
    </row>
    <row r="272" spans="2:27" ht="13.15" hidden="1">
      <c r="B272" s="425" t="s">
        <v>110</v>
      </c>
      <c r="C272" s="424">
        <v>30.1</v>
      </c>
      <c r="D272" s="494">
        <v>36</v>
      </c>
      <c r="E272" s="500">
        <f t="shared" ref="E272:E281" si="91">0.25*$C272*$D272</f>
        <v>270.90000000000003</v>
      </c>
      <c r="F272" s="479">
        <f t="shared" ref="F272:F281" si="92">0.35*$C272*$D272</f>
        <v>379.26</v>
      </c>
      <c r="G272" s="501">
        <f t="shared" ref="G272:G281" si="93">0.45*$C272*$D272</f>
        <v>487.62000000000006</v>
      </c>
      <c r="H272" s="540">
        <f t="shared" ref="H272:H281" si="94">0.379*0.66*$C272*$D272</f>
        <v>271.05170400000003</v>
      </c>
      <c r="I272" s="541">
        <f t="shared" ref="I272:I281" si="95">0.5*0.66*$C272*$D272</f>
        <v>357.58800000000008</v>
      </c>
      <c r="J272" s="542">
        <f t="shared" ref="J272:J281" si="96">0.6*0.66*$C272*$D272</f>
        <v>429.10560000000004</v>
      </c>
      <c r="K272" s="524"/>
      <c r="L272" s="524"/>
      <c r="M272" s="524"/>
      <c r="N272" s="525"/>
      <c r="O272" s="525"/>
      <c r="P272" s="525"/>
      <c r="Q272" s="525"/>
      <c r="R272" s="525"/>
      <c r="S272" s="525"/>
      <c r="T272" s="526"/>
      <c r="U272" s="526"/>
      <c r="V272" s="526"/>
      <c r="W272" s="2"/>
      <c r="X272" s="2"/>
      <c r="Y272" s="2"/>
      <c r="Z272" s="2"/>
      <c r="AA272" s="2"/>
    </row>
    <row r="273" spans="2:27" ht="13.15" hidden="1">
      <c r="B273" s="425" t="s">
        <v>519</v>
      </c>
      <c r="C273" s="424">
        <v>26.1</v>
      </c>
      <c r="D273" s="494">
        <v>36</v>
      </c>
      <c r="E273" s="500">
        <f t="shared" si="91"/>
        <v>234.9</v>
      </c>
      <c r="F273" s="479">
        <f t="shared" si="92"/>
        <v>328.86</v>
      </c>
      <c r="G273" s="501">
        <f t="shared" si="93"/>
        <v>422.82000000000005</v>
      </c>
      <c r="H273" s="540">
        <f t="shared" si="94"/>
        <v>235.03154400000005</v>
      </c>
      <c r="I273" s="541">
        <f t="shared" si="95"/>
        <v>310.06800000000004</v>
      </c>
      <c r="J273" s="542">
        <f t="shared" si="96"/>
        <v>372.08160000000004</v>
      </c>
      <c r="K273" s="524"/>
      <c r="L273" s="524"/>
      <c r="M273" s="524"/>
      <c r="N273" s="525"/>
      <c r="O273" s="525"/>
      <c r="P273" s="525"/>
      <c r="Q273" s="525"/>
      <c r="R273" s="525"/>
      <c r="S273" s="525"/>
      <c r="T273" s="526"/>
      <c r="U273" s="526"/>
      <c r="V273" s="526"/>
      <c r="W273" s="2"/>
      <c r="X273" s="2"/>
      <c r="Y273" s="2"/>
      <c r="Z273" s="2"/>
      <c r="AA273" s="2"/>
    </row>
    <row r="274" spans="2:27" ht="13.15" hidden="1">
      <c r="B274" s="425" t="s">
        <v>111</v>
      </c>
      <c r="C274" s="424">
        <v>21.4</v>
      </c>
      <c r="D274" s="494">
        <v>36</v>
      </c>
      <c r="E274" s="500">
        <f t="shared" si="91"/>
        <v>192.6</v>
      </c>
      <c r="F274" s="479">
        <f t="shared" si="92"/>
        <v>269.64</v>
      </c>
      <c r="G274" s="501">
        <f t="shared" si="93"/>
        <v>346.67999999999995</v>
      </c>
      <c r="H274" s="540">
        <f t="shared" si="94"/>
        <v>192.70785599999999</v>
      </c>
      <c r="I274" s="541">
        <f t="shared" si="95"/>
        <v>254.232</v>
      </c>
      <c r="J274" s="542">
        <f t="shared" si="96"/>
        <v>305.07839999999999</v>
      </c>
      <c r="K274" s="524"/>
      <c r="L274" s="524"/>
      <c r="M274" s="524"/>
      <c r="N274" s="525"/>
      <c r="O274" s="525"/>
      <c r="P274" s="525"/>
      <c r="Q274" s="525"/>
      <c r="R274" s="525"/>
      <c r="S274" s="525"/>
      <c r="T274" s="527"/>
      <c r="U274" s="527"/>
      <c r="V274" s="527"/>
      <c r="W274" s="2"/>
      <c r="X274" s="2"/>
      <c r="Y274" s="2"/>
      <c r="Z274" s="2"/>
      <c r="AA274" s="2"/>
    </row>
    <row r="275" spans="2:27" ht="13.15" hidden="1">
      <c r="B275" s="425" t="s">
        <v>112</v>
      </c>
      <c r="C275" s="424">
        <v>24.6</v>
      </c>
      <c r="D275" s="494">
        <v>36</v>
      </c>
      <c r="E275" s="500">
        <f t="shared" si="91"/>
        <v>221.4</v>
      </c>
      <c r="F275" s="479">
        <f t="shared" si="92"/>
        <v>309.95999999999998</v>
      </c>
      <c r="G275" s="501">
        <f t="shared" si="93"/>
        <v>398.52</v>
      </c>
      <c r="H275" s="540">
        <f t="shared" si="94"/>
        <v>221.52398400000004</v>
      </c>
      <c r="I275" s="541">
        <f t="shared" si="95"/>
        <v>292.24799999999999</v>
      </c>
      <c r="J275" s="542">
        <f t="shared" si="96"/>
        <v>350.69760000000008</v>
      </c>
      <c r="K275" s="524"/>
      <c r="L275" s="524"/>
      <c r="M275" s="524"/>
      <c r="N275" s="525"/>
      <c r="O275" s="525"/>
      <c r="P275" s="525"/>
      <c r="Q275" s="525"/>
      <c r="R275" s="525"/>
      <c r="S275" s="525"/>
      <c r="T275" s="526"/>
      <c r="U275" s="526"/>
      <c r="V275" s="526"/>
      <c r="W275" s="2"/>
      <c r="X275" s="2"/>
      <c r="Y275" s="2"/>
      <c r="Z275" s="2"/>
      <c r="AA275" s="2"/>
    </row>
    <row r="276" spans="2:27" ht="13.15" hidden="1">
      <c r="B276" s="425" t="s">
        <v>113</v>
      </c>
      <c r="C276" s="424">
        <v>21.8</v>
      </c>
      <c r="D276" s="494">
        <v>36</v>
      </c>
      <c r="E276" s="500">
        <f t="shared" si="91"/>
        <v>196.20000000000002</v>
      </c>
      <c r="F276" s="479">
        <f t="shared" si="92"/>
        <v>274.68</v>
      </c>
      <c r="G276" s="501">
        <f t="shared" si="93"/>
        <v>353.16</v>
      </c>
      <c r="H276" s="540">
        <f t="shared" si="94"/>
        <v>196.30987200000001</v>
      </c>
      <c r="I276" s="541">
        <f t="shared" si="95"/>
        <v>258.98400000000004</v>
      </c>
      <c r="J276" s="542">
        <f t="shared" si="96"/>
        <v>310.78080000000006</v>
      </c>
      <c r="K276" s="524"/>
      <c r="L276" s="524"/>
      <c r="M276" s="524"/>
      <c r="N276" s="525"/>
      <c r="O276" s="525"/>
      <c r="P276" s="525"/>
      <c r="Q276" s="525"/>
      <c r="R276" s="525"/>
      <c r="S276" s="525"/>
      <c r="T276" s="526"/>
      <c r="U276" s="526"/>
      <c r="V276" s="526"/>
      <c r="W276" s="2"/>
      <c r="X276" s="2"/>
      <c r="Y276" s="2"/>
      <c r="Z276" s="2"/>
      <c r="AA276" s="2"/>
    </row>
    <row r="277" spans="2:27" ht="13.15" hidden="1">
      <c r="B277" s="425" t="s">
        <v>114</v>
      </c>
      <c r="C277" s="424">
        <v>18.399999999999999</v>
      </c>
      <c r="D277" s="494">
        <v>36</v>
      </c>
      <c r="E277" s="500">
        <f t="shared" si="91"/>
        <v>165.6</v>
      </c>
      <c r="F277" s="479">
        <f t="shared" si="92"/>
        <v>231.83999999999997</v>
      </c>
      <c r="G277" s="501">
        <f t="shared" si="93"/>
        <v>298.08</v>
      </c>
      <c r="H277" s="540">
        <f t="shared" si="94"/>
        <v>165.692736</v>
      </c>
      <c r="I277" s="541">
        <f t="shared" si="95"/>
        <v>218.59200000000001</v>
      </c>
      <c r="J277" s="542">
        <f t="shared" si="96"/>
        <v>262.31039999999996</v>
      </c>
      <c r="K277" s="524"/>
      <c r="L277" s="524"/>
      <c r="M277" s="524"/>
      <c r="N277" s="525"/>
      <c r="O277" s="525"/>
      <c r="P277" s="525"/>
      <c r="Q277" s="525"/>
      <c r="R277" s="525"/>
      <c r="S277" s="525"/>
      <c r="T277" s="526"/>
      <c r="U277" s="526"/>
      <c r="V277" s="526"/>
      <c r="W277" s="2"/>
      <c r="X277" s="2"/>
      <c r="Y277" s="2"/>
      <c r="Z277" s="2"/>
      <c r="AA277" s="2"/>
    </row>
    <row r="278" spans="2:27" ht="13.15" hidden="1">
      <c r="B278" s="425" t="s">
        <v>115</v>
      </c>
      <c r="C278" s="424">
        <v>15.5</v>
      </c>
      <c r="D278" s="494">
        <v>36</v>
      </c>
      <c r="E278" s="500">
        <f t="shared" si="91"/>
        <v>139.5</v>
      </c>
      <c r="F278" s="479">
        <f t="shared" si="92"/>
        <v>195.29999999999998</v>
      </c>
      <c r="G278" s="501">
        <f t="shared" si="93"/>
        <v>251.10000000000002</v>
      </c>
      <c r="H278" s="540">
        <f t="shared" si="94"/>
        <v>139.57812000000001</v>
      </c>
      <c r="I278" s="541">
        <f t="shared" si="95"/>
        <v>184.14000000000001</v>
      </c>
      <c r="J278" s="542">
        <f t="shared" si="96"/>
        <v>220.96799999999999</v>
      </c>
      <c r="K278" s="524"/>
      <c r="L278" s="524"/>
      <c r="M278" s="524"/>
      <c r="N278" s="525"/>
      <c r="O278" s="525"/>
      <c r="P278" s="525"/>
      <c r="Q278" s="525"/>
      <c r="R278" s="525"/>
      <c r="S278" s="525"/>
      <c r="T278" s="527"/>
      <c r="U278" s="527"/>
      <c r="V278" s="527"/>
      <c r="W278" s="2"/>
      <c r="X278" s="2"/>
      <c r="Y278" s="2"/>
      <c r="Z278" s="2"/>
      <c r="AA278" s="2"/>
    </row>
    <row r="279" spans="2:27" ht="13.15" hidden="1">
      <c r="B279" s="425" t="s">
        <v>116</v>
      </c>
      <c r="C279" s="424">
        <v>16.7</v>
      </c>
      <c r="D279" s="494">
        <v>36</v>
      </c>
      <c r="E279" s="500">
        <f t="shared" si="91"/>
        <v>150.29999999999998</v>
      </c>
      <c r="F279" s="479">
        <f t="shared" si="92"/>
        <v>210.42</v>
      </c>
      <c r="G279" s="501">
        <f t="shared" si="93"/>
        <v>270.53999999999996</v>
      </c>
      <c r="H279" s="540">
        <f t="shared" si="94"/>
        <v>150.38416800000002</v>
      </c>
      <c r="I279" s="541">
        <f t="shared" si="95"/>
        <v>198.39600000000002</v>
      </c>
      <c r="J279" s="542">
        <f t="shared" si="96"/>
        <v>238.0752</v>
      </c>
      <c r="K279" s="524"/>
      <c r="L279" s="524"/>
      <c r="M279" s="524"/>
      <c r="N279" s="525"/>
      <c r="O279" s="525"/>
      <c r="P279" s="525"/>
      <c r="Q279" s="525"/>
      <c r="R279" s="525"/>
      <c r="S279" s="525"/>
      <c r="T279" s="526"/>
      <c r="U279" s="526"/>
      <c r="V279" s="526"/>
      <c r="W279" s="2"/>
      <c r="X279" s="2"/>
      <c r="Y279" s="2"/>
      <c r="Z279" s="2"/>
      <c r="AA279" s="2"/>
    </row>
    <row r="280" spans="2:27" ht="13.15" hidden="1">
      <c r="B280" s="425" t="s">
        <v>117</v>
      </c>
      <c r="C280" s="424">
        <v>12.4</v>
      </c>
      <c r="D280" s="494">
        <v>36</v>
      </c>
      <c r="E280" s="500">
        <f t="shared" si="91"/>
        <v>111.60000000000001</v>
      </c>
      <c r="F280" s="479">
        <f t="shared" si="92"/>
        <v>156.24</v>
      </c>
      <c r="G280" s="501">
        <f t="shared" si="93"/>
        <v>200.88</v>
      </c>
      <c r="H280" s="540">
        <f t="shared" si="94"/>
        <v>111.662496</v>
      </c>
      <c r="I280" s="541">
        <f t="shared" si="95"/>
        <v>147.31200000000001</v>
      </c>
      <c r="J280" s="542">
        <f t="shared" si="96"/>
        <v>176.77440000000001</v>
      </c>
      <c r="K280" s="524"/>
      <c r="L280" s="524"/>
      <c r="M280" s="524"/>
      <c r="N280" s="525"/>
      <c r="O280" s="525"/>
      <c r="P280" s="525"/>
      <c r="Q280" s="525"/>
      <c r="R280" s="525"/>
      <c r="S280" s="525"/>
      <c r="T280" s="526"/>
      <c r="U280" s="526"/>
      <c r="V280" s="526"/>
      <c r="W280" s="2"/>
      <c r="X280" s="2"/>
      <c r="Y280" s="2"/>
      <c r="Z280" s="2"/>
      <c r="AA280" s="2"/>
    </row>
    <row r="281" spans="2:27" ht="13.5" hidden="1" thickBot="1">
      <c r="B281" s="429" t="s">
        <v>118</v>
      </c>
      <c r="C281" s="430">
        <v>10.6</v>
      </c>
      <c r="D281" s="495">
        <v>36</v>
      </c>
      <c r="E281" s="502">
        <f t="shared" si="91"/>
        <v>95.399999999999991</v>
      </c>
      <c r="F281" s="482">
        <f t="shared" si="92"/>
        <v>133.55999999999997</v>
      </c>
      <c r="G281" s="503">
        <f t="shared" si="93"/>
        <v>171.71999999999997</v>
      </c>
      <c r="H281" s="543">
        <f t="shared" si="94"/>
        <v>95.453424000000012</v>
      </c>
      <c r="I281" s="544">
        <f t="shared" si="95"/>
        <v>125.92800000000001</v>
      </c>
      <c r="J281" s="545">
        <f t="shared" si="96"/>
        <v>151.11360000000002</v>
      </c>
      <c r="K281" s="524"/>
      <c r="L281" s="524"/>
      <c r="M281" s="524"/>
      <c r="N281" s="525"/>
      <c r="O281" s="525"/>
      <c r="P281" s="525"/>
      <c r="Q281" s="525"/>
      <c r="R281" s="525"/>
      <c r="S281" s="525"/>
      <c r="T281" s="526"/>
      <c r="U281" s="526"/>
      <c r="V281" s="526"/>
      <c r="W281" s="2"/>
      <c r="X281" s="2"/>
      <c r="Y281" s="2"/>
      <c r="Z281" s="2"/>
      <c r="AA281" s="2"/>
    </row>
    <row r="282" spans="2:27" ht="13.15" hidden="1">
      <c r="E282" s="382" t="s">
        <v>897</v>
      </c>
      <c r="F282" s="382" t="s">
        <v>898</v>
      </c>
      <c r="G282" s="382" t="s">
        <v>899</v>
      </c>
      <c r="H282" s="546" t="s">
        <v>900</v>
      </c>
      <c r="I282" s="546"/>
      <c r="J282" s="546" t="s">
        <v>902</v>
      </c>
      <c r="K282" s="17"/>
      <c r="L282" s="17"/>
      <c r="M282" s="17"/>
      <c r="N282" s="528"/>
      <c r="O282" s="528"/>
      <c r="P282" s="528"/>
      <c r="Q282" s="528"/>
      <c r="R282" s="528"/>
      <c r="S282" s="528"/>
      <c r="T282" s="522"/>
      <c r="U282" s="522"/>
      <c r="V282" s="522"/>
      <c r="W282" s="2"/>
      <c r="X282" s="2"/>
      <c r="Y282" s="2"/>
      <c r="Z282" s="2"/>
      <c r="AA282" s="2"/>
    </row>
    <row r="283" spans="2:27" hidden="1">
      <c r="H283" s="546"/>
      <c r="I283" s="546" t="s">
        <v>901</v>
      </c>
      <c r="J283" s="546"/>
      <c r="K283" s="17"/>
      <c r="L283" s="17"/>
      <c r="M283" s="17"/>
      <c r="N283" s="522"/>
      <c r="O283" s="522"/>
      <c r="P283" s="522"/>
      <c r="Q283" s="522"/>
      <c r="R283" s="522"/>
      <c r="S283" s="522"/>
      <c r="T283" s="522"/>
      <c r="U283" s="522"/>
      <c r="V283" s="522"/>
      <c r="W283" s="2"/>
      <c r="X283" s="2"/>
      <c r="Y283" s="2"/>
      <c r="Z283" s="2"/>
      <c r="AA283" s="2"/>
    </row>
    <row r="284" spans="2:27" hidden="1">
      <c r="K284" s="17"/>
      <c r="L284" s="17"/>
      <c r="M284" s="17"/>
      <c r="N284" s="522"/>
      <c r="O284" s="522"/>
      <c r="P284" s="522"/>
      <c r="Q284" s="522"/>
      <c r="R284" s="522"/>
      <c r="S284" s="522"/>
      <c r="T284" s="522"/>
      <c r="U284" s="522"/>
      <c r="V284" s="522"/>
      <c r="W284" s="2"/>
      <c r="X284" s="2"/>
      <c r="Y284" s="2"/>
      <c r="Z284" s="2"/>
      <c r="AA284" s="2"/>
    </row>
    <row r="285" spans="2:27" ht="13.15" hidden="1" thickBot="1">
      <c r="K285" s="17"/>
      <c r="L285" s="17"/>
      <c r="M285" s="17"/>
      <c r="N285" s="522"/>
      <c r="O285" s="522"/>
      <c r="P285" s="522"/>
      <c r="Q285" s="522"/>
      <c r="R285" s="522"/>
      <c r="S285" s="522"/>
      <c r="T285" s="522"/>
      <c r="U285" s="522"/>
      <c r="V285" s="522"/>
      <c r="W285" s="2"/>
      <c r="X285" s="2"/>
      <c r="Y285" s="2"/>
      <c r="Z285" s="2"/>
      <c r="AA285" s="2"/>
    </row>
    <row r="286" spans="2:27" hidden="1">
      <c r="B286" s="421"/>
      <c r="C286" s="476"/>
      <c r="D286" s="490"/>
      <c r="E286" s="651" t="s">
        <v>894</v>
      </c>
      <c r="F286" s="652"/>
      <c r="G286" s="653"/>
      <c r="H286" s="648" t="s">
        <v>895</v>
      </c>
      <c r="I286" s="649"/>
      <c r="J286" s="650"/>
      <c r="K286" s="530"/>
      <c r="L286" s="530"/>
      <c r="M286" s="530"/>
      <c r="N286" s="530"/>
      <c r="O286" s="530"/>
      <c r="P286" s="530"/>
      <c r="Q286" s="530"/>
      <c r="R286" s="530"/>
      <c r="S286" s="530"/>
      <c r="T286" s="522"/>
      <c r="U286" s="522"/>
      <c r="V286" s="522"/>
      <c r="W286" s="2"/>
      <c r="X286" s="2"/>
      <c r="Y286" s="2"/>
      <c r="Z286" s="2"/>
      <c r="AA286" s="2"/>
    </row>
    <row r="287" spans="2:27" hidden="1">
      <c r="B287" s="423" t="s">
        <v>119</v>
      </c>
      <c r="C287" s="424" t="s">
        <v>122</v>
      </c>
      <c r="D287" s="491" t="s">
        <v>896</v>
      </c>
      <c r="E287" s="531" t="s">
        <v>892</v>
      </c>
      <c r="F287" s="532" t="s">
        <v>889</v>
      </c>
      <c r="G287" s="533" t="s">
        <v>891</v>
      </c>
      <c r="H287" s="440" t="s">
        <v>892</v>
      </c>
      <c r="I287" s="477" t="s">
        <v>889</v>
      </c>
      <c r="J287" s="478" t="s">
        <v>891</v>
      </c>
      <c r="K287" s="29"/>
      <c r="L287" s="523"/>
      <c r="M287" s="523"/>
      <c r="N287" s="523"/>
      <c r="O287" s="523"/>
      <c r="P287" s="523"/>
      <c r="Q287" s="523"/>
      <c r="R287" s="523"/>
      <c r="S287" s="523"/>
      <c r="T287" s="522"/>
      <c r="U287" s="522"/>
      <c r="V287" s="522"/>
      <c r="W287" s="2"/>
      <c r="X287" s="2"/>
      <c r="Y287" s="2"/>
      <c r="Z287" s="2"/>
      <c r="AA287" s="2"/>
    </row>
    <row r="288" spans="2:27" ht="14.65" hidden="1" thickBot="1">
      <c r="B288" s="449" t="s">
        <v>121</v>
      </c>
      <c r="C288" s="430" t="s">
        <v>510</v>
      </c>
      <c r="D288" s="492" t="s">
        <v>829</v>
      </c>
      <c r="E288" s="534" t="s">
        <v>893</v>
      </c>
      <c r="F288" s="535" t="s">
        <v>890</v>
      </c>
      <c r="G288" s="536" t="s">
        <v>890</v>
      </c>
      <c r="H288" s="406" t="s">
        <v>893</v>
      </c>
      <c r="I288" s="488" t="s">
        <v>890</v>
      </c>
      <c r="J288" s="489" t="s">
        <v>890</v>
      </c>
      <c r="K288" s="29"/>
      <c r="L288" s="523"/>
      <c r="M288" s="523"/>
      <c r="N288" s="523"/>
      <c r="O288" s="523"/>
      <c r="P288" s="523"/>
      <c r="Q288" s="523"/>
      <c r="R288" s="523"/>
      <c r="S288" s="523"/>
      <c r="T288" s="506"/>
      <c r="U288" s="522"/>
      <c r="V288" s="522"/>
      <c r="W288" s="2"/>
      <c r="X288" s="2"/>
      <c r="Y288" s="2"/>
      <c r="Z288" s="2"/>
      <c r="AA288" s="2"/>
    </row>
    <row r="289" spans="2:27" ht="13.15" hidden="1">
      <c r="B289" s="432" t="s">
        <v>109</v>
      </c>
      <c r="C289" s="433">
        <v>34.4</v>
      </c>
      <c r="D289" s="493">
        <v>50</v>
      </c>
      <c r="E289" s="547">
        <f>0.25*$C289*$D289</f>
        <v>430</v>
      </c>
      <c r="F289" s="548">
        <f>0.35*$C289*$D289</f>
        <v>602</v>
      </c>
      <c r="G289" s="549">
        <f>0.45*$C289*$D289</f>
        <v>774</v>
      </c>
      <c r="H289" s="504">
        <f>0.273*0.66*$C289*$D289</f>
        <v>309.90960000000001</v>
      </c>
      <c r="I289" s="486">
        <f>0.5*0.66*$C289*$D289</f>
        <v>567.6</v>
      </c>
      <c r="J289" s="487">
        <f>0.6*0.66*$C289*$D289</f>
        <v>681.12</v>
      </c>
      <c r="K289" s="524"/>
      <c r="L289" s="524"/>
      <c r="M289" s="524"/>
      <c r="N289" s="525"/>
      <c r="O289" s="525"/>
      <c r="P289" s="525"/>
      <c r="Q289" s="525"/>
      <c r="R289" s="525"/>
      <c r="S289" s="525"/>
      <c r="T289" s="526"/>
      <c r="U289" s="526"/>
      <c r="V289" s="526"/>
      <c r="W289" s="2"/>
      <c r="X289" s="2"/>
      <c r="Y289" s="2"/>
      <c r="Z289" s="2"/>
      <c r="AA289" s="2"/>
    </row>
    <row r="290" spans="2:27" ht="13.15" hidden="1">
      <c r="B290" s="425" t="s">
        <v>110</v>
      </c>
      <c r="C290" s="424">
        <v>30.1</v>
      </c>
      <c r="D290" s="494">
        <v>50</v>
      </c>
      <c r="E290" s="550">
        <f t="shared" ref="E290:E299" si="97">0.25*$C290*$D290</f>
        <v>376.25</v>
      </c>
      <c r="F290" s="551">
        <f t="shared" ref="F290:F299" si="98">0.35*$C290*$D290</f>
        <v>526.75</v>
      </c>
      <c r="G290" s="552">
        <f t="shared" ref="G290:G299" si="99">0.45*$C290*$D290</f>
        <v>677.25000000000011</v>
      </c>
      <c r="H290" s="504">
        <f t="shared" ref="H290:H299" si="100">0.273*0.66*$C290*$D290</f>
        <v>271.17090000000007</v>
      </c>
      <c r="I290" s="480">
        <f t="shared" ref="I290:I299" si="101">0.5*0.66*$C290*$D290</f>
        <v>496.65000000000009</v>
      </c>
      <c r="J290" s="481">
        <f t="shared" ref="J290:J299" si="102">0.6*0.66*$C290*$D290</f>
        <v>595.98</v>
      </c>
      <c r="K290" s="524"/>
      <c r="L290" s="524"/>
      <c r="M290" s="524"/>
      <c r="N290" s="525"/>
      <c r="O290" s="525"/>
      <c r="P290" s="525"/>
      <c r="Q290" s="525"/>
      <c r="R290" s="525"/>
      <c r="S290" s="525"/>
      <c r="T290" s="526"/>
      <c r="U290" s="526"/>
      <c r="V290" s="526"/>
      <c r="W290" s="2"/>
      <c r="X290" s="2"/>
      <c r="Y290" s="2"/>
      <c r="Z290" s="2"/>
      <c r="AA290" s="2"/>
    </row>
    <row r="291" spans="2:27" ht="13.15" hidden="1">
      <c r="B291" s="425" t="s">
        <v>519</v>
      </c>
      <c r="C291" s="424">
        <v>26.1</v>
      </c>
      <c r="D291" s="494">
        <v>50</v>
      </c>
      <c r="E291" s="550">
        <f t="shared" si="97"/>
        <v>326.25</v>
      </c>
      <c r="F291" s="551">
        <f t="shared" si="98"/>
        <v>456.75</v>
      </c>
      <c r="G291" s="552">
        <f t="shared" si="99"/>
        <v>587.25</v>
      </c>
      <c r="H291" s="504">
        <f t="shared" si="100"/>
        <v>235.13490000000007</v>
      </c>
      <c r="I291" s="480">
        <f t="shared" si="101"/>
        <v>430.65000000000009</v>
      </c>
      <c r="J291" s="481">
        <f t="shared" si="102"/>
        <v>516.78000000000009</v>
      </c>
      <c r="K291" s="524"/>
      <c r="L291" s="524"/>
      <c r="M291" s="524"/>
      <c r="N291" s="525"/>
      <c r="O291" s="525"/>
      <c r="P291" s="525"/>
      <c r="Q291" s="525"/>
      <c r="R291" s="525"/>
      <c r="S291" s="525"/>
      <c r="T291" s="526"/>
      <c r="U291" s="526"/>
      <c r="V291" s="526"/>
      <c r="W291" s="2"/>
      <c r="X291" s="2"/>
      <c r="Y291" s="2"/>
      <c r="Z291" s="2"/>
      <c r="AA291" s="2"/>
    </row>
    <row r="292" spans="2:27" ht="13.15" hidden="1">
      <c r="B292" s="425" t="s">
        <v>111</v>
      </c>
      <c r="C292" s="424">
        <v>21.4</v>
      </c>
      <c r="D292" s="494">
        <v>50</v>
      </c>
      <c r="E292" s="550">
        <f t="shared" si="97"/>
        <v>267.5</v>
      </c>
      <c r="F292" s="551">
        <f t="shared" si="98"/>
        <v>374.49999999999994</v>
      </c>
      <c r="G292" s="552">
        <f t="shared" si="99"/>
        <v>481.49999999999994</v>
      </c>
      <c r="H292" s="504">
        <f t="shared" si="100"/>
        <v>192.79260000000002</v>
      </c>
      <c r="I292" s="480">
        <f t="shared" si="101"/>
        <v>353.1</v>
      </c>
      <c r="J292" s="481">
        <f t="shared" si="102"/>
        <v>423.71999999999997</v>
      </c>
      <c r="K292" s="524"/>
      <c r="L292" s="524"/>
      <c r="M292" s="524"/>
      <c r="N292" s="525"/>
      <c r="O292" s="525"/>
      <c r="P292" s="525"/>
      <c r="Q292" s="525"/>
      <c r="R292" s="525"/>
      <c r="S292" s="525"/>
      <c r="T292" s="525"/>
      <c r="U292" s="525"/>
      <c r="V292" s="525"/>
      <c r="W292" s="2"/>
      <c r="X292" s="2"/>
      <c r="Y292" s="2"/>
      <c r="Z292" s="2"/>
      <c r="AA292" s="2"/>
    </row>
    <row r="293" spans="2:27" ht="13.15" hidden="1">
      <c r="B293" s="425" t="s">
        <v>112</v>
      </c>
      <c r="C293" s="424">
        <v>24.6</v>
      </c>
      <c r="D293" s="494">
        <v>50</v>
      </c>
      <c r="E293" s="550">
        <f t="shared" si="97"/>
        <v>307.5</v>
      </c>
      <c r="F293" s="551">
        <f t="shared" si="98"/>
        <v>430.5</v>
      </c>
      <c r="G293" s="552">
        <f t="shared" si="99"/>
        <v>553.5</v>
      </c>
      <c r="H293" s="504">
        <f t="shared" si="100"/>
        <v>221.62140000000002</v>
      </c>
      <c r="I293" s="480">
        <f t="shared" si="101"/>
        <v>405.90000000000003</v>
      </c>
      <c r="J293" s="481">
        <f t="shared" si="102"/>
        <v>487.0800000000001</v>
      </c>
      <c r="K293" s="524"/>
      <c r="L293" s="524"/>
      <c r="M293" s="524"/>
      <c r="N293" s="525"/>
      <c r="O293" s="525"/>
      <c r="P293" s="525"/>
      <c r="Q293" s="525"/>
      <c r="R293" s="525"/>
      <c r="S293" s="525"/>
      <c r="T293" s="526"/>
      <c r="U293" s="526"/>
      <c r="V293" s="526"/>
      <c r="W293" s="2"/>
      <c r="X293" s="2"/>
      <c r="Y293" s="2"/>
      <c r="Z293" s="2"/>
      <c r="AA293" s="2"/>
    </row>
    <row r="294" spans="2:27" ht="13.15" hidden="1">
      <c r="B294" s="425" t="s">
        <v>113</v>
      </c>
      <c r="C294" s="424">
        <v>21.8</v>
      </c>
      <c r="D294" s="494">
        <v>50</v>
      </c>
      <c r="E294" s="550">
        <f t="shared" si="97"/>
        <v>272.5</v>
      </c>
      <c r="F294" s="551">
        <f t="shared" si="98"/>
        <v>381.5</v>
      </c>
      <c r="G294" s="552">
        <f t="shared" si="99"/>
        <v>490.5</v>
      </c>
      <c r="H294" s="504">
        <f t="shared" si="100"/>
        <v>196.39620000000005</v>
      </c>
      <c r="I294" s="480">
        <f t="shared" si="101"/>
        <v>359.70000000000005</v>
      </c>
      <c r="J294" s="481">
        <f t="shared" si="102"/>
        <v>431.64000000000004</v>
      </c>
      <c r="K294" s="524"/>
      <c r="L294" s="524"/>
      <c r="M294" s="524"/>
      <c r="N294" s="525"/>
      <c r="O294" s="525"/>
      <c r="P294" s="525"/>
      <c r="Q294" s="525"/>
      <c r="R294" s="525"/>
      <c r="S294" s="525"/>
      <c r="T294" s="526"/>
      <c r="U294" s="526"/>
      <c r="V294" s="526"/>
      <c r="W294" s="2"/>
      <c r="X294" s="2"/>
      <c r="Y294" s="2"/>
      <c r="Z294" s="2"/>
      <c r="AA294" s="2"/>
    </row>
    <row r="295" spans="2:27" ht="13.15" hidden="1">
      <c r="B295" s="425" t="s">
        <v>114</v>
      </c>
      <c r="C295" s="424">
        <v>18.399999999999999</v>
      </c>
      <c r="D295" s="494">
        <v>50</v>
      </c>
      <c r="E295" s="550">
        <f t="shared" si="97"/>
        <v>229.99999999999997</v>
      </c>
      <c r="F295" s="551">
        <f t="shared" si="98"/>
        <v>322</v>
      </c>
      <c r="G295" s="552">
        <f t="shared" si="99"/>
        <v>413.99999999999994</v>
      </c>
      <c r="H295" s="504">
        <f t="shared" si="100"/>
        <v>165.76560000000003</v>
      </c>
      <c r="I295" s="480">
        <f t="shared" si="101"/>
        <v>303.60000000000002</v>
      </c>
      <c r="J295" s="481">
        <f t="shared" si="102"/>
        <v>364.32</v>
      </c>
      <c r="K295" s="524"/>
      <c r="L295" s="524"/>
      <c r="M295" s="524"/>
      <c r="N295" s="525"/>
      <c r="O295" s="525"/>
      <c r="P295" s="525"/>
      <c r="Q295" s="525"/>
      <c r="R295" s="525"/>
      <c r="S295" s="525"/>
      <c r="T295" s="526"/>
      <c r="U295" s="526"/>
      <c r="V295" s="526"/>
      <c r="W295" s="2"/>
      <c r="X295" s="2"/>
      <c r="Y295" s="2"/>
      <c r="Z295" s="2"/>
      <c r="AA295" s="2"/>
    </row>
    <row r="296" spans="2:27" ht="13.15" hidden="1">
      <c r="B296" s="425" t="s">
        <v>115</v>
      </c>
      <c r="C296" s="424">
        <v>15.5</v>
      </c>
      <c r="D296" s="494">
        <v>50</v>
      </c>
      <c r="E296" s="550">
        <f t="shared" si="97"/>
        <v>193.75</v>
      </c>
      <c r="F296" s="551">
        <f t="shared" si="98"/>
        <v>271.25</v>
      </c>
      <c r="G296" s="552">
        <f t="shared" si="99"/>
        <v>348.75</v>
      </c>
      <c r="H296" s="504">
        <f t="shared" si="100"/>
        <v>139.63950000000003</v>
      </c>
      <c r="I296" s="480">
        <f t="shared" si="101"/>
        <v>255.75</v>
      </c>
      <c r="J296" s="481">
        <f t="shared" si="102"/>
        <v>306.89999999999998</v>
      </c>
      <c r="K296" s="524"/>
      <c r="L296" s="524"/>
      <c r="M296" s="524"/>
      <c r="N296" s="525"/>
      <c r="O296" s="525"/>
      <c r="P296" s="525"/>
      <c r="Q296" s="525"/>
      <c r="R296" s="525"/>
      <c r="S296" s="525"/>
      <c r="T296" s="525"/>
      <c r="U296" s="525"/>
      <c r="V296" s="525"/>
      <c r="W296" s="2"/>
      <c r="X296" s="2"/>
      <c r="Y296" s="2"/>
      <c r="Z296" s="2"/>
      <c r="AA296" s="2"/>
    </row>
    <row r="297" spans="2:27" ht="13.15" hidden="1">
      <c r="B297" s="425" t="s">
        <v>116</v>
      </c>
      <c r="C297" s="424">
        <v>16.7</v>
      </c>
      <c r="D297" s="494">
        <v>50</v>
      </c>
      <c r="E297" s="550">
        <f t="shared" si="97"/>
        <v>208.75</v>
      </c>
      <c r="F297" s="551">
        <f t="shared" si="98"/>
        <v>292.25</v>
      </c>
      <c r="G297" s="552">
        <f t="shared" si="99"/>
        <v>375.75</v>
      </c>
      <c r="H297" s="504">
        <f t="shared" si="100"/>
        <v>150.45030000000003</v>
      </c>
      <c r="I297" s="480">
        <f t="shared" si="101"/>
        <v>275.55</v>
      </c>
      <c r="J297" s="481">
        <f t="shared" si="102"/>
        <v>330.66</v>
      </c>
      <c r="K297" s="524"/>
      <c r="L297" s="524"/>
      <c r="M297" s="524"/>
      <c r="N297" s="525"/>
      <c r="O297" s="525"/>
      <c r="P297" s="525"/>
      <c r="Q297" s="525"/>
      <c r="R297" s="525"/>
      <c r="S297" s="525"/>
      <c r="T297" s="526"/>
      <c r="U297" s="526"/>
      <c r="V297" s="526"/>
      <c r="W297" s="2"/>
      <c r="X297" s="2"/>
      <c r="Y297" s="2"/>
      <c r="Z297" s="2"/>
      <c r="AA297" s="2"/>
    </row>
    <row r="298" spans="2:27" ht="13.15" hidden="1">
      <c r="B298" s="425" t="s">
        <v>117</v>
      </c>
      <c r="C298" s="424">
        <v>12.4</v>
      </c>
      <c r="D298" s="494">
        <v>50</v>
      </c>
      <c r="E298" s="550">
        <f t="shared" si="97"/>
        <v>155</v>
      </c>
      <c r="F298" s="551">
        <f t="shared" si="98"/>
        <v>217</v>
      </c>
      <c r="G298" s="552">
        <f t="shared" si="99"/>
        <v>279</v>
      </c>
      <c r="H298" s="504">
        <f t="shared" si="100"/>
        <v>111.71160000000002</v>
      </c>
      <c r="I298" s="480">
        <f t="shared" si="101"/>
        <v>204.60000000000002</v>
      </c>
      <c r="J298" s="481">
        <f t="shared" si="102"/>
        <v>245.52</v>
      </c>
      <c r="K298" s="524"/>
      <c r="L298" s="524"/>
      <c r="M298" s="524"/>
      <c r="N298" s="525"/>
      <c r="O298" s="525"/>
      <c r="P298" s="525"/>
      <c r="Q298" s="525"/>
      <c r="R298" s="525"/>
      <c r="S298" s="525"/>
      <c r="T298" s="526"/>
      <c r="U298" s="526"/>
      <c r="V298" s="526"/>
      <c r="W298" s="2"/>
      <c r="X298" s="2"/>
      <c r="Y298" s="2"/>
      <c r="Z298" s="2"/>
      <c r="AA298" s="2"/>
    </row>
    <row r="299" spans="2:27" ht="13.5" hidden="1" thickBot="1">
      <c r="B299" s="429" t="s">
        <v>118</v>
      </c>
      <c r="C299" s="430">
        <v>10.6</v>
      </c>
      <c r="D299" s="495">
        <v>50</v>
      </c>
      <c r="E299" s="553">
        <f t="shared" si="97"/>
        <v>132.5</v>
      </c>
      <c r="F299" s="554">
        <f t="shared" si="98"/>
        <v>185.49999999999997</v>
      </c>
      <c r="G299" s="555">
        <f t="shared" si="99"/>
        <v>238.49999999999997</v>
      </c>
      <c r="H299" s="505">
        <f t="shared" si="100"/>
        <v>95.495400000000018</v>
      </c>
      <c r="I299" s="483">
        <f t="shared" si="101"/>
        <v>174.9</v>
      </c>
      <c r="J299" s="484">
        <f t="shared" si="102"/>
        <v>209.88000000000002</v>
      </c>
      <c r="K299" s="524"/>
      <c r="L299" s="524"/>
      <c r="M299" s="524"/>
      <c r="N299" s="525"/>
      <c r="O299" s="525"/>
      <c r="P299" s="525"/>
      <c r="Q299" s="525"/>
      <c r="R299" s="525"/>
      <c r="S299" s="525"/>
      <c r="T299" s="526"/>
      <c r="U299" s="526"/>
      <c r="V299" s="526"/>
      <c r="W299" s="2"/>
      <c r="X299" s="2"/>
      <c r="Y299" s="2"/>
      <c r="Z299" s="2"/>
      <c r="AA299" s="2"/>
    </row>
    <row r="300" spans="2:27" ht="13.15" hidden="1">
      <c r="E300" s="546" t="s">
        <v>897</v>
      </c>
      <c r="F300" s="546" t="s">
        <v>898</v>
      </c>
      <c r="G300" s="546" t="s">
        <v>899</v>
      </c>
      <c r="H300" s="382" t="s">
        <v>900</v>
      </c>
      <c r="J300" s="382" t="s">
        <v>902</v>
      </c>
      <c r="K300" s="17"/>
      <c r="L300" s="17"/>
      <c r="M300" s="17"/>
      <c r="N300" s="529"/>
      <c r="O300" s="529"/>
      <c r="P300" s="529"/>
      <c r="Q300" s="522"/>
      <c r="R300" s="522"/>
      <c r="S300" s="522"/>
      <c r="T300" s="522"/>
      <c r="U300" s="522"/>
      <c r="V300" s="522"/>
      <c r="W300" s="2"/>
      <c r="X300" s="2"/>
      <c r="Y300" s="2"/>
      <c r="Z300" s="2"/>
      <c r="AA300" s="2"/>
    </row>
    <row r="301" spans="2:27" hidden="1">
      <c r="I301" s="382" t="s">
        <v>901</v>
      </c>
      <c r="N301" s="2"/>
      <c r="O301" s="2"/>
      <c r="P301" s="2"/>
      <c r="Q301" s="2"/>
      <c r="R301" s="2"/>
      <c r="S301" s="2"/>
      <c r="T301" s="2"/>
      <c r="U301" s="2"/>
      <c r="V301" s="2"/>
      <c r="W301" s="2"/>
      <c r="X301" s="2"/>
      <c r="Y301" s="2"/>
      <c r="Z301" s="2"/>
      <c r="AA301" s="2"/>
    </row>
    <row r="302" spans="2:27" hidden="1">
      <c r="N302" s="2"/>
      <c r="O302" s="2"/>
      <c r="P302" s="2"/>
      <c r="Q302" s="2"/>
      <c r="R302" s="2"/>
      <c r="S302" s="2"/>
      <c r="T302" s="2"/>
      <c r="U302" s="2"/>
      <c r="V302" s="2"/>
      <c r="W302" s="2"/>
      <c r="X302" s="2"/>
      <c r="Y302" s="2"/>
      <c r="Z302" s="2"/>
      <c r="AA302" s="2"/>
    </row>
    <row r="303" spans="2:27" hidden="1">
      <c r="B303" s="382" t="s">
        <v>931</v>
      </c>
      <c r="N303" s="2"/>
      <c r="O303" s="2"/>
      <c r="P303" s="2"/>
      <c r="Q303" s="2"/>
      <c r="R303" s="2"/>
      <c r="S303" s="2"/>
      <c r="T303" s="2"/>
      <c r="U303" s="2"/>
      <c r="V303" s="2"/>
      <c r="W303" s="2"/>
      <c r="X303" s="2"/>
      <c r="Y303" s="2"/>
      <c r="Z303" s="2"/>
      <c r="AA303" s="2"/>
    </row>
    <row r="304" spans="2:27" hidden="1">
      <c r="N304" s="2"/>
      <c r="O304" s="2"/>
      <c r="P304" s="2"/>
      <c r="Q304" s="2"/>
      <c r="R304" s="2"/>
      <c r="S304" s="2"/>
      <c r="T304" s="2"/>
      <c r="U304" s="2"/>
      <c r="V304" s="2"/>
      <c r="W304" s="2"/>
      <c r="X304" s="2"/>
      <c r="Y304" s="2"/>
      <c r="Z304" s="2"/>
      <c r="AA304" s="2"/>
    </row>
    <row r="305" spans="14:27" hidden="1">
      <c r="N305" s="2"/>
      <c r="O305" s="2"/>
      <c r="P305" s="2"/>
      <c r="Q305" s="2"/>
      <c r="R305" s="2"/>
      <c r="S305" s="2"/>
      <c r="T305" s="2"/>
      <c r="U305" s="2"/>
      <c r="V305" s="2"/>
      <c r="W305" s="2"/>
      <c r="X305" s="2"/>
      <c r="Y305" s="2"/>
      <c r="Z305" s="2"/>
      <c r="AA305" s="2"/>
    </row>
    <row r="306" spans="14:27">
      <c r="N306" s="2"/>
      <c r="O306" s="2"/>
      <c r="P306" s="2"/>
      <c r="Q306" s="2"/>
      <c r="R306" s="2"/>
      <c r="S306" s="2"/>
      <c r="T306" s="2"/>
      <c r="U306" s="2"/>
      <c r="V306" s="2"/>
      <c r="W306" s="2"/>
      <c r="X306" s="2"/>
      <c r="Y306" s="2"/>
      <c r="Z306" s="2"/>
      <c r="AA306" s="2"/>
    </row>
    <row r="307" spans="14:27">
      <c r="N307" s="2"/>
      <c r="O307" s="2"/>
      <c r="P307" s="2"/>
      <c r="Q307" s="2"/>
      <c r="R307" s="2"/>
      <c r="S307" s="2"/>
      <c r="T307" s="2"/>
      <c r="U307" s="2"/>
      <c r="V307" s="2"/>
      <c r="W307" s="2"/>
      <c r="X307" s="2"/>
      <c r="Y307" s="2"/>
      <c r="Z307" s="2"/>
      <c r="AA307" s="2"/>
    </row>
    <row r="308" spans="14:27">
      <c r="N308" s="2"/>
      <c r="O308" s="2"/>
      <c r="P308" s="2"/>
      <c r="Q308" s="2"/>
      <c r="R308" s="2"/>
      <c r="S308" s="2"/>
      <c r="T308" s="2"/>
      <c r="U308" s="2"/>
      <c r="V308" s="2"/>
      <c r="W308" s="2"/>
      <c r="X308" s="2"/>
      <c r="Y308" s="2"/>
      <c r="Z308" s="2"/>
      <c r="AA308" s="2"/>
    </row>
    <row r="309" spans="14:27">
      <c r="N309" s="2"/>
      <c r="O309" s="2"/>
      <c r="P309" s="2"/>
      <c r="Q309" s="2"/>
      <c r="R309" s="2"/>
      <c r="S309" s="2"/>
      <c r="T309" s="2"/>
      <c r="U309" s="2"/>
      <c r="V309" s="2"/>
      <c r="W309" s="2"/>
      <c r="X309" s="2"/>
      <c r="Y309" s="2"/>
      <c r="Z309" s="2"/>
      <c r="AA309" s="2"/>
    </row>
    <row r="310" spans="14:27">
      <c r="N310" s="2"/>
      <c r="O310" s="2"/>
      <c r="P310" s="2"/>
      <c r="Q310" s="2"/>
      <c r="R310" s="2"/>
      <c r="S310" s="2"/>
      <c r="T310" s="2"/>
      <c r="U310" s="2"/>
      <c r="V310" s="2"/>
      <c r="W310" s="2"/>
      <c r="X310" s="2"/>
      <c r="Y310" s="2"/>
      <c r="Z310" s="2"/>
      <c r="AA310" s="2"/>
    </row>
    <row r="311" spans="14:27">
      <c r="N311" s="2"/>
      <c r="O311" s="2"/>
      <c r="P311" s="2"/>
      <c r="Q311" s="2"/>
      <c r="R311" s="2"/>
      <c r="S311" s="2"/>
      <c r="T311" s="2"/>
      <c r="U311" s="2"/>
      <c r="V311" s="2"/>
      <c r="W311" s="2"/>
      <c r="X311" s="2"/>
      <c r="Y311" s="2"/>
      <c r="Z311" s="2"/>
      <c r="AA311" s="2"/>
    </row>
    <row r="312" spans="14:27">
      <c r="N312" s="2"/>
      <c r="O312" s="2"/>
      <c r="P312" s="2"/>
      <c r="Q312" s="2"/>
      <c r="R312" s="2"/>
      <c r="S312" s="2"/>
      <c r="T312" s="2"/>
      <c r="U312" s="2"/>
      <c r="V312" s="2"/>
      <c r="W312" s="2"/>
      <c r="X312" s="2"/>
      <c r="Y312" s="2"/>
      <c r="Z312" s="2"/>
      <c r="AA312" s="2"/>
    </row>
    <row r="313" spans="14:27">
      <c r="N313" s="2"/>
      <c r="O313" s="2"/>
      <c r="P313" s="2"/>
      <c r="Q313" s="2"/>
      <c r="R313" s="2"/>
      <c r="S313" s="2"/>
      <c r="T313" s="2"/>
      <c r="U313" s="2"/>
      <c r="V313" s="2"/>
      <c r="W313" s="2"/>
      <c r="X313" s="2"/>
      <c r="Y313" s="2"/>
      <c r="Z313" s="2"/>
      <c r="AA313" s="2"/>
    </row>
    <row r="314" spans="14:27">
      <c r="N314" s="2"/>
      <c r="O314" s="2"/>
      <c r="P314" s="2"/>
      <c r="Q314" s="2"/>
      <c r="R314" s="2"/>
      <c r="S314" s="2"/>
      <c r="T314" s="2"/>
      <c r="U314" s="2"/>
      <c r="V314" s="2"/>
      <c r="W314" s="2"/>
      <c r="X314" s="2"/>
      <c r="Y314" s="2"/>
      <c r="Z314" s="2"/>
      <c r="AA314" s="2"/>
    </row>
    <row r="315" spans="14:27">
      <c r="N315" s="2"/>
      <c r="O315" s="2"/>
      <c r="P315" s="2"/>
      <c r="Q315" s="2"/>
      <c r="R315" s="2"/>
      <c r="S315" s="2"/>
      <c r="T315" s="2"/>
      <c r="U315" s="2"/>
      <c r="V315" s="2"/>
      <c r="W315" s="2"/>
      <c r="X315" s="2"/>
      <c r="Y315" s="2"/>
      <c r="Z315" s="2"/>
      <c r="AA315" s="2"/>
    </row>
    <row r="316" spans="14:27">
      <c r="N316" s="2"/>
      <c r="O316" s="2"/>
      <c r="P316" s="2"/>
      <c r="Q316" s="2"/>
      <c r="R316" s="2"/>
      <c r="S316" s="2"/>
      <c r="T316" s="2"/>
      <c r="U316" s="2"/>
      <c r="V316" s="2"/>
      <c r="W316" s="2"/>
      <c r="X316" s="2"/>
      <c r="Y316" s="2"/>
      <c r="Z316" s="2"/>
      <c r="AA316" s="2"/>
    </row>
    <row r="317" spans="14:27">
      <c r="N317" s="2"/>
      <c r="O317" s="2"/>
      <c r="P317" s="2"/>
      <c r="Q317" s="2"/>
      <c r="R317" s="2"/>
      <c r="S317" s="2"/>
      <c r="T317" s="2"/>
      <c r="U317" s="2"/>
      <c r="V317" s="2"/>
      <c r="W317" s="2"/>
      <c r="X317" s="2"/>
      <c r="Y317" s="2"/>
      <c r="Z317" s="2"/>
      <c r="AA317" s="2"/>
    </row>
    <row r="318" spans="14:27">
      <c r="N318" s="2"/>
      <c r="O318" s="2"/>
      <c r="P318" s="2"/>
      <c r="Q318" s="2"/>
      <c r="R318" s="2"/>
      <c r="S318" s="2"/>
      <c r="T318" s="2"/>
      <c r="U318" s="2"/>
      <c r="V318" s="2"/>
      <c r="W318" s="2"/>
      <c r="X318" s="2"/>
      <c r="Y318" s="2"/>
      <c r="Z318" s="2"/>
      <c r="AA318" s="2"/>
    </row>
    <row r="319" spans="14:27">
      <c r="N319" s="2"/>
      <c r="O319" s="2"/>
      <c r="P319" s="2"/>
      <c r="Q319" s="2"/>
      <c r="R319" s="2"/>
      <c r="S319" s="2"/>
      <c r="T319" s="2"/>
      <c r="U319" s="2"/>
      <c r="V319" s="2"/>
      <c r="W319" s="2"/>
      <c r="X319" s="2"/>
      <c r="Y319" s="2"/>
      <c r="Z319" s="2"/>
      <c r="AA319" s="2"/>
    </row>
    <row r="320" spans="14:27">
      <c r="N320" s="2"/>
      <c r="O320" s="2"/>
      <c r="P320" s="2"/>
      <c r="Q320" s="2"/>
      <c r="R320" s="2"/>
      <c r="S320" s="2"/>
      <c r="T320" s="2"/>
      <c r="U320" s="2"/>
      <c r="V320" s="2"/>
      <c r="W320" s="2"/>
      <c r="X320" s="2"/>
      <c r="Y320" s="2"/>
      <c r="Z320" s="2"/>
      <c r="AA320" s="2"/>
    </row>
    <row r="321" spans="14:27">
      <c r="N321" s="2"/>
      <c r="O321" s="2"/>
      <c r="P321" s="2"/>
      <c r="Q321" s="2"/>
      <c r="R321" s="2"/>
      <c r="S321" s="2"/>
      <c r="T321" s="2"/>
      <c r="U321" s="2"/>
      <c r="V321" s="2"/>
      <c r="W321" s="2"/>
      <c r="X321" s="2"/>
      <c r="Y321" s="2"/>
      <c r="Z321" s="2"/>
      <c r="AA321" s="2"/>
    </row>
    <row r="322" spans="14:27">
      <c r="N322" s="2"/>
      <c r="O322" s="2"/>
      <c r="P322" s="2"/>
      <c r="Q322" s="2"/>
      <c r="R322" s="2"/>
      <c r="S322" s="2"/>
      <c r="T322" s="2"/>
      <c r="U322" s="2"/>
      <c r="V322" s="2"/>
      <c r="W322" s="2"/>
      <c r="X322" s="2"/>
      <c r="Y322" s="2"/>
      <c r="Z322" s="2"/>
      <c r="AA322" s="2"/>
    </row>
    <row r="323" spans="14:27">
      <c r="N323" s="2"/>
      <c r="O323" s="2"/>
      <c r="P323" s="2"/>
      <c r="Q323" s="2"/>
      <c r="R323" s="2"/>
      <c r="S323" s="2"/>
      <c r="T323" s="2"/>
      <c r="U323" s="2"/>
      <c r="V323" s="2"/>
      <c r="W323" s="2"/>
      <c r="X323" s="2"/>
      <c r="Y323" s="2"/>
      <c r="Z323" s="2"/>
      <c r="AA323" s="2"/>
    </row>
    <row r="324" spans="14:27">
      <c r="N324" s="2"/>
      <c r="O324" s="2"/>
      <c r="P324" s="2"/>
      <c r="Q324" s="2"/>
      <c r="R324" s="2"/>
      <c r="S324" s="2"/>
      <c r="T324" s="2"/>
      <c r="U324" s="2"/>
      <c r="V324" s="2"/>
      <c r="W324" s="2"/>
      <c r="X324" s="2"/>
      <c r="Y324" s="2"/>
      <c r="Z324" s="2"/>
      <c r="AA324" s="2"/>
    </row>
    <row r="325" spans="14:27">
      <c r="N325" s="2"/>
      <c r="O325" s="2"/>
      <c r="P325" s="2"/>
      <c r="Q325" s="2"/>
      <c r="R325" s="2"/>
      <c r="S325" s="2"/>
      <c r="T325" s="2"/>
      <c r="U325" s="2"/>
      <c r="V325" s="2"/>
      <c r="W325" s="2"/>
      <c r="X325" s="2"/>
      <c r="Y325" s="2"/>
      <c r="Z325" s="2"/>
      <c r="AA325" s="2"/>
    </row>
    <row r="326" spans="14:27">
      <c r="N326" s="2"/>
      <c r="O326" s="2"/>
      <c r="P326" s="2"/>
      <c r="Q326" s="2"/>
      <c r="R326" s="2"/>
      <c r="S326" s="2"/>
      <c r="T326" s="2"/>
      <c r="U326" s="2"/>
      <c r="V326" s="2"/>
      <c r="W326" s="2"/>
      <c r="X326" s="2"/>
      <c r="Y326" s="2"/>
      <c r="Z326" s="2"/>
      <c r="AA326" s="2"/>
    </row>
    <row r="327" spans="14:27">
      <c r="N327" s="2"/>
      <c r="O327" s="2"/>
      <c r="P327" s="2"/>
      <c r="Q327" s="2"/>
      <c r="R327" s="2"/>
      <c r="S327" s="2"/>
      <c r="T327" s="2"/>
      <c r="U327" s="2"/>
      <c r="V327" s="2"/>
      <c r="W327" s="2"/>
      <c r="X327" s="2"/>
      <c r="Y327" s="2"/>
      <c r="Z327" s="2"/>
      <c r="AA327" s="2"/>
    </row>
    <row r="328" spans="14:27">
      <c r="N328" s="2"/>
      <c r="O328" s="2"/>
      <c r="P328" s="2"/>
      <c r="Q328" s="2"/>
      <c r="R328" s="2"/>
      <c r="S328" s="2"/>
      <c r="T328" s="2"/>
      <c r="U328" s="2"/>
      <c r="V328" s="2"/>
      <c r="W328" s="2"/>
      <c r="X328" s="2"/>
      <c r="Y328" s="2"/>
      <c r="Z328" s="2"/>
      <c r="AA328" s="2"/>
    </row>
    <row r="329" spans="14:27">
      <c r="N329" s="2"/>
      <c r="O329" s="2"/>
      <c r="P329" s="2"/>
      <c r="Q329" s="2"/>
      <c r="R329" s="2"/>
      <c r="S329" s="2"/>
      <c r="T329" s="2"/>
      <c r="U329" s="2"/>
      <c r="V329" s="2"/>
      <c r="W329" s="2"/>
      <c r="X329" s="2"/>
      <c r="Y329" s="2"/>
      <c r="Z329" s="2"/>
      <c r="AA329" s="2"/>
    </row>
    <row r="330" spans="14:27">
      <c r="N330" s="2"/>
      <c r="O330" s="2"/>
      <c r="P330" s="2"/>
      <c r="Q330" s="2"/>
      <c r="R330" s="2"/>
      <c r="S330" s="2"/>
      <c r="T330" s="2"/>
      <c r="U330" s="2"/>
      <c r="V330" s="2"/>
      <c r="W330" s="2"/>
      <c r="X330" s="2"/>
      <c r="Y330" s="2"/>
      <c r="Z330" s="2"/>
      <c r="AA330" s="2"/>
    </row>
    <row r="331" spans="14:27">
      <c r="N331" s="2"/>
      <c r="O331" s="2"/>
      <c r="P331" s="2"/>
      <c r="Q331" s="2"/>
      <c r="R331" s="2"/>
      <c r="S331" s="2"/>
      <c r="T331" s="2"/>
      <c r="U331" s="2"/>
      <c r="V331" s="2"/>
      <c r="W331" s="2"/>
      <c r="X331" s="2"/>
      <c r="Y331" s="2"/>
      <c r="Z331" s="2"/>
      <c r="AA331" s="2"/>
    </row>
    <row r="332" spans="14:27">
      <c r="N332" s="2"/>
      <c r="O332" s="2"/>
      <c r="P332" s="2"/>
      <c r="Q332" s="2"/>
      <c r="R332" s="2"/>
      <c r="S332" s="2"/>
      <c r="T332" s="2"/>
      <c r="U332" s="2"/>
      <c r="V332" s="2"/>
      <c r="W332" s="2"/>
      <c r="X332" s="2"/>
      <c r="Y332" s="2"/>
      <c r="Z332" s="2"/>
      <c r="AA332" s="2"/>
    </row>
    <row r="333" spans="14:27">
      <c r="N333" s="2"/>
      <c r="O333" s="2"/>
      <c r="P333" s="2"/>
      <c r="Q333" s="2"/>
      <c r="R333" s="2"/>
      <c r="S333" s="2"/>
      <c r="T333" s="2"/>
      <c r="U333" s="2"/>
      <c r="V333" s="2"/>
      <c r="W333" s="2"/>
      <c r="X333" s="2"/>
      <c r="Y333" s="2"/>
      <c r="Z333" s="2"/>
      <c r="AA333" s="2"/>
    </row>
    <row r="334" spans="14:27">
      <c r="N334" s="2"/>
      <c r="O334" s="2"/>
      <c r="P334" s="2"/>
      <c r="Q334" s="2"/>
      <c r="R334" s="2"/>
      <c r="S334" s="2"/>
      <c r="T334" s="2"/>
      <c r="U334" s="2"/>
      <c r="V334" s="2"/>
      <c r="W334" s="2"/>
      <c r="X334" s="2"/>
      <c r="Y334" s="2"/>
      <c r="Z334" s="2"/>
      <c r="AA334" s="2"/>
    </row>
    <row r="335" spans="14:27">
      <c r="N335" s="2"/>
      <c r="O335" s="2"/>
      <c r="P335" s="2"/>
      <c r="Q335" s="2"/>
      <c r="R335" s="2"/>
      <c r="S335" s="2"/>
      <c r="T335" s="2"/>
      <c r="U335" s="2"/>
      <c r="V335" s="2"/>
      <c r="W335" s="2"/>
      <c r="X335" s="2"/>
      <c r="Y335" s="2"/>
      <c r="Z335" s="2"/>
      <c r="AA335" s="2"/>
    </row>
    <row r="336" spans="14:27">
      <c r="N336" s="2"/>
      <c r="O336" s="2"/>
      <c r="P336" s="2"/>
      <c r="Q336" s="2"/>
      <c r="R336" s="2"/>
      <c r="S336" s="2"/>
      <c r="T336" s="2"/>
      <c r="U336" s="2"/>
      <c r="V336" s="2"/>
      <c r="W336" s="2"/>
      <c r="X336" s="2"/>
      <c r="Y336" s="2"/>
      <c r="Z336" s="2"/>
      <c r="AA336" s="2"/>
    </row>
    <row r="337" spans="14:27">
      <c r="N337" s="2"/>
      <c r="O337" s="2"/>
      <c r="P337" s="2"/>
      <c r="Q337" s="2"/>
      <c r="R337" s="2"/>
      <c r="S337" s="2"/>
      <c r="T337" s="2"/>
      <c r="U337" s="2"/>
      <c r="V337" s="2"/>
      <c r="W337" s="2"/>
      <c r="X337" s="2"/>
      <c r="Y337" s="2"/>
      <c r="Z337" s="2"/>
      <c r="AA337" s="2"/>
    </row>
    <row r="338" spans="14:27">
      <c r="N338" s="2"/>
      <c r="O338" s="2"/>
      <c r="P338" s="2"/>
      <c r="Q338" s="2"/>
      <c r="R338" s="2"/>
      <c r="S338" s="2"/>
      <c r="T338" s="2"/>
      <c r="U338" s="2"/>
      <c r="V338" s="2"/>
      <c r="W338" s="2"/>
      <c r="X338" s="2"/>
      <c r="Y338" s="2"/>
      <c r="Z338" s="2"/>
      <c r="AA338" s="2"/>
    </row>
    <row r="339" spans="14:27">
      <c r="N339" s="2"/>
      <c r="O339" s="2"/>
      <c r="P339" s="2"/>
      <c r="Q339" s="2"/>
      <c r="R339" s="2"/>
      <c r="S339" s="2"/>
      <c r="T339" s="2"/>
      <c r="U339" s="2"/>
      <c r="V339" s="2"/>
      <c r="W339" s="2"/>
      <c r="X339" s="2"/>
      <c r="Y339" s="2"/>
      <c r="Z339" s="2"/>
      <c r="AA339" s="2"/>
    </row>
    <row r="340" spans="14:27">
      <c r="N340" s="2"/>
      <c r="O340" s="2"/>
      <c r="P340" s="2"/>
      <c r="Q340" s="2"/>
      <c r="R340" s="2"/>
      <c r="S340" s="2"/>
      <c r="T340" s="2"/>
      <c r="U340" s="2"/>
      <c r="V340" s="2"/>
      <c r="W340" s="2"/>
      <c r="X340" s="2"/>
      <c r="Y340" s="2"/>
      <c r="Z340" s="2"/>
      <c r="AA340" s="2"/>
    </row>
    <row r="341" spans="14:27">
      <c r="N341" s="2"/>
      <c r="O341" s="2"/>
      <c r="P341" s="2"/>
      <c r="Q341" s="2"/>
      <c r="R341" s="2"/>
      <c r="S341" s="2"/>
      <c r="T341" s="2"/>
      <c r="U341" s="2"/>
      <c r="V341" s="2"/>
      <c r="W341" s="2"/>
      <c r="X341" s="2"/>
      <c r="Y341" s="2"/>
      <c r="Z341" s="2"/>
      <c r="AA341" s="2"/>
    </row>
    <row r="342" spans="14:27">
      <c r="N342" s="2"/>
      <c r="O342" s="2"/>
      <c r="P342" s="2"/>
      <c r="Q342" s="2"/>
      <c r="R342" s="2"/>
      <c r="S342" s="2"/>
      <c r="T342" s="2"/>
      <c r="U342" s="2"/>
      <c r="V342" s="2"/>
      <c r="W342" s="2"/>
      <c r="X342" s="2"/>
      <c r="Y342" s="2"/>
      <c r="Z342" s="2"/>
      <c r="AA342" s="2"/>
    </row>
    <row r="343" spans="14:27">
      <c r="N343" s="2"/>
      <c r="O343" s="2"/>
      <c r="P343" s="2"/>
      <c r="Q343" s="2"/>
      <c r="R343" s="2"/>
      <c r="S343" s="2"/>
      <c r="T343" s="2"/>
      <c r="U343" s="2"/>
      <c r="V343" s="2"/>
      <c r="W343" s="2"/>
      <c r="X343" s="2"/>
      <c r="Y343" s="2"/>
      <c r="Z343" s="2"/>
      <c r="AA343" s="2"/>
    </row>
    <row r="344" spans="14:27">
      <c r="N344" s="2"/>
      <c r="O344" s="2"/>
      <c r="P344" s="2"/>
      <c r="Q344" s="2"/>
      <c r="R344" s="2"/>
      <c r="S344" s="2"/>
      <c r="T344" s="2"/>
      <c r="U344" s="2"/>
      <c r="V344" s="2"/>
      <c r="W344" s="2"/>
      <c r="X344" s="2"/>
      <c r="Y344" s="2"/>
      <c r="Z344" s="2"/>
      <c r="AA344" s="2"/>
    </row>
    <row r="345" spans="14:27">
      <c r="N345" s="2"/>
      <c r="O345" s="2"/>
      <c r="P345" s="2"/>
      <c r="Q345" s="2"/>
      <c r="R345" s="2"/>
      <c r="S345" s="2"/>
      <c r="T345" s="2"/>
      <c r="U345" s="2"/>
      <c r="V345" s="2"/>
      <c r="W345" s="2"/>
      <c r="X345" s="2"/>
      <c r="Y345" s="2"/>
      <c r="Z345" s="2"/>
      <c r="AA345" s="2"/>
    </row>
    <row r="346" spans="14:27">
      <c r="N346" s="2"/>
      <c r="O346" s="2"/>
      <c r="P346" s="2"/>
      <c r="Q346" s="2"/>
      <c r="R346" s="2"/>
      <c r="S346" s="2"/>
      <c r="T346" s="2"/>
      <c r="U346" s="2"/>
      <c r="V346" s="2"/>
      <c r="W346" s="2"/>
      <c r="X346" s="2"/>
      <c r="Y346" s="2"/>
      <c r="Z346" s="2"/>
      <c r="AA346" s="2"/>
    </row>
    <row r="347" spans="14:27">
      <c r="N347" s="2"/>
      <c r="O347" s="2"/>
      <c r="P347" s="2"/>
      <c r="Q347" s="2"/>
      <c r="R347" s="2"/>
      <c r="S347" s="2"/>
      <c r="T347" s="2"/>
      <c r="U347" s="2"/>
      <c r="V347" s="2"/>
      <c r="W347" s="2"/>
      <c r="X347" s="2"/>
      <c r="Y347" s="2"/>
      <c r="Z347" s="2"/>
      <c r="AA347" s="2"/>
    </row>
    <row r="348" spans="14:27">
      <c r="N348" s="2"/>
      <c r="O348" s="2"/>
      <c r="P348" s="2"/>
      <c r="Q348" s="2"/>
      <c r="R348" s="2"/>
      <c r="S348" s="2"/>
      <c r="T348" s="2"/>
      <c r="U348" s="2"/>
      <c r="V348" s="2"/>
      <c r="W348" s="2"/>
      <c r="X348" s="2"/>
      <c r="Y348" s="2"/>
      <c r="Z348" s="2"/>
      <c r="AA348" s="2"/>
    </row>
    <row r="349" spans="14:27">
      <c r="N349" s="2"/>
      <c r="O349" s="2"/>
      <c r="P349" s="2"/>
      <c r="Q349" s="2"/>
      <c r="R349" s="2"/>
      <c r="S349" s="2"/>
      <c r="T349" s="2"/>
      <c r="U349" s="2"/>
      <c r="V349" s="2"/>
      <c r="W349" s="2"/>
      <c r="X349" s="2"/>
      <c r="Y349" s="2"/>
      <c r="Z349" s="2"/>
      <c r="AA349" s="2"/>
    </row>
    <row r="350" spans="14:27">
      <c r="N350" s="2"/>
      <c r="O350" s="2"/>
      <c r="P350" s="2"/>
      <c r="Q350" s="2"/>
      <c r="R350" s="2"/>
      <c r="S350" s="2"/>
      <c r="T350" s="2"/>
      <c r="U350" s="2"/>
      <c r="V350" s="2"/>
      <c r="W350" s="2"/>
      <c r="X350" s="2"/>
      <c r="Y350" s="2"/>
      <c r="Z350" s="2"/>
      <c r="AA350" s="2"/>
    </row>
    <row r="351" spans="14:27">
      <c r="N351" s="2"/>
      <c r="O351" s="2"/>
      <c r="P351" s="2"/>
      <c r="Q351" s="2"/>
      <c r="R351" s="2"/>
      <c r="S351" s="2"/>
      <c r="T351" s="2"/>
      <c r="U351" s="2"/>
      <c r="V351" s="2"/>
      <c r="W351" s="2"/>
      <c r="X351" s="2"/>
      <c r="Y351" s="2"/>
      <c r="Z351" s="2"/>
      <c r="AA351" s="2"/>
    </row>
    <row r="352" spans="14:27">
      <c r="N352" s="2"/>
      <c r="O352" s="2"/>
      <c r="P352" s="2"/>
      <c r="Q352" s="2"/>
      <c r="R352" s="2"/>
      <c r="S352" s="2"/>
      <c r="T352" s="2"/>
      <c r="U352" s="2"/>
      <c r="V352" s="2"/>
      <c r="W352" s="2"/>
      <c r="X352" s="2"/>
      <c r="Y352" s="2"/>
      <c r="Z352" s="2"/>
      <c r="AA352" s="2"/>
    </row>
    <row r="353" spans="14:27">
      <c r="N353" s="2"/>
      <c r="O353" s="2"/>
      <c r="P353" s="2"/>
      <c r="Q353" s="2"/>
      <c r="R353" s="2"/>
      <c r="S353" s="2"/>
      <c r="T353" s="2"/>
      <c r="U353" s="2"/>
      <c r="V353" s="2"/>
      <c r="W353" s="2"/>
      <c r="X353" s="2"/>
      <c r="Y353" s="2"/>
      <c r="Z353" s="2"/>
      <c r="AA353" s="2"/>
    </row>
    <row r="354" spans="14:27">
      <c r="N354" s="2"/>
      <c r="O354" s="2"/>
      <c r="P354" s="2"/>
      <c r="Q354" s="2"/>
      <c r="R354" s="2"/>
      <c r="S354" s="2"/>
      <c r="T354" s="2"/>
      <c r="U354" s="2"/>
      <c r="V354" s="2"/>
      <c r="W354" s="2"/>
      <c r="X354" s="2"/>
      <c r="Y354" s="2"/>
      <c r="Z354" s="2"/>
      <c r="AA354" s="2"/>
    </row>
    <row r="355" spans="14:27">
      <c r="N355" s="2"/>
      <c r="O355" s="2"/>
      <c r="P355" s="2"/>
      <c r="Q355" s="2"/>
      <c r="R355" s="2"/>
      <c r="S355" s="2"/>
      <c r="T355" s="2"/>
      <c r="U355" s="2"/>
      <c r="V355" s="2"/>
      <c r="W355" s="2"/>
      <c r="X355" s="2"/>
      <c r="Y355" s="2"/>
      <c r="Z355" s="2"/>
      <c r="AA355" s="2"/>
    </row>
    <row r="356" spans="14:27">
      <c r="N356" s="2"/>
      <c r="O356" s="2"/>
      <c r="P356" s="2"/>
      <c r="Q356" s="2"/>
      <c r="R356" s="2"/>
      <c r="S356" s="2"/>
      <c r="T356" s="2"/>
      <c r="U356" s="2"/>
      <c r="V356" s="2"/>
      <c r="W356" s="2"/>
      <c r="X356" s="2"/>
      <c r="Y356" s="2"/>
      <c r="Z356" s="2"/>
      <c r="AA356" s="2"/>
    </row>
    <row r="357" spans="14:27">
      <c r="N357" s="2"/>
      <c r="O357" s="2"/>
      <c r="P357" s="2"/>
      <c r="Q357" s="2"/>
      <c r="R357" s="2"/>
      <c r="S357" s="2"/>
      <c r="T357" s="2"/>
      <c r="U357" s="2"/>
      <c r="V357" s="2"/>
      <c r="W357" s="2"/>
      <c r="X357" s="2"/>
      <c r="Y357" s="2"/>
      <c r="Z357" s="2"/>
      <c r="AA357" s="2"/>
    </row>
    <row r="358" spans="14:27">
      <c r="N358" s="2"/>
      <c r="O358" s="2"/>
      <c r="P358" s="2"/>
      <c r="Q358" s="2"/>
      <c r="R358" s="2"/>
      <c r="S358" s="2"/>
      <c r="T358" s="2"/>
      <c r="U358" s="2"/>
      <c r="V358" s="2"/>
      <c r="W358" s="2"/>
      <c r="X358" s="2"/>
      <c r="Y358" s="2"/>
      <c r="Z358" s="2"/>
      <c r="AA358" s="2"/>
    </row>
    <row r="359" spans="14:27">
      <c r="N359" s="2"/>
      <c r="O359" s="2"/>
      <c r="P359" s="2"/>
      <c r="Q359" s="2"/>
      <c r="R359" s="2"/>
      <c r="S359" s="2"/>
      <c r="T359" s="2"/>
      <c r="U359" s="2"/>
      <c r="V359" s="2"/>
      <c r="W359" s="2"/>
      <c r="X359" s="2"/>
      <c r="Y359" s="2"/>
      <c r="Z359" s="2"/>
      <c r="AA359" s="2"/>
    </row>
    <row r="360" spans="14:27">
      <c r="N360" s="2"/>
      <c r="O360" s="2"/>
      <c r="P360" s="2"/>
      <c r="Q360" s="2"/>
      <c r="R360" s="2"/>
      <c r="S360" s="2"/>
      <c r="T360" s="2"/>
      <c r="U360" s="2"/>
      <c r="V360" s="2"/>
      <c r="W360" s="2"/>
      <c r="X360" s="2"/>
      <c r="Y360" s="2"/>
      <c r="Z360" s="2"/>
      <c r="AA360" s="2"/>
    </row>
    <row r="361" spans="14:27">
      <c r="N361" s="2"/>
      <c r="O361" s="2"/>
      <c r="P361" s="2"/>
      <c r="Q361" s="2"/>
      <c r="R361" s="2"/>
      <c r="S361" s="2"/>
      <c r="T361" s="2"/>
      <c r="U361" s="2"/>
      <c r="V361" s="2"/>
      <c r="W361" s="2"/>
      <c r="X361" s="2"/>
      <c r="Y361" s="2"/>
      <c r="Z361" s="2"/>
      <c r="AA361" s="2"/>
    </row>
    <row r="362" spans="14:27">
      <c r="N362" s="2"/>
      <c r="O362" s="2"/>
      <c r="P362" s="2"/>
      <c r="Q362" s="2"/>
      <c r="R362" s="2"/>
      <c r="S362" s="2"/>
      <c r="T362" s="2"/>
      <c r="U362" s="2"/>
      <c r="V362" s="2"/>
      <c r="W362" s="2"/>
      <c r="X362" s="2"/>
      <c r="Y362" s="2"/>
      <c r="Z362" s="2"/>
      <c r="AA362" s="2"/>
    </row>
    <row r="363" spans="14:27">
      <c r="N363" s="2"/>
      <c r="O363" s="2"/>
      <c r="P363" s="2"/>
      <c r="Q363" s="2"/>
      <c r="R363" s="2"/>
      <c r="S363" s="2"/>
      <c r="T363" s="2"/>
      <c r="U363" s="2"/>
      <c r="V363" s="2"/>
      <c r="W363" s="2"/>
      <c r="X363" s="2"/>
      <c r="Y363" s="2"/>
      <c r="Z363" s="2"/>
      <c r="AA363" s="2"/>
    </row>
    <row r="364" spans="14:27">
      <c r="N364" s="2"/>
      <c r="O364" s="2"/>
      <c r="P364" s="2"/>
      <c r="Q364" s="2"/>
      <c r="R364" s="2"/>
      <c r="S364" s="2"/>
      <c r="T364" s="2"/>
      <c r="U364" s="2"/>
      <c r="V364" s="2"/>
      <c r="W364" s="2"/>
      <c r="X364" s="2"/>
      <c r="Y364" s="2"/>
      <c r="Z364" s="2"/>
      <c r="AA364" s="2"/>
    </row>
    <row r="365" spans="14:27">
      <c r="N365" s="2"/>
      <c r="O365" s="2"/>
      <c r="P365" s="2"/>
      <c r="Q365" s="2"/>
      <c r="R365" s="2"/>
      <c r="S365" s="2"/>
      <c r="T365" s="2"/>
      <c r="U365" s="2"/>
      <c r="V365" s="2"/>
      <c r="W365" s="2"/>
      <c r="X365" s="2"/>
      <c r="Y365" s="2"/>
      <c r="Z365" s="2"/>
      <c r="AA365" s="2"/>
    </row>
    <row r="366" spans="14:27">
      <c r="N366" s="2"/>
      <c r="O366" s="2"/>
      <c r="P366" s="2"/>
      <c r="Q366" s="2"/>
      <c r="R366" s="2"/>
      <c r="S366" s="2"/>
      <c r="T366" s="2"/>
      <c r="U366" s="2"/>
      <c r="V366" s="2"/>
      <c r="W366" s="2"/>
      <c r="X366" s="2"/>
      <c r="Y366" s="2"/>
      <c r="Z366" s="2"/>
      <c r="AA366" s="2"/>
    </row>
    <row r="367" spans="14:27">
      <c r="N367" s="2"/>
      <c r="O367" s="2"/>
      <c r="P367" s="2"/>
      <c r="Q367" s="2"/>
      <c r="R367" s="2"/>
      <c r="S367" s="2"/>
      <c r="T367" s="2"/>
      <c r="U367" s="2"/>
      <c r="V367" s="2"/>
      <c r="W367" s="2"/>
      <c r="X367" s="2"/>
      <c r="Y367" s="2"/>
      <c r="Z367" s="2"/>
      <c r="AA367" s="2"/>
    </row>
    <row r="368" spans="14:27">
      <c r="N368" s="2"/>
      <c r="O368" s="2"/>
      <c r="P368" s="2"/>
      <c r="Q368" s="2"/>
      <c r="R368" s="2"/>
      <c r="S368" s="2"/>
      <c r="T368" s="2"/>
      <c r="U368" s="2"/>
      <c r="V368" s="2"/>
      <c r="W368" s="2"/>
      <c r="X368" s="2"/>
      <c r="Y368" s="2"/>
      <c r="Z368" s="2"/>
      <c r="AA368" s="2"/>
    </row>
    <row r="369" spans="14:27">
      <c r="N369" s="2"/>
      <c r="O369" s="2"/>
      <c r="P369" s="2"/>
      <c r="Q369" s="2"/>
      <c r="R369" s="2"/>
      <c r="S369" s="2"/>
      <c r="T369" s="2"/>
      <c r="U369" s="2"/>
      <c r="V369" s="2"/>
      <c r="W369" s="2"/>
      <c r="X369" s="2"/>
      <c r="Y369" s="2"/>
      <c r="Z369" s="2"/>
      <c r="AA369" s="2"/>
    </row>
    <row r="370" spans="14:27">
      <c r="N370" s="2"/>
      <c r="O370" s="2"/>
      <c r="P370" s="2"/>
      <c r="Q370" s="2"/>
      <c r="R370" s="2"/>
      <c r="S370" s="2"/>
      <c r="T370" s="2"/>
      <c r="U370" s="2"/>
      <c r="V370" s="2"/>
      <c r="W370" s="2"/>
      <c r="X370" s="2"/>
      <c r="Y370" s="2"/>
      <c r="Z370" s="2"/>
      <c r="AA370" s="2"/>
    </row>
    <row r="371" spans="14:27">
      <c r="N371" s="2"/>
      <c r="O371" s="2"/>
      <c r="P371" s="2"/>
      <c r="Q371" s="2"/>
      <c r="R371" s="2"/>
      <c r="S371" s="2"/>
      <c r="T371" s="2"/>
      <c r="U371" s="2"/>
      <c r="V371" s="2"/>
      <c r="W371" s="2"/>
      <c r="X371" s="2"/>
      <c r="Y371" s="2"/>
      <c r="Z371" s="2"/>
      <c r="AA371" s="2"/>
    </row>
    <row r="372" spans="14:27">
      <c r="N372" s="2"/>
      <c r="O372" s="2"/>
      <c r="P372" s="2"/>
      <c r="Q372" s="2"/>
      <c r="R372" s="2"/>
      <c r="S372" s="2"/>
      <c r="T372" s="2"/>
      <c r="U372" s="2"/>
      <c r="V372" s="2"/>
      <c r="W372" s="2"/>
      <c r="X372" s="2"/>
      <c r="Y372" s="2"/>
      <c r="Z372" s="2"/>
      <c r="AA372" s="2"/>
    </row>
    <row r="373" spans="14:27">
      <c r="N373" s="2"/>
      <c r="O373" s="2"/>
      <c r="P373" s="2"/>
      <c r="Q373" s="2"/>
      <c r="R373" s="2"/>
      <c r="S373" s="2"/>
      <c r="T373" s="2"/>
      <c r="U373" s="2"/>
      <c r="V373" s="2"/>
      <c r="W373" s="2"/>
      <c r="X373" s="2"/>
      <c r="Y373" s="2"/>
      <c r="Z373" s="2"/>
      <c r="AA373" s="2"/>
    </row>
    <row r="374" spans="14:27">
      <c r="N374" s="2"/>
      <c r="O374" s="2"/>
      <c r="P374" s="2"/>
      <c r="Q374" s="2"/>
      <c r="R374" s="2"/>
      <c r="S374" s="2"/>
      <c r="T374" s="2"/>
      <c r="U374" s="2"/>
      <c r="V374" s="2"/>
      <c r="W374" s="2"/>
      <c r="X374" s="2"/>
      <c r="Y374" s="2"/>
      <c r="Z374" s="2"/>
      <c r="AA374" s="2"/>
    </row>
    <row r="375" spans="14:27">
      <c r="N375" s="2"/>
      <c r="O375" s="2"/>
      <c r="P375" s="2"/>
      <c r="Q375" s="2"/>
      <c r="R375" s="2"/>
      <c r="S375" s="2"/>
      <c r="T375" s="2"/>
      <c r="U375" s="2"/>
      <c r="V375" s="2"/>
      <c r="W375" s="2"/>
      <c r="X375" s="2"/>
      <c r="Y375" s="2"/>
      <c r="Z375" s="2"/>
      <c r="AA375" s="2"/>
    </row>
    <row r="376" spans="14:27">
      <c r="N376" s="2"/>
      <c r="O376" s="2"/>
      <c r="P376" s="2"/>
      <c r="Q376" s="2"/>
      <c r="R376" s="2"/>
      <c r="S376" s="2"/>
      <c r="T376" s="2"/>
      <c r="U376" s="2"/>
      <c r="V376" s="2"/>
      <c r="W376" s="2"/>
      <c r="X376" s="2"/>
      <c r="Y376" s="2"/>
      <c r="Z376" s="2"/>
      <c r="AA376" s="2"/>
    </row>
    <row r="377" spans="14:27">
      <c r="N377" s="2"/>
      <c r="O377" s="2"/>
      <c r="P377" s="2"/>
      <c r="Q377" s="2"/>
      <c r="R377" s="2"/>
      <c r="S377" s="2"/>
      <c r="T377" s="2"/>
      <c r="U377" s="2"/>
      <c r="V377" s="2"/>
      <c r="W377" s="2"/>
      <c r="X377" s="2"/>
      <c r="Y377" s="2"/>
      <c r="Z377" s="2"/>
      <c r="AA377" s="2"/>
    </row>
    <row r="378" spans="14:27">
      <c r="N378" s="2"/>
      <c r="O378" s="2"/>
      <c r="P378" s="2"/>
      <c r="Q378" s="2"/>
      <c r="R378" s="2"/>
      <c r="S378" s="2"/>
      <c r="T378" s="2"/>
      <c r="U378" s="2"/>
      <c r="V378" s="2"/>
      <c r="W378" s="2"/>
      <c r="X378" s="2"/>
      <c r="Y378" s="2"/>
      <c r="Z378" s="2"/>
      <c r="AA378" s="2"/>
    </row>
    <row r="379" spans="14:27">
      <c r="N379" s="2"/>
      <c r="O379" s="2"/>
      <c r="P379" s="2"/>
      <c r="Q379" s="2"/>
      <c r="R379" s="2"/>
      <c r="S379" s="2"/>
      <c r="T379" s="2"/>
      <c r="U379" s="2"/>
      <c r="V379" s="2"/>
      <c r="W379" s="2"/>
      <c r="X379" s="2"/>
      <c r="Y379" s="2"/>
      <c r="Z379" s="2"/>
      <c r="AA379" s="2"/>
    </row>
    <row r="380" spans="14:27">
      <c r="N380" s="2"/>
      <c r="O380" s="2"/>
      <c r="P380" s="2"/>
      <c r="Q380" s="2"/>
      <c r="R380" s="2"/>
      <c r="S380" s="2"/>
      <c r="T380" s="2"/>
      <c r="U380" s="2"/>
      <c r="V380" s="2"/>
      <c r="W380" s="2"/>
      <c r="X380" s="2"/>
      <c r="Y380" s="2"/>
      <c r="Z380" s="2"/>
      <c r="AA380" s="2"/>
    </row>
    <row r="381" spans="14:27">
      <c r="N381" s="2"/>
      <c r="O381" s="2"/>
      <c r="P381" s="2"/>
      <c r="Q381" s="2"/>
      <c r="R381" s="2"/>
      <c r="S381" s="2"/>
      <c r="T381" s="2"/>
      <c r="U381" s="2"/>
      <c r="V381" s="2"/>
      <c r="W381" s="2"/>
      <c r="X381" s="2"/>
      <c r="Y381" s="2"/>
      <c r="Z381" s="2"/>
      <c r="AA381" s="2"/>
    </row>
    <row r="382" spans="14:27">
      <c r="N382" s="2"/>
      <c r="O382" s="2"/>
      <c r="P382" s="2"/>
      <c r="Q382" s="2"/>
      <c r="R382" s="2"/>
      <c r="S382" s="2"/>
      <c r="T382" s="2"/>
      <c r="U382" s="2"/>
      <c r="V382" s="2"/>
      <c r="W382" s="2"/>
      <c r="X382" s="2"/>
      <c r="Y382" s="2"/>
      <c r="Z382" s="2"/>
      <c r="AA382" s="2"/>
    </row>
    <row r="383" spans="14:27">
      <c r="N383" s="2"/>
      <c r="O383" s="2"/>
      <c r="P383" s="2"/>
      <c r="Q383" s="2"/>
      <c r="R383" s="2"/>
      <c r="S383" s="2"/>
      <c r="T383" s="2"/>
      <c r="U383" s="2"/>
      <c r="V383" s="2"/>
      <c r="W383" s="2"/>
      <c r="X383" s="2"/>
      <c r="Y383" s="2"/>
      <c r="Z383" s="2"/>
      <c r="AA383" s="2"/>
    </row>
    <row r="384" spans="14:27">
      <c r="N384" s="2"/>
      <c r="O384" s="2"/>
      <c r="P384" s="2"/>
      <c r="Q384" s="2"/>
      <c r="R384" s="2"/>
      <c r="S384" s="2"/>
      <c r="T384" s="2"/>
      <c r="U384" s="2"/>
      <c r="V384" s="2"/>
      <c r="W384" s="2"/>
      <c r="X384" s="2"/>
      <c r="Y384" s="2"/>
      <c r="Z384" s="2"/>
      <c r="AA384" s="2"/>
    </row>
    <row r="385" spans="14:27">
      <c r="N385" s="2"/>
      <c r="O385" s="2"/>
      <c r="P385" s="2"/>
      <c r="Q385" s="2"/>
      <c r="R385" s="2"/>
      <c r="S385" s="2"/>
      <c r="T385" s="2"/>
      <c r="U385" s="2"/>
      <c r="V385" s="2"/>
      <c r="W385" s="2"/>
      <c r="X385" s="2"/>
      <c r="Y385" s="2"/>
      <c r="Z385" s="2"/>
      <c r="AA385" s="2"/>
    </row>
    <row r="386" spans="14:27">
      <c r="N386" s="2"/>
      <c r="O386" s="2"/>
      <c r="P386" s="2"/>
      <c r="Q386" s="2"/>
      <c r="R386" s="2"/>
      <c r="S386" s="2"/>
      <c r="T386" s="2"/>
      <c r="U386" s="2"/>
      <c r="V386" s="2"/>
      <c r="W386" s="2"/>
      <c r="X386" s="2"/>
      <c r="Y386" s="2"/>
      <c r="Z386" s="2"/>
      <c r="AA386" s="2"/>
    </row>
    <row r="387" spans="14:27">
      <c r="N387" s="2"/>
      <c r="O387" s="2"/>
      <c r="P387" s="2"/>
      <c r="Q387" s="2"/>
      <c r="R387" s="2"/>
      <c r="S387" s="2"/>
      <c r="T387" s="2"/>
      <c r="U387" s="2"/>
      <c r="V387" s="2"/>
      <c r="W387" s="2"/>
      <c r="X387" s="2"/>
      <c r="Y387" s="2"/>
      <c r="Z387" s="2"/>
      <c r="AA387" s="2"/>
    </row>
    <row r="388" spans="14:27">
      <c r="N388" s="2"/>
      <c r="O388" s="2"/>
      <c r="P388" s="2"/>
      <c r="Q388" s="2"/>
      <c r="R388" s="2"/>
      <c r="S388" s="2"/>
      <c r="T388" s="2"/>
      <c r="U388" s="2"/>
      <c r="V388" s="2"/>
      <c r="W388" s="2"/>
      <c r="X388" s="2"/>
      <c r="Y388" s="2"/>
      <c r="Z388" s="2"/>
      <c r="AA388" s="2"/>
    </row>
    <row r="389" spans="14:27">
      <c r="N389" s="2"/>
      <c r="O389" s="2"/>
      <c r="P389" s="2"/>
      <c r="Q389" s="2"/>
      <c r="R389" s="2"/>
      <c r="S389" s="2"/>
      <c r="T389" s="2"/>
      <c r="U389" s="2"/>
      <c r="V389" s="2"/>
      <c r="W389" s="2"/>
      <c r="X389" s="2"/>
      <c r="Y389" s="2"/>
      <c r="Z389" s="2"/>
      <c r="AA389" s="2"/>
    </row>
    <row r="390" spans="14:27">
      <c r="N390" s="2"/>
      <c r="O390" s="2"/>
      <c r="P390" s="2"/>
      <c r="Q390" s="2"/>
      <c r="R390" s="2"/>
      <c r="S390" s="2"/>
      <c r="T390" s="2"/>
      <c r="U390" s="2"/>
      <c r="V390" s="2"/>
      <c r="W390" s="2"/>
      <c r="X390" s="2"/>
      <c r="Y390" s="2"/>
      <c r="Z390" s="2"/>
      <c r="AA390" s="2"/>
    </row>
    <row r="391" spans="14:27">
      <c r="N391" s="2"/>
      <c r="O391" s="2"/>
      <c r="P391" s="2"/>
      <c r="Q391" s="2"/>
      <c r="R391" s="2"/>
      <c r="S391" s="2"/>
      <c r="T391" s="2"/>
      <c r="U391" s="2"/>
      <c r="V391" s="2"/>
      <c r="W391" s="2"/>
      <c r="X391" s="2"/>
      <c r="Y391" s="2"/>
      <c r="Z391" s="2"/>
      <c r="AA391" s="2"/>
    </row>
    <row r="392" spans="14:27">
      <c r="N392" s="2"/>
      <c r="O392" s="2"/>
      <c r="P392" s="2"/>
      <c r="Q392" s="2"/>
      <c r="R392" s="2"/>
      <c r="S392" s="2"/>
      <c r="T392" s="2"/>
      <c r="U392" s="2"/>
      <c r="V392" s="2"/>
      <c r="W392" s="2"/>
      <c r="X392" s="2"/>
      <c r="Y392" s="2"/>
      <c r="Z392" s="2"/>
      <c r="AA392" s="2"/>
    </row>
    <row r="393" spans="14:27">
      <c r="N393" s="2"/>
      <c r="O393" s="2"/>
      <c r="P393" s="2"/>
      <c r="Q393" s="2"/>
      <c r="R393" s="2"/>
      <c r="S393" s="2"/>
      <c r="T393" s="2"/>
      <c r="U393" s="2"/>
      <c r="V393" s="2"/>
      <c r="W393" s="2"/>
      <c r="X393" s="2"/>
      <c r="Y393" s="2"/>
      <c r="Z393" s="2"/>
      <c r="AA393" s="2"/>
    </row>
    <row r="394" spans="14:27">
      <c r="N394" s="2"/>
      <c r="O394" s="2"/>
      <c r="P394" s="2"/>
      <c r="Q394" s="2"/>
      <c r="R394" s="2"/>
      <c r="S394" s="2"/>
      <c r="T394" s="2"/>
      <c r="U394" s="2"/>
      <c r="V394" s="2"/>
      <c r="W394" s="2"/>
      <c r="X394" s="2"/>
      <c r="Y394" s="2"/>
      <c r="Z394" s="2"/>
      <c r="AA394" s="2"/>
    </row>
    <row r="395" spans="14:27">
      <c r="N395" s="2"/>
      <c r="O395" s="2"/>
      <c r="P395" s="2"/>
      <c r="Q395" s="2"/>
      <c r="R395" s="2"/>
      <c r="S395" s="2"/>
      <c r="T395" s="2"/>
      <c r="U395" s="2"/>
      <c r="V395" s="2"/>
      <c r="W395" s="2"/>
      <c r="X395" s="2"/>
      <c r="Y395" s="2"/>
      <c r="Z395" s="2"/>
      <c r="AA395" s="2"/>
    </row>
    <row r="396" spans="14:27">
      <c r="N396" s="2"/>
      <c r="O396" s="2"/>
      <c r="P396" s="2"/>
      <c r="Q396" s="2"/>
      <c r="R396" s="2"/>
      <c r="S396" s="2"/>
      <c r="T396" s="2"/>
      <c r="U396" s="2"/>
      <c r="V396" s="2"/>
      <c r="W396" s="2"/>
      <c r="X396" s="2"/>
      <c r="Y396" s="2"/>
      <c r="Z396" s="2"/>
      <c r="AA396" s="2"/>
    </row>
    <row r="397" spans="14:27">
      <c r="N397" s="2"/>
      <c r="O397" s="2"/>
      <c r="P397" s="2"/>
      <c r="Q397" s="2"/>
      <c r="R397" s="2"/>
      <c r="S397" s="2"/>
      <c r="T397" s="2"/>
      <c r="U397" s="2"/>
      <c r="V397" s="2"/>
      <c r="W397" s="2"/>
      <c r="X397" s="2"/>
      <c r="Y397" s="2"/>
      <c r="Z397" s="2"/>
      <c r="AA397" s="2"/>
    </row>
    <row r="398" spans="14:27">
      <c r="N398" s="2"/>
      <c r="O398" s="2"/>
      <c r="P398" s="2"/>
      <c r="Q398" s="2"/>
      <c r="R398" s="2"/>
      <c r="S398" s="2"/>
      <c r="T398" s="2"/>
      <c r="U398" s="2"/>
      <c r="V398" s="2"/>
      <c r="W398" s="2"/>
      <c r="X398" s="2"/>
      <c r="Y398" s="2"/>
      <c r="Z398" s="2"/>
      <c r="AA398" s="2"/>
    </row>
    <row r="399" spans="14:27">
      <c r="N399" s="2"/>
      <c r="O399" s="2"/>
      <c r="P399" s="2"/>
      <c r="Q399" s="2"/>
      <c r="R399" s="2"/>
      <c r="S399" s="2"/>
      <c r="T399" s="2"/>
      <c r="U399" s="2"/>
      <c r="V399" s="2"/>
      <c r="W399" s="2"/>
      <c r="X399" s="2"/>
      <c r="Y399" s="2"/>
      <c r="Z399" s="2"/>
      <c r="AA399" s="2"/>
    </row>
    <row r="400" spans="14:27">
      <c r="N400" s="2"/>
      <c r="O400" s="2"/>
      <c r="P400" s="2"/>
      <c r="Q400" s="2"/>
      <c r="R400" s="2"/>
      <c r="S400" s="2"/>
      <c r="T400" s="2"/>
      <c r="U400" s="2"/>
      <c r="V400" s="2"/>
      <c r="W400" s="2"/>
      <c r="X400" s="2"/>
      <c r="Y400" s="2"/>
      <c r="Z400" s="2"/>
      <c r="AA400" s="2"/>
    </row>
    <row r="401" spans="14:27">
      <c r="N401" s="2"/>
      <c r="O401" s="2"/>
      <c r="P401" s="2"/>
      <c r="Q401" s="2"/>
      <c r="R401" s="2"/>
      <c r="S401" s="2"/>
      <c r="T401" s="2"/>
      <c r="U401" s="2"/>
      <c r="V401" s="2"/>
      <c r="W401" s="2"/>
      <c r="X401" s="2"/>
      <c r="Y401" s="2"/>
      <c r="Z401" s="2"/>
      <c r="AA401" s="2"/>
    </row>
    <row r="402" spans="14:27">
      <c r="N402" s="2"/>
      <c r="O402" s="2"/>
      <c r="P402" s="2"/>
      <c r="Q402" s="2"/>
      <c r="R402" s="2"/>
      <c r="S402" s="2"/>
      <c r="T402" s="2"/>
      <c r="U402" s="2"/>
      <c r="V402" s="2"/>
      <c r="W402" s="2"/>
      <c r="X402" s="2"/>
      <c r="Y402" s="2"/>
      <c r="Z402" s="2"/>
      <c r="AA402" s="2"/>
    </row>
    <row r="403" spans="14:27">
      <c r="N403" s="2"/>
      <c r="O403" s="2"/>
      <c r="P403" s="2"/>
      <c r="Q403" s="2"/>
      <c r="R403" s="2"/>
      <c r="S403" s="2"/>
      <c r="T403" s="2"/>
      <c r="U403" s="2"/>
      <c r="V403" s="2"/>
      <c r="W403" s="2"/>
      <c r="X403" s="2"/>
      <c r="Y403" s="2"/>
      <c r="Z403" s="2"/>
      <c r="AA403" s="2"/>
    </row>
    <row r="404" spans="14:27">
      <c r="N404" s="2"/>
      <c r="O404" s="2"/>
      <c r="P404" s="2"/>
      <c r="Q404" s="2"/>
      <c r="R404" s="2"/>
      <c r="S404" s="2"/>
      <c r="T404" s="2"/>
      <c r="U404" s="2"/>
      <c r="V404" s="2"/>
      <c r="W404" s="2"/>
      <c r="X404" s="2"/>
      <c r="Y404" s="2"/>
      <c r="Z404" s="2"/>
      <c r="AA404" s="2"/>
    </row>
    <row r="405" spans="14:27">
      <c r="N405" s="2"/>
      <c r="O405" s="2"/>
      <c r="P405" s="2"/>
      <c r="Q405" s="2"/>
      <c r="R405" s="2"/>
      <c r="S405" s="2"/>
      <c r="T405" s="2"/>
      <c r="U405" s="2"/>
      <c r="V405" s="2"/>
      <c r="W405" s="2"/>
      <c r="X405" s="2"/>
      <c r="Y405" s="2"/>
      <c r="Z405" s="2"/>
      <c r="AA405" s="2"/>
    </row>
    <row r="406" spans="14:27">
      <c r="N406" s="2"/>
      <c r="O406" s="2"/>
      <c r="P406" s="2"/>
      <c r="Q406" s="2"/>
      <c r="R406" s="2"/>
      <c r="S406" s="2"/>
      <c r="T406" s="2"/>
      <c r="U406" s="2"/>
      <c r="V406" s="2"/>
      <c r="W406" s="2"/>
      <c r="X406" s="2"/>
      <c r="Y406" s="2"/>
      <c r="Z406" s="2"/>
      <c r="AA406" s="2"/>
    </row>
    <row r="407" spans="14:27">
      <c r="N407" s="2"/>
      <c r="O407" s="2"/>
      <c r="P407" s="2"/>
      <c r="Q407" s="2"/>
      <c r="R407" s="2"/>
      <c r="S407" s="2"/>
      <c r="T407" s="2"/>
      <c r="U407" s="2"/>
      <c r="V407" s="2"/>
      <c r="W407" s="2"/>
      <c r="X407" s="2"/>
      <c r="Y407" s="2"/>
      <c r="Z407" s="2"/>
      <c r="AA407" s="2"/>
    </row>
    <row r="408" spans="14:27">
      <c r="N408" s="2"/>
      <c r="O408" s="2"/>
      <c r="P408" s="2"/>
      <c r="Q408" s="2"/>
      <c r="R408" s="2"/>
      <c r="S408" s="2"/>
      <c r="T408" s="2"/>
      <c r="U408" s="2"/>
      <c r="V408" s="2"/>
      <c r="W408" s="2"/>
      <c r="X408" s="2"/>
      <c r="Y408" s="2"/>
      <c r="Z408" s="2"/>
      <c r="AA408" s="2"/>
    </row>
    <row r="409" spans="14:27">
      <c r="N409" s="2"/>
      <c r="O409" s="2"/>
      <c r="P409" s="2"/>
      <c r="Q409" s="2"/>
      <c r="R409" s="2"/>
      <c r="S409" s="2"/>
      <c r="T409" s="2"/>
      <c r="U409" s="2"/>
      <c r="V409" s="2"/>
      <c r="W409" s="2"/>
      <c r="X409" s="2"/>
      <c r="Y409" s="2"/>
      <c r="Z409" s="2"/>
      <c r="AA409" s="2"/>
    </row>
    <row r="410" spans="14:27">
      <c r="N410" s="2"/>
      <c r="O410" s="2"/>
      <c r="P410" s="2"/>
      <c r="Q410" s="2"/>
      <c r="R410" s="2"/>
      <c r="S410" s="2"/>
      <c r="T410" s="2"/>
      <c r="U410" s="2"/>
      <c r="V410" s="2"/>
      <c r="W410" s="2"/>
      <c r="X410" s="2"/>
      <c r="Y410" s="2"/>
      <c r="Z410" s="2"/>
      <c r="AA410" s="2"/>
    </row>
    <row r="411" spans="14:27">
      <c r="N411" s="2"/>
      <c r="O411" s="2"/>
      <c r="P411" s="2"/>
      <c r="Q411" s="2"/>
      <c r="R411" s="2"/>
      <c r="S411" s="2"/>
      <c r="T411" s="2"/>
      <c r="U411" s="2"/>
      <c r="V411" s="2"/>
      <c r="W411" s="2"/>
      <c r="X411" s="2"/>
      <c r="Y411" s="2"/>
      <c r="Z411" s="2"/>
      <c r="AA411" s="2"/>
    </row>
    <row r="412" spans="14:27">
      <c r="N412" s="2"/>
      <c r="O412" s="2"/>
      <c r="P412" s="2"/>
      <c r="Q412" s="2"/>
      <c r="R412" s="2"/>
      <c r="S412" s="2"/>
      <c r="T412" s="2"/>
      <c r="U412" s="2"/>
      <c r="V412" s="2"/>
      <c r="W412" s="2"/>
      <c r="X412" s="2"/>
      <c r="Y412" s="2"/>
      <c r="Z412" s="2"/>
      <c r="AA412" s="2"/>
    </row>
    <row r="413" spans="14:27">
      <c r="N413" s="2"/>
      <c r="O413" s="2"/>
      <c r="P413" s="2"/>
      <c r="Q413" s="2"/>
      <c r="R413" s="2"/>
      <c r="S413" s="2"/>
      <c r="T413" s="2"/>
      <c r="U413" s="2"/>
      <c r="V413" s="2"/>
      <c r="W413" s="2"/>
      <c r="X413" s="2"/>
      <c r="Y413" s="2"/>
      <c r="Z413" s="2"/>
      <c r="AA413" s="2"/>
    </row>
    <row r="414" spans="14:27">
      <c r="N414" s="2"/>
      <c r="O414" s="2"/>
      <c r="P414" s="2"/>
      <c r="Q414" s="2"/>
      <c r="R414" s="2"/>
      <c r="S414" s="2"/>
      <c r="T414" s="2"/>
      <c r="U414" s="2"/>
      <c r="V414" s="2"/>
      <c r="W414" s="2"/>
      <c r="X414" s="2"/>
      <c r="Y414" s="2"/>
      <c r="Z414" s="2"/>
      <c r="AA414" s="2"/>
    </row>
    <row r="415" spans="14:27">
      <c r="N415" s="2"/>
      <c r="O415" s="2"/>
      <c r="P415" s="2"/>
      <c r="Q415" s="2"/>
      <c r="R415" s="2"/>
      <c r="S415" s="2"/>
      <c r="T415" s="2"/>
      <c r="U415" s="2"/>
      <c r="V415" s="2"/>
      <c r="W415" s="2"/>
      <c r="X415" s="2"/>
      <c r="Y415" s="2"/>
      <c r="Z415" s="2"/>
      <c r="AA415" s="2"/>
    </row>
    <row r="416" spans="14:27">
      <c r="N416" s="2"/>
      <c r="O416" s="2"/>
      <c r="P416" s="2"/>
      <c r="Q416" s="2"/>
      <c r="R416" s="2"/>
      <c r="S416" s="2"/>
      <c r="T416" s="2"/>
      <c r="U416" s="2"/>
      <c r="V416" s="2"/>
      <c r="W416" s="2"/>
      <c r="X416" s="2"/>
      <c r="Y416" s="2"/>
      <c r="Z416" s="2"/>
      <c r="AA416" s="2"/>
    </row>
    <row r="417" spans="14:27">
      <c r="N417" s="2"/>
      <c r="O417" s="2"/>
      <c r="P417" s="2"/>
      <c r="Q417" s="2"/>
      <c r="R417" s="2"/>
      <c r="S417" s="2"/>
      <c r="T417" s="2"/>
      <c r="U417" s="2"/>
      <c r="V417" s="2"/>
      <c r="W417" s="2"/>
      <c r="X417" s="2"/>
      <c r="Y417" s="2"/>
      <c r="Z417" s="2"/>
      <c r="AA417" s="2"/>
    </row>
    <row r="418" spans="14:27">
      <c r="N418" s="2"/>
      <c r="O418" s="2"/>
      <c r="P418" s="2"/>
      <c r="Q418" s="2"/>
      <c r="R418" s="2"/>
      <c r="S418" s="2"/>
      <c r="T418" s="2"/>
      <c r="U418" s="2"/>
      <c r="V418" s="2"/>
      <c r="W418" s="2"/>
      <c r="X418" s="2"/>
      <c r="Y418" s="2"/>
      <c r="Z418" s="2"/>
      <c r="AA418" s="2"/>
    </row>
    <row r="419" spans="14:27">
      <c r="N419" s="2"/>
      <c r="O419" s="2"/>
      <c r="P419" s="2"/>
      <c r="Q419" s="2"/>
      <c r="R419" s="2"/>
      <c r="S419" s="2"/>
      <c r="T419" s="2"/>
      <c r="U419" s="2"/>
      <c r="V419" s="2"/>
      <c r="W419" s="2"/>
      <c r="X419" s="2"/>
      <c r="Y419" s="2"/>
      <c r="Z419" s="2"/>
      <c r="AA419" s="2"/>
    </row>
    <row r="420" spans="14:27">
      <c r="N420" s="2"/>
      <c r="O420" s="2"/>
      <c r="P420" s="2"/>
      <c r="Q420" s="2"/>
      <c r="R420" s="2"/>
      <c r="S420" s="2"/>
      <c r="T420" s="2"/>
      <c r="U420" s="2"/>
      <c r="V420" s="2"/>
      <c r="W420" s="2"/>
      <c r="X420" s="2"/>
      <c r="Y420" s="2"/>
      <c r="Z420" s="2"/>
      <c r="AA420" s="2"/>
    </row>
    <row r="421" spans="14:27">
      <c r="N421" s="2"/>
      <c r="O421" s="2"/>
      <c r="P421" s="2"/>
      <c r="Q421" s="2"/>
      <c r="R421" s="2"/>
      <c r="S421" s="2"/>
      <c r="T421" s="2"/>
      <c r="U421" s="2"/>
      <c r="V421" s="2"/>
      <c r="W421" s="2"/>
      <c r="X421" s="2"/>
      <c r="Y421" s="2"/>
      <c r="Z421" s="2"/>
      <c r="AA421" s="2"/>
    </row>
    <row r="422" spans="14:27">
      <c r="N422" s="2"/>
      <c r="O422" s="2"/>
      <c r="P422" s="2"/>
      <c r="Q422" s="2"/>
      <c r="R422" s="2"/>
      <c r="S422" s="2"/>
      <c r="T422" s="2"/>
      <c r="U422" s="2"/>
      <c r="V422" s="2"/>
      <c r="W422" s="2"/>
      <c r="X422" s="2"/>
      <c r="Y422" s="2"/>
      <c r="Z422" s="2"/>
      <c r="AA422" s="2"/>
    </row>
    <row r="423" spans="14:27">
      <c r="N423" s="2"/>
      <c r="O423" s="2"/>
      <c r="P423" s="2"/>
      <c r="Q423" s="2"/>
      <c r="R423" s="2"/>
      <c r="S423" s="2"/>
      <c r="T423" s="2"/>
      <c r="U423" s="2"/>
      <c r="V423" s="2"/>
      <c r="W423" s="2"/>
      <c r="X423" s="2"/>
      <c r="Y423" s="2"/>
      <c r="Z423" s="2"/>
      <c r="AA423" s="2"/>
    </row>
    <row r="424" spans="14:27">
      <c r="N424" s="2"/>
      <c r="O424" s="2"/>
      <c r="P424" s="2"/>
      <c r="Q424" s="2"/>
      <c r="R424" s="2"/>
      <c r="S424" s="2"/>
      <c r="T424" s="2"/>
      <c r="U424" s="2"/>
      <c r="V424" s="2"/>
      <c r="W424" s="2"/>
      <c r="X424" s="2"/>
      <c r="Y424" s="2"/>
      <c r="Z424" s="2"/>
      <c r="AA424" s="2"/>
    </row>
    <row r="425" spans="14:27">
      <c r="N425" s="2"/>
      <c r="O425" s="2"/>
      <c r="P425" s="2"/>
      <c r="Q425" s="2"/>
      <c r="R425" s="2"/>
      <c r="S425" s="2"/>
      <c r="T425" s="2"/>
      <c r="U425" s="2"/>
      <c r="V425" s="2"/>
      <c r="W425" s="2"/>
      <c r="X425" s="2"/>
      <c r="Y425" s="2"/>
      <c r="Z425" s="2"/>
      <c r="AA425" s="2"/>
    </row>
    <row r="426" spans="14:27">
      <c r="N426" s="2"/>
      <c r="O426" s="2"/>
      <c r="P426" s="2"/>
      <c r="Q426" s="2"/>
      <c r="R426" s="2"/>
      <c r="S426" s="2"/>
      <c r="T426" s="2"/>
      <c r="U426" s="2"/>
      <c r="V426" s="2"/>
      <c r="W426" s="2"/>
      <c r="X426" s="2"/>
      <c r="Y426" s="2"/>
      <c r="Z426" s="2"/>
      <c r="AA426" s="2"/>
    </row>
    <row r="427" spans="14:27">
      <c r="N427" s="2"/>
      <c r="O427" s="2"/>
      <c r="P427" s="2"/>
      <c r="Q427" s="2"/>
      <c r="R427" s="2"/>
      <c r="S427" s="2"/>
      <c r="T427" s="2"/>
      <c r="U427" s="2"/>
      <c r="V427" s="2"/>
      <c r="W427" s="2"/>
      <c r="X427" s="2"/>
      <c r="Y427" s="2"/>
      <c r="Z427" s="2"/>
      <c r="AA427" s="2"/>
    </row>
    <row r="428" spans="14:27">
      <c r="N428" s="2"/>
      <c r="O428" s="2"/>
      <c r="P428" s="2"/>
      <c r="Q428" s="2"/>
      <c r="R428" s="2"/>
      <c r="S428" s="2"/>
      <c r="T428" s="2"/>
      <c r="U428" s="2"/>
      <c r="V428" s="2"/>
      <c r="W428" s="2"/>
      <c r="X428" s="2"/>
      <c r="Y428" s="2"/>
      <c r="Z428" s="2"/>
      <c r="AA428" s="2"/>
    </row>
    <row r="429" spans="14:27">
      <c r="N429" s="2"/>
      <c r="O429" s="2"/>
      <c r="P429" s="2"/>
      <c r="Q429" s="2"/>
      <c r="R429" s="2"/>
      <c r="S429" s="2"/>
      <c r="T429" s="2"/>
      <c r="U429" s="2"/>
      <c r="V429" s="2"/>
      <c r="W429" s="2"/>
      <c r="X429" s="2"/>
      <c r="Y429" s="2"/>
      <c r="Z429" s="2"/>
      <c r="AA429" s="2"/>
    </row>
    <row r="430" spans="14:27">
      <c r="N430" s="2"/>
      <c r="O430" s="2"/>
      <c r="P430" s="2"/>
      <c r="Q430" s="2"/>
      <c r="R430" s="2"/>
      <c r="S430" s="2"/>
      <c r="T430" s="2"/>
      <c r="U430" s="2"/>
      <c r="V430" s="2"/>
      <c r="W430" s="2"/>
      <c r="X430" s="2"/>
      <c r="Y430" s="2"/>
      <c r="Z430" s="2"/>
      <c r="AA430" s="2"/>
    </row>
    <row r="431" spans="14:27">
      <c r="N431" s="2"/>
      <c r="O431" s="2"/>
      <c r="P431" s="2"/>
      <c r="Q431" s="2"/>
      <c r="R431" s="2"/>
      <c r="S431" s="2"/>
      <c r="T431" s="2"/>
      <c r="U431" s="2"/>
      <c r="V431" s="2"/>
      <c r="W431" s="2"/>
      <c r="X431" s="2"/>
      <c r="Y431" s="2"/>
      <c r="Z431" s="2"/>
      <c r="AA431" s="2"/>
    </row>
    <row r="432" spans="14:27">
      <c r="N432" s="2"/>
      <c r="O432" s="2"/>
      <c r="P432" s="2"/>
      <c r="Q432" s="2"/>
      <c r="R432" s="2"/>
      <c r="S432" s="2"/>
      <c r="T432" s="2"/>
      <c r="U432" s="2"/>
      <c r="V432" s="2"/>
      <c r="W432" s="2"/>
      <c r="X432" s="2"/>
      <c r="Y432" s="2"/>
      <c r="Z432" s="2"/>
      <c r="AA432" s="2"/>
    </row>
    <row r="433" spans="14:27">
      <c r="N433" s="2"/>
      <c r="O433" s="2"/>
      <c r="P433" s="2"/>
      <c r="Q433" s="2"/>
      <c r="R433" s="2"/>
      <c r="S433" s="2"/>
      <c r="T433" s="2"/>
      <c r="U433" s="2"/>
      <c r="V433" s="2"/>
      <c r="W433" s="2"/>
      <c r="X433" s="2"/>
      <c r="Y433" s="2"/>
      <c r="Z433" s="2"/>
      <c r="AA433" s="2"/>
    </row>
    <row r="434" spans="14:27">
      <c r="N434" s="2"/>
      <c r="O434" s="2"/>
      <c r="P434" s="2"/>
      <c r="Q434" s="2"/>
      <c r="R434" s="2"/>
      <c r="S434" s="2"/>
      <c r="T434" s="2"/>
      <c r="U434" s="2"/>
      <c r="V434" s="2"/>
      <c r="W434" s="2"/>
      <c r="X434" s="2"/>
      <c r="Y434" s="2"/>
      <c r="Z434" s="2"/>
      <c r="AA434" s="2"/>
    </row>
    <row r="435" spans="14:27">
      <c r="N435" s="2"/>
      <c r="O435" s="2"/>
      <c r="P435" s="2"/>
      <c r="Q435" s="2"/>
      <c r="R435" s="2"/>
      <c r="S435" s="2"/>
      <c r="T435" s="2"/>
      <c r="U435" s="2"/>
      <c r="V435" s="2"/>
      <c r="W435" s="2"/>
      <c r="X435" s="2"/>
      <c r="Y435" s="2"/>
      <c r="Z435" s="2"/>
      <c r="AA435" s="2"/>
    </row>
    <row r="436" spans="14:27">
      <c r="N436" s="2"/>
      <c r="O436" s="2"/>
      <c r="P436" s="2"/>
      <c r="Q436" s="2"/>
      <c r="R436" s="2"/>
      <c r="S436" s="2"/>
      <c r="T436" s="2"/>
      <c r="U436" s="2"/>
      <c r="V436" s="2"/>
      <c r="W436" s="2"/>
      <c r="X436" s="2"/>
      <c r="Y436" s="2"/>
      <c r="Z436" s="2"/>
      <c r="AA436" s="2"/>
    </row>
    <row r="437" spans="14:27">
      <c r="N437" s="2"/>
      <c r="O437" s="2"/>
      <c r="P437" s="2"/>
      <c r="Q437" s="2"/>
      <c r="R437" s="2"/>
      <c r="S437" s="2"/>
      <c r="T437" s="2"/>
      <c r="U437" s="2"/>
      <c r="V437" s="2"/>
      <c r="W437" s="2"/>
      <c r="X437" s="2"/>
      <c r="Y437" s="2"/>
      <c r="Z437" s="2"/>
      <c r="AA437" s="2"/>
    </row>
    <row r="438" spans="14:27">
      <c r="N438" s="2"/>
      <c r="O438" s="2"/>
      <c r="P438" s="2"/>
      <c r="Q438" s="2"/>
      <c r="R438" s="2"/>
      <c r="S438" s="2"/>
      <c r="T438" s="2"/>
      <c r="U438" s="2"/>
      <c r="V438" s="2"/>
      <c r="W438" s="2"/>
      <c r="X438" s="2"/>
      <c r="Y438" s="2"/>
      <c r="Z438" s="2"/>
      <c r="AA438" s="2"/>
    </row>
    <row r="439" spans="14:27">
      <c r="N439" s="2"/>
      <c r="O439" s="2"/>
      <c r="P439" s="2"/>
      <c r="Q439" s="2"/>
      <c r="R439" s="2"/>
      <c r="S439" s="2"/>
      <c r="T439" s="2"/>
      <c r="U439" s="2"/>
      <c r="V439" s="2"/>
      <c r="W439" s="2"/>
      <c r="X439" s="2"/>
      <c r="Y439" s="2"/>
      <c r="Z439" s="2"/>
      <c r="AA439" s="2"/>
    </row>
    <row r="440" spans="14:27">
      <c r="N440" s="2"/>
      <c r="O440" s="2"/>
      <c r="P440" s="2"/>
      <c r="Q440" s="2"/>
      <c r="R440" s="2"/>
      <c r="S440" s="2"/>
      <c r="T440" s="2"/>
      <c r="U440" s="2"/>
      <c r="V440" s="2"/>
      <c r="W440" s="2"/>
      <c r="X440" s="2"/>
      <c r="Y440" s="2"/>
      <c r="Z440" s="2"/>
      <c r="AA440" s="2"/>
    </row>
    <row r="441" spans="14:27">
      <c r="N441" s="2"/>
      <c r="O441" s="2"/>
      <c r="P441" s="2"/>
      <c r="Q441" s="2"/>
      <c r="R441" s="2"/>
      <c r="S441" s="2"/>
      <c r="T441" s="2"/>
      <c r="U441" s="2"/>
      <c r="V441" s="2"/>
      <c r="W441" s="2"/>
      <c r="X441" s="2"/>
      <c r="Y441" s="2"/>
      <c r="Z441" s="2"/>
      <c r="AA441" s="2"/>
    </row>
    <row r="442" spans="14:27">
      <c r="N442" s="2"/>
      <c r="O442" s="2"/>
      <c r="P442" s="2"/>
      <c r="Q442" s="2"/>
      <c r="R442" s="2"/>
      <c r="S442" s="2"/>
      <c r="T442" s="2"/>
      <c r="U442" s="2"/>
      <c r="V442" s="2"/>
      <c r="W442" s="2"/>
      <c r="X442" s="2"/>
      <c r="Y442" s="2"/>
      <c r="Z442" s="2"/>
      <c r="AA442" s="2"/>
    </row>
    <row r="443" spans="14:27">
      <c r="N443" s="2"/>
      <c r="O443" s="2"/>
      <c r="P443" s="2"/>
      <c r="Q443" s="2"/>
      <c r="R443" s="2"/>
      <c r="S443" s="2"/>
      <c r="T443" s="2"/>
      <c r="U443" s="2"/>
      <c r="V443" s="2"/>
      <c r="W443" s="2"/>
      <c r="X443" s="2"/>
      <c r="Y443" s="2"/>
      <c r="Z443" s="2"/>
      <c r="AA443" s="2"/>
    </row>
    <row r="444" spans="14:27">
      <c r="N444" s="2"/>
      <c r="O444" s="2"/>
      <c r="P444" s="2"/>
      <c r="Q444" s="2"/>
      <c r="R444" s="2"/>
      <c r="S444" s="2"/>
      <c r="T444" s="2"/>
      <c r="U444" s="2"/>
      <c r="V444" s="2"/>
      <c r="W444" s="2"/>
      <c r="X444" s="2"/>
      <c r="Y444" s="2"/>
      <c r="Z444" s="2"/>
      <c r="AA444" s="2"/>
    </row>
    <row r="445" spans="14:27">
      <c r="N445" s="2"/>
      <c r="O445" s="2"/>
      <c r="P445" s="2"/>
      <c r="Q445" s="2"/>
      <c r="R445" s="2"/>
      <c r="S445" s="2"/>
      <c r="T445" s="2"/>
      <c r="U445" s="2"/>
      <c r="V445" s="2"/>
      <c r="W445" s="2"/>
      <c r="X445" s="2"/>
      <c r="Y445" s="2"/>
      <c r="Z445" s="2"/>
      <c r="AA445" s="2"/>
    </row>
    <row r="446" spans="14:27">
      <c r="N446" s="2"/>
      <c r="O446" s="2"/>
      <c r="P446" s="2"/>
      <c r="Q446" s="2"/>
      <c r="R446" s="2"/>
      <c r="S446" s="2"/>
      <c r="T446" s="2"/>
      <c r="U446" s="2"/>
      <c r="V446" s="2"/>
      <c r="W446" s="2"/>
      <c r="X446" s="2"/>
      <c r="Y446" s="2"/>
      <c r="Z446" s="2"/>
      <c r="AA446" s="2"/>
    </row>
    <row r="447" spans="14:27">
      <c r="N447" s="2"/>
      <c r="O447" s="2"/>
      <c r="P447" s="2"/>
      <c r="Q447" s="2"/>
      <c r="R447" s="2"/>
      <c r="S447" s="2"/>
      <c r="T447" s="2"/>
      <c r="U447" s="2"/>
      <c r="V447" s="2"/>
      <c r="W447" s="2"/>
      <c r="X447" s="2"/>
      <c r="Y447" s="2"/>
      <c r="Z447" s="2"/>
      <c r="AA447" s="2"/>
    </row>
    <row r="448" spans="14:27">
      <c r="N448" s="2"/>
      <c r="O448" s="2"/>
      <c r="P448" s="2"/>
      <c r="Q448" s="2"/>
      <c r="R448" s="2"/>
      <c r="S448" s="2"/>
      <c r="T448" s="2"/>
      <c r="U448" s="2"/>
      <c r="V448" s="2"/>
      <c r="W448" s="2"/>
      <c r="X448" s="2"/>
      <c r="Y448" s="2"/>
      <c r="Z448" s="2"/>
      <c r="AA448" s="2"/>
    </row>
    <row r="449" spans="14:27">
      <c r="N449" s="2"/>
      <c r="O449" s="2"/>
      <c r="P449" s="2"/>
      <c r="Q449" s="2"/>
      <c r="R449" s="2"/>
      <c r="S449" s="2"/>
      <c r="T449" s="2"/>
      <c r="U449" s="2"/>
      <c r="V449" s="2"/>
      <c r="W449" s="2"/>
      <c r="X449" s="2"/>
      <c r="Y449" s="2"/>
      <c r="Z449" s="2"/>
      <c r="AA449" s="2"/>
    </row>
    <row r="450" spans="14:27">
      <c r="N450" s="2"/>
      <c r="O450" s="2"/>
      <c r="P450" s="2"/>
      <c r="Q450" s="2"/>
      <c r="R450" s="2"/>
      <c r="S450" s="2"/>
      <c r="T450" s="2"/>
      <c r="U450" s="2"/>
      <c r="V450" s="2"/>
      <c r="W450" s="2"/>
      <c r="X450" s="2"/>
      <c r="Y450" s="2"/>
      <c r="Z450" s="2"/>
      <c r="AA450" s="2"/>
    </row>
    <row r="451" spans="14:27">
      <c r="N451" s="2"/>
      <c r="O451" s="2"/>
      <c r="P451" s="2"/>
      <c r="Q451" s="2"/>
      <c r="R451" s="2"/>
      <c r="S451" s="2"/>
      <c r="T451" s="2"/>
      <c r="U451" s="2"/>
      <c r="V451" s="2"/>
      <c r="W451" s="2"/>
      <c r="X451" s="2"/>
      <c r="Y451" s="2"/>
      <c r="Z451" s="2"/>
      <c r="AA451" s="2"/>
    </row>
    <row r="452" spans="14:27">
      <c r="N452" s="2"/>
      <c r="O452" s="2"/>
      <c r="P452" s="2"/>
      <c r="Q452" s="2"/>
      <c r="R452" s="2"/>
      <c r="S452" s="2"/>
      <c r="T452" s="2"/>
      <c r="U452" s="2"/>
      <c r="V452" s="2"/>
      <c r="W452" s="2"/>
      <c r="X452" s="2"/>
      <c r="Y452" s="2"/>
      <c r="Z452" s="2"/>
      <c r="AA452" s="2"/>
    </row>
    <row r="453" spans="14:27">
      <c r="N453" s="2"/>
      <c r="O453" s="2"/>
      <c r="P453" s="2"/>
      <c r="Q453" s="2"/>
      <c r="R453" s="2"/>
      <c r="S453" s="2"/>
      <c r="T453" s="2"/>
      <c r="U453" s="2"/>
      <c r="V453" s="2"/>
      <c r="W453" s="2"/>
      <c r="X453" s="2"/>
      <c r="Y453" s="2"/>
      <c r="Z453" s="2"/>
      <c r="AA453" s="2"/>
    </row>
    <row r="454" spans="14:27">
      <c r="N454" s="2"/>
      <c r="O454" s="2"/>
      <c r="P454" s="2"/>
      <c r="Q454" s="2"/>
      <c r="R454" s="2"/>
      <c r="S454" s="2"/>
      <c r="T454" s="2"/>
      <c r="U454" s="2"/>
      <c r="V454" s="2"/>
      <c r="W454" s="2"/>
      <c r="X454" s="2"/>
      <c r="Y454" s="2"/>
      <c r="Z454" s="2"/>
      <c r="AA454" s="2"/>
    </row>
    <row r="455" spans="14:27">
      <c r="N455" s="2"/>
      <c r="O455" s="2"/>
      <c r="P455" s="2"/>
      <c r="Q455" s="2"/>
      <c r="R455" s="2"/>
      <c r="S455" s="2"/>
      <c r="T455" s="2"/>
      <c r="U455" s="2"/>
      <c r="V455" s="2"/>
      <c r="W455" s="2"/>
      <c r="X455" s="2"/>
      <c r="Y455" s="2"/>
      <c r="Z455" s="2"/>
      <c r="AA455" s="2"/>
    </row>
    <row r="456" spans="14:27">
      <c r="N456" s="2"/>
      <c r="O456" s="2"/>
      <c r="P456" s="2"/>
      <c r="Q456" s="2"/>
      <c r="R456" s="2"/>
      <c r="S456" s="2"/>
      <c r="T456" s="2"/>
      <c r="U456" s="2"/>
      <c r="V456" s="2"/>
      <c r="W456" s="2"/>
      <c r="X456" s="2"/>
      <c r="Y456" s="2"/>
      <c r="Z456" s="2"/>
      <c r="AA456" s="2"/>
    </row>
    <row r="457" spans="14:27">
      <c r="N457" s="2"/>
      <c r="O457" s="2"/>
      <c r="P457" s="2"/>
      <c r="Q457" s="2"/>
      <c r="R457" s="2"/>
      <c r="S457" s="2"/>
      <c r="T457" s="2"/>
      <c r="U457" s="2"/>
      <c r="V457" s="2"/>
      <c r="W457" s="2"/>
      <c r="X457" s="2"/>
      <c r="Y457" s="2"/>
      <c r="Z457" s="2"/>
      <c r="AA457" s="2"/>
    </row>
    <row r="458" spans="14:27">
      <c r="N458" s="2"/>
      <c r="O458" s="2"/>
      <c r="P458" s="2"/>
      <c r="Q458" s="2"/>
      <c r="R458" s="2"/>
      <c r="S458" s="2"/>
      <c r="T458" s="2"/>
      <c r="U458" s="2"/>
      <c r="V458" s="2"/>
      <c r="W458" s="2"/>
      <c r="X458" s="2"/>
      <c r="Y458" s="2"/>
      <c r="Z458" s="2"/>
      <c r="AA458" s="2"/>
    </row>
    <row r="459" spans="14:27">
      <c r="N459" s="2"/>
      <c r="O459" s="2"/>
      <c r="P459" s="2"/>
      <c r="Q459" s="2"/>
      <c r="R459" s="2"/>
      <c r="S459" s="2"/>
      <c r="T459" s="2"/>
      <c r="U459" s="2"/>
      <c r="V459" s="2"/>
      <c r="W459" s="2"/>
      <c r="X459" s="2"/>
      <c r="Y459" s="2"/>
      <c r="Z459" s="2"/>
      <c r="AA459" s="2"/>
    </row>
    <row r="460" spans="14:27">
      <c r="N460" s="2"/>
      <c r="O460" s="2"/>
      <c r="P460" s="2"/>
      <c r="Q460" s="2"/>
      <c r="R460" s="2"/>
      <c r="S460" s="2"/>
      <c r="T460" s="2"/>
      <c r="U460" s="2"/>
      <c r="V460" s="2"/>
      <c r="W460" s="2"/>
      <c r="X460" s="2"/>
      <c r="Y460" s="2"/>
      <c r="Z460" s="2"/>
      <c r="AA460" s="2"/>
    </row>
    <row r="461" spans="14:27">
      <c r="N461" s="2"/>
      <c r="O461" s="2"/>
      <c r="P461" s="2"/>
      <c r="Q461" s="2"/>
      <c r="R461" s="2"/>
      <c r="S461" s="2"/>
      <c r="T461" s="2"/>
      <c r="U461" s="2"/>
      <c r="V461" s="2"/>
      <c r="W461" s="2"/>
      <c r="X461" s="2"/>
      <c r="Y461" s="2"/>
      <c r="Z461" s="2"/>
      <c r="AA461" s="2"/>
    </row>
    <row r="462" spans="14:27">
      <c r="N462" s="2"/>
      <c r="O462" s="2"/>
      <c r="P462" s="2"/>
      <c r="Q462" s="2"/>
      <c r="R462" s="2"/>
      <c r="S462" s="2"/>
      <c r="T462" s="2"/>
      <c r="U462" s="2"/>
      <c r="V462" s="2"/>
      <c r="W462" s="2"/>
      <c r="X462" s="2"/>
      <c r="Y462" s="2"/>
      <c r="Z462" s="2"/>
      <c r="AA462" s="2"/>
    </row>
    <row r="463" spans="14:27">
      <c r="N463" s="2"/>
      <c r="O463" s="2"/>
      <c r="P463" s="2"/>
      <c r="Q463" s="2"/>
      <c r="R463" s="2"/>
      <c r="S463" s="2"/>
      <c r="T463" s="2"/>
      <c r="U463" s="2"/>
      <c r="V463" s="2"/>
      <c r="W463" s="2"/>
      <c r="X463" s="2"/>
      <c r="Y463" s="2"/>
      <c r="Z463" s="2"/>
      <c r="AA463" s="2"/>
    </row>
    <row r="464" spans="14:27">
      <c r="N464" s="2"/>
      <c r="O464" s="2"/>
      <c r="P464" s="2"/>
      <c r="Q464" s="2"/>
      <c r="R464" s="2"/>
      <c r="S464" s="2"/>
      <c r="T464" s="2"/>
      <c r="U464" s="2"/>
      <c r="V464" s="2"/>
      <c r="W464" s="2"/>
      <c r="X464" s="2"/>
      <c r="Y464" s="2"/>
      <c r="Z464" s="2"/>
      <c r="AA464" s="2"/>
    </row>
    <row r="465" spans="14:27">
      <c r="N465" s="2"/>
      <c r="O465" s="2"/>
      <c r="P465" s="2"/>
      <c r="Q465" s="2"/>
      <c r="R465" s="2"/>
      <c r="S465" s="2"/>
      <c r="T465" s="2"/>
      <c r="U465" s="2"/>
      <c r="V465" s="2"/>
      <c r="W465" s="2"/>
      <c r="X465" s="2"/>
      <c r="Y465" s="2"/>
      <c r="Z465" s="2"/>
      <c r="AA465" s="2"/>
    </row>
    <row r="466" spans="14:27">
      <c r="N466" s="2"/>
      <c r="O466" s="2"/>
      <c r="P466" s="2"/>
      <c r="Q466" s="2"/>
      <c r="R466" s="2"/>
      <c r="S466" s="2"/>
      <c r="T466" s="2"/>
      <c r="U466" s="2"/>
      <c r="V466" s="2"/>
      <c r="W466" s="2"/>
      <c r="X466" s="2"/>
      <c r="Y466" s="2"/>
      <c r="Z466" s="2"/>
      <c r="AA466" s="2"/>
    </row>
    <row r="467" spans="14:27">
      <c r="N467" s="2"/>
      <c r="O467" s="2"/>
      <c r="P467" s="2"/>
      <c r="Q467" s="2"/>
      <c r="R467" s="2"/>
      <c r="S467" s="2"/>
      <c r="T467" s="2"/>
      <c r="U467" s="2"/>
      <c r="V467" s="2"/>
      <c r="W467" s="2"/>
      <c r="X467" s="2"/>
      <c r="Y467" s="2"/>
      <c r="Z467" s="2"/>
      <c r="AA467" s="2"/>
    </row>
    <row r="468" spans="14:27">
      <c r="N468" s="2"/>
      <c r="O468" s="2"/>
      <c r="P468" s="2"/>
      <c r="Q468" s="2"/>
      <c r="R468" s="2"/>
      <c r="S468" s="2"/>
      <c r="T468" s="2"/>
      <c r="U468" s="2"/>
      <c r="V468" s="2"/>
      <c r="W468" s="2"/>
      <c r="X468" s="2"/>
      <c r="Y468" s="2"/>
      <c r="Z468" s="2"/>
      <c r="AA468" s="2"/>
    </row>
    <row r="469" spans="14:27">
      <c r="N469" s="2"/>
      <c r="O469" s="2"/>
      <c r="P469" s="2"/>
      <c r="Q469" s="2"/>
      <c r="R469" s="2"/>
      <c r="S469" s="2"/>
      <c r="T469" s="2"/>
      <c r="U469" s="2"/>
      <c r="V469" s="2"/>
      <c r="W469" s="2"/>
      <c r="X469" s="2"/>
      <c r="Y469" s="2"/>
      <c r="Z469" s="2"/>
      <c r="AA469" s="2"/>
    </row>
    <row r="470" spans="14:27">
      <c r="N470" s="2"/>
      <c r="O470" s="2"/>
      <c r="P470" s="2"/>
      <c r="Q470" s="2"/>
      <c r="R470" s="2"/>
      <c r="S470" s="2"/>
      <c r="T470" s="2"/>
      <c r="U470" s="2"/>
      <c r="V470" s="2"/>
      <c r="W470" s="2"/>
      <c r="X470" s="2"/>
      <c r="Y470" s="2"/>
      <c r="Z470" s="2"/>
      <c r="AA470" s="2"/>
    </row>
    <row r="471" spans="14:27">
      <c r="N471" s="2"/>
      <c r="O471" s="2"/>
      <c r="P471" s="2"/>
      <c r="Q471" s="2"/>
      <c r="R471" s="2"/>
      <c r="S471" s="2"/>
      <c r="T471" s="2"/>
      <c r="U471" s="2"/>
      <c r="V471" s="2"/>
      <c r="W471" s="2"/>
      <c r="X471" s="2"/>
      <c r="Y471" s="2"/>
      <c r="Z471" s="2"/>
      <c r="AA471" s="2"/>
    </row>
    <row r="472" spans="14:27">
      <c r="N472" s="2"/>
      <c r="O472" s="2"/>
      <c r="P472" s="2"/>
      <c r="Q472" s="2"/>
      <c r="R472" s="2"/>
      <c r="S472" s="2"/>
      <c r="T472" s="2"/>
      <c r="U472" s="2"/>
      <c r="V472" s="2"/>
      <c r="W472" s="2"/>
      <c r="X472" s="2"/>
      <c r="Y472" s="2"/>
      <c r="Z472" s="2"/>
      <c r="AA472" s="2"/>
    </row>
    <row r="473" spans="14:27">
      <c r="N473" s="2"/>
      <c r="O473" s="2"/>
      <c r="P473" s="2"/>
      <c r="Q473" s="2"/>
      <c r="R473" s="2"/>
      <c r="S473" s="2"/>
      <c r="T473" s="2"/>
      <c r="U473" s="2"/>
      <c r="V473" s="2"/>
      <c r="W473" s="2"/>
      <c r="X473" s="2"/>
      <c r="Y473" s="2"/>
      <c r="Z473" s="2"/>
      <c r="AA473" s="2"/>
    </row>
    <row r="474" spans="14:27">
      <c r="N474" s="2"/>
      <c r="O474" s="2"/>
      <c r="P474" s="2"/>
      <c r="Q474" s="2"/>
      <c r="R474" s="2"/>
      <c r="S474" s="2"/>
      <c r="T474" s="2"/>
      <c r="U474" s="2"/>
      <c r="V474" s="2"/>
      <c r="W474" s="2"/>
      <c r="X474" s="2"/>
      <c r="Y474" s="2"/>
      <c r="Z474" s="2"/>
      <c r="AA474" s="2"/>
    </row>
    <row r="475" spans="14:27">
      <c r="N475" s="2"/>
      <c r="O475" s="2"/>
      <c r="P475" s="2"/>
      <c r="Q475" s="2"/>
      <c r="R475" s="2"/>
      <c r="S475" s="2"/>
      <c r="T475" s="2"/>
      <c r="U475" s="2"/>
      <c r="V475" s="2"/>
      <c r="W475" s="2"/>
      <c r="X475" s="2"/>
      <c r="Y475" s="2"/>
      <c r="Z475" s="2"/>
      <c r="AA475" s="2"/>
    </row>
    <row r="476" spans="14:27">
      <c r="N476" s="2"/>
      <c r="O476" s="2"/>
      <c r="P476" s="2"/>
      <c r="Q476" s="2"/>
      <c r="R476" s="2"/>
      <c r="S476" s="2"/>
      <c r="T476" s="2"/>
      <c r="U476" s="2"/>
      <c r="V476" s="2"/>
      <c r="W476" s="2"/>
      <c r="X476" s="2"/>
      <c r="Y476" s="2"/>
      <c r="Z476" s="2"/>
      <c r="AA476" s="2"/>
    </row>
    <row r="477" spans="14:27">
      <c r="N477" s="2"/>
      <c r="O477" s="2"/>
      <c r="P477" s="2"/>
      <c r="Q477" s="2"/>
      <c r="R477" s="2"/>
      <c r="S477" s="2"/>
      <c r="T477" s="2"/>
      <c r="U477" s="2"/>
      <c r="V477" s="2"/>
      <c r="W477" s="2"/>
      <c r="X477" s="2"/>
      <c r="Y477" s="2"/>
      <c r="Z477" s="2"/>
      <c r="AA477" s="2"/>
    </row>
    <row r="478" spans="14:27">
      <c r="N478" s="2"/>
      <c r="O478" s="2"/>
      <c r="P478" s="2"/>
      <c r="Q478" s="2"/>
      <c r="R478" s="2"/>
      <c r="S478" s="2"/>
      <c r="T478" s="2"/>
      <c r="U478" s="2"/>
      <c r="V478" s="2"/>
      <c r="W478" s="2"/>
      <c r="X478" s="2"/>
      <c r="Y478" s="2"/>
      <c r="Z478" s="2"/>
      <c r="AA478" s="2"/>
    </row>
    <row r="479" spans="14:27">
      <c r="N479" s="2"/>
      <c r="O479" s="2"/>
      <c r="P479" s="2"/>
      <c r="Q479" s="2"/>
      <c r="R479" s="2"/>
      <c r="S479" s="2"/>
      <c r="T479" s="2"/>
      <c r="U479" s="2"/>
      <c r="V479" s="2"/>
      <c r="W479" s="2"/>
      <c r="X479" s="2"/>
      <c r="Y479" s="2"/>
      <c r="Z479" s="2"/>
      <c r="AA479" s="2"/>
    </row>
    <row r="480" spans="14:27">
      <c r="N480" s="2"/>
      <c r="O480" s="2"/>
      <c r="P480" s="2"/>
      <c r="Q480" s="2"/>
      <c r="R480" s="2"/>
      <c r="S480" s="2"/>
      <c r="T480" s="2"/>
      <c r="U480" s="2"/>
      <c r="V480" s="2"/>
      <c r="W480" s="2"/>
      <c r="X480" s="2"/>
      <c r="Y480" s="2"/>
      <c r="Z480" s="2"/>
      <c r="AA480" s="2"/>
    </row>
    <row r="481" spans="14:27">
      <c r="N481" s="2"/>
      <c r="O481" s="2"/>
      <c r="P481" s="2"/>
      <c r="Q481" s="2"/>
      <c r="R481" s="2"/>
      <c r="S481" s="2"/>
      <c r="T481" s="2"/>
      <c r="U481" s="2"/>
      <c r="V481" s="2"/>
      <c r="W481" s="2"/>
      <c r="X481" s="2"/>
      <c r="Y481" s="2"/>
      <c r="Z481" s="2"/>
      <c r="AA481" s="2"/>
    </row>
    <row r="482" spans="14:27">
      <c r="N482" s="2"/>
      <c r="O482" s="2"/>
      <c r="P482" s="2"/>
      <c r="Q482" s="2"/>
      <c r="R482" s="2"/>
      <c r="S482" s="2"/>
      <c r="T482" s="2"/>
      <c r="U482" s="2"/>
      <c r="V482" s="2"/>
      <c r="W482" s="2"/>
      <c r="X482" s="2"/>
      <c r="Y482" s="2"/>
      <c r="Z482" s="2"/>
      <c r="AA482" s="2"/>
    </row>
    <row r="483" spans="14:27">
      <c r="N483" s="2"/>
      <c r="O483" s="2"/>
      <c r="P483" s="2"/>
      <c r="Q483" s="2"/>
      <c r="R483" s="2"/>
      <c r="S483" s="2"/>
      <c r="T483" s="2"/>
      <c r="U483" s="2"/>
      <c r="V483" s="2"/>
      <c r="W483" s="2"/>
      <c r="X483" s="2"/>
      <c r="Y483" s="2"/>
      <c r="Z483" s="2"/>
      <c r="AA483" s="2"/>
    </row>
    <row r="484" spans="14:27">
      <c r="N484" s="2"/>
      <c r="O484" s="2"/>
      <c r="P484" s="2"/>
      <c r="Q484" s="2"/>
      <c r="R484" s="2"/>
      <c r="S484" s="2"/>
      <c r="T484" s="2"/>
      <c r="U484" s="2"/>
      <c r="V484" s="2"/>
      <c r="W484" s="2"/>
      <c r="X484" s="2"/>
      <c r="Y484" s="2"/>
      <c r="Z484" s="2"/>
      <c r="AA484" s="2"/>
    </row>
    <row r="485" spans="14:27">
      <c r="N485" s="2"/>
      <c r="O485" s="2"/>
      <c r="P485" s="2"/>
      <c r="Q485" s="2"/>
      <c r="R485" s="2"/>
      <c r="S485" s="2"/>
      <c r="T485" s="2"/>
      <c r="U485" s="2"/>
      <c r="V485" s="2"/>
      <c r="W485" s="2"/>
      <c r="X485" s="2"/>
      <c r="Y485" s="2"/>
      <c r="Z485" s="2"/>
      <c r="AA485" s="2"/>
    </row>
    <row r="486" spans="14:27">
      <c r="N486" s="2"/>
      <c r="O486" s="2"/>
      <c r="P486" s="2"/>
      <c r="Q486" s="2"/>
      <c r="R486" s="2"/>
      <c r="S486" s="2"/>
      <c r="T486" s="2"/>
      <c r="U486" s="2"/>
      <c r="V486" s="2"/>
      <c r="W486" s="2"/>
      <c r="X486" s="2"/>
      <c r="Y486" s="2"/>
      <c r="Z486" s="2"/>
      <c r="AA486" s="2"/>
    </row>
    <row r="487" spans="14:27">
      <c r="N487" s="2"/>
      <c r="O487" s="2"/>
      <c r="P487" s="2"/>
      <c r="Q487" s="2"/>
      <c r="R487" s="2"/>
      <c r="S487" s="2"/>
      <c r="T487" s="2"/>
      <c r="U487" s="2"/>
      <c r="V487" s="2"/>
      <c r="W487" s="2"/>
      <c r="X487" s="2"/>
      <c r="Y487" s="2"/>
      <c r="Z487" s="2"/>
      <c r="AA487" s="2"/>
    </row>
    <row r="488" spans="14:27">
      <c r="N488" s="2"/>
      <c r="O488" s="2"/>
      <c r="P488" s="2"/>
      <c r="Q488" s="2"/>
      <c r="R488" s="2"/>
      <c r="S488" s="2"/>
      <c r="T488" s="2"/>
      <c r="U488" s="2"/>
      <c r="V488" s="2"/>
      <c r="W488" s="2"/>
      <c r="X488" s="2"/>
      <c r="Y488" s="2"/>
      <c r="Z488" s="2"/>
      <c r="AA488" s="2"/>
    </row>
    <row r="489" spans="14:27">
      <c r="N489" s="2"/>
      <c r="O489" s="2"/>
      <c r="P489" s="2"/>
      <c r="Q489" s="2"/>
      <c r="R489" s="2"/>
      <c r="S489" s="2"/>
      <c r="T489" s="2"/>
      <c r="U489" s="2"/>
      <c r="V489" s="2"/>
      <c r="W489" s="2"/>
      <c r="X489" s="2"/>
      <c r="Y489" s="2"/>
      <c r="Z489" s="2"/>
      <c r="AA489" s="2"/>
    </row>
    <row r="490" spans="14:27">
      <c r="N490" s="2"/>
      <c r="O490" s="2"/>
      <c r="P490" s="2"/>
      <c r="Q490" s="2"/>
      <c r="R490" s="2"/>
      <c r="S490" s="2"/>
      <c r="T490" s="2"/>
      <c r="U490" s="2"/>
      <c r="V490" s="2"/>
      <c r="W490" s="2"/>
      <c r="X490" s="2"/>
      <c r="Y490" s="2"/>
      <c r="Z490" s="2"/>
      <c r="AA490" s="2"/>
    </row>
    <row r="491" spans="14:27">
      <c r="N491" s="2"/>
      <c r="O491" s="2"/>
      <c r="P491" s="2"/>
      <c r="Q491" s="2"/>
      <c r="R491" s="2"/>
      <c r="S491" s="2"/>
      <c r="T491" s="2"/>
      <c r="U491" s="2"/>
      <c r="V491" s="2"/>
      <c r="W491" s="2"/>
      <c r="X491" s="2"/>
      <c r="Y491" s="2"/>
      <c r="Z491" s="2"/>
      <c r="AA491" s="2"/>
    </row>
    <row r="492" spans="14:27">
      <c r="N492" s="2"/>
      <c r="O492" s="2"/>
      <c r="P492" s="2"/>
      <c r="Q492" s="2"/>
      <c r="R492" s="2"/>
      <c r="S492" s="2"/>
      <c r="T492" s="2"/>
      <c r="U492" s="2"/>
      <c r="V492" s="2"/>
      <c r="W492" s="2"/>
      <c r="X492" s="2"/>
      <c r="Y492" s="2"/>
      <c r="Z492" s="2"/>
      <c r="AA492" s="2"/>
    </row>
    <row r="493" spans="14:27">
      <c r="N493" s="2"/>
      <c r="O493" s="2"/>
      <c r="P493" s="2"/>
      <c r="Q493" s="2"/>
      <c r="R493" s="2"/>
      <c r="S493" s="2"/>
      <c r="T493" s="2"/>
      <c r="U493" s="2"/>
      <c r="V493" s="2"/>
      <c r="W493" s="2"/>
      <c r="X493" s="2"/>
      <c r="Y493" s="2"/>
      <c r="Z493" s="2"/>
      <c r="AA493" s="2"/>
    </row>
    <row r="494" spans="14:27">
      <c r="N494" s="2"/>
      <c r="O494" s="2"/>
      <c r="P494" s="2"/>
      <c r="Q494" s="2"/>
      <c r="R494" s="2"/>
      <c r="S494" s="2"/>
      <c r="T494" s="2"/>
      <c r="U494" s="2"/>
      <c r="V494" s="2"/>
      <c r="W494" s="2"/>
      <c r="X494" s="2"/>
      <c r="Y494" s="2"/>
      <c r="Z494" s="2"/>
      <c r="AA494" s="2"/>
    </row>
    <row r="495" spans="14:27">
      <c r="N495" s="2"/>
      <c r="O495" s="2"/>
      <c r="P495" s="2"/>
      <c r="Q495" s="2"/>
      <c r="R495" s="2"/>
      <c r="S495" s="2"/>
      <c r="T495" s="2"/>
      <c r="U495" s="2"/>
      <c r="V495" s="2"/>
      <c r="W495" s="2"/>
      <c r="X495" s="2"/>
      <c r="Y495" s="2"/>
      <c r="Z495" s="2"/>
      <c r="AA495" s="2"/>
    </row>
    <row r="496" spans="14:27">
      <c r="N496" s="2"/>
      <c r="O496" s="2"/>
      <c r="P496" s="2"/>
      <c r="Q496" s="2"/>
      <c r="R496" s="2"/>
      <c r="S496" s="2"/>
      <c r="T496" s="2"/>
      <c r="U496" s="2"/>
      <c r="V496" s="2"/>
      <c r="W496" s="2"/>
      <c r="X496" s="2"/>
      <c r="Y496" s="2"/>
      <c r="Z496" s="2"/>
      <c r="AA496" s="2"/>
    </row>
    <row r="497" spans="14:27">
      <c r="N497" s="2"/>
      <c r="O497" s="2"/>
      <c r="P497" s="2"/>
      <c r="Q497" s="2"/>
      <c r="R497" s="2"/>
      <c r="S497" s="2"/>
      <c r="T497" s="2"/>
      <c r="U497" s="2"/>
      <c r="V497" s="2"/>
      <c r="W497" s="2"/>
      <c r="X497" s="2"/>
      <c r="Y497" s="2"/>
      <c r="Z497" s="2"/>
      <c r="AA497" s="2"/>
    </row>
    <row r="498" spans="14:27">
      <c r="N498" s="2"/>
      <c r="O498" s="2"/>
      <c r="P498" s="2"/>
      <c r="Q498" s="2"/>
      <c r="R498" s="2"/>
      <c r="S498" s="2"/>
      <c r="T498" s="2"/>
      <c r="U498" s="2"/>
      <c r="V498" s="2"/>
      <c r="W498" s="2"/>
      <c r="X498" s="2"/>
      <c r="Y498" s="2"/>
      <c r="Z498" s="2"/>
      <c r="AA498" s="2"/>
    </row>
    <row r="499" spans="14:27">
      <c r="N499" s="2"/>
      <c r="O499" s="2"/>
      <c r="P499" s="2"/>
      <c r="Q499" s="2"/>
      <c r="R499" s="2"/>
      <c r="S499" s="2"/>
      <c r="T499" s="2"/>
      <c r="U499" s="2"/>
      <c r="V499" s="2"/>
      <c r="W499" s="2"/>
      <c r="X499" s="2"/>
      <c r="Y499" s="2"/>
      <c r="Z499" s="2"/>
      <c r="AA499" s="2"/>
    </row>
    <row r="500" spans="14:27">
      <c r="N500" s="2"/>
      <c r="O500" s="2"/>
      <c r="P500" s="2"/>
      <c r="Q500" s="2"/>
      <c r="R500" s="2"/>
      <c r="S500" s="2"/>
      <c r="T500" s="2"/>
      <c r="U500" s="2"/>
      <c r="V500" s="2"/>
      <c r="W500" s="2"/>
      <c r="X500" s="2"/>
      <c r="Y500" s="2"/>
      <c r="Z500" s="2"/>
      <c r="AA500" s="2"/>
    </row>
    <row r="501" spans="14:27">
      <c r="N501" s="2"/>
      <c r="O501" s="2"/>
      <c r="P501" s="2"/>
      <c r="Q501" s="2"/>
      <c r="R501" s="2"/>
      <c r="S501" s="2"/>
      <c r="T501" s="2"/>
      <c r="U501" s="2"/>
      <c r="V501" s="2"/>
      <c r="W501" s="2"/>
      <c r="X501" s="2"/>
      <c r="Y501" s="2"/>
      <c r="Z501" s="2"/>
      <c r="AA501" s="2"/>
    </row>
    <row r="502" spans="14:27">
      <c r="N502" s="2"/>
      <c r="O502" s="2"/>
      <c r="P502" s="2"/>
      <c r="Q502" s="2"/>
      <c r="R502" s="2"/>
      <c r="S502" s="2"/>
      <c r="T502" s="2"/>
      <c r="U502" s="2"/>
      <c r="V502" s="2"/>
      <c r="W502" s="2"/>
      <c r="X502" s="2"/>
      <c r="Y502" s="2"/>
      <c r="Z502" s="2"/>
      <c r="AA502" s="2"/>
    </row>
    <row r="503" spans="14:27">
      <c r="N503" s="2"/>
      <c r="O503" s="2"/>
      <c r="P503" s="2"/>
      <c r="Q503" s="2"/>
      <c r="R503" s="2"/>
      <c r="S503" s="2"/>
      <c r="T503" s="2"/>
      <c r="U503" s="2"/>
      <c r="V503" s="2"/>
      <c r="W503" s="2"/>
      <c r="X503" s="2"/>
      <c r="Y503" s="2"/>
      <c r="Z503" s="2"/>
      <c r="AA503" s="2"/>
    </row>
    <row r="504" spans="14:27">
      <c r="N504" s="2"/>
      <c r="O504" s="2"/>
      <c r="P504" s="2"/>
      <c r="Q504" s="2"/>
      <c r="R504" s="2"/>
      <c r="S504" s="2"/>
      <c r="T504" s="2"/>
      <c r="U504" s="2"/>
      <c r="V504" s="2"/>
      <c r="W504" s="2"/>
      <c r="X504" s="2"/>
      <c r="Y504" s="2"/>
      <c r="Z504" s="2"/>
      <c r="AA504" s="2"/>
    </row>
    <row r="505" spans="14:27">
      <c r="N505" s="2"/>
      <c r="O505" s="2"/>
      <c r="P505" s="2"/>
      <c r="Q505" s="2"/>
      <c r="R505" s="2"/>
      <c r="S505" s="2"/>
      <c r="T505" s="2"/>
      <c r="U505" s="2"/>
      <c r="V505" s="2"/>
      <c r="W505" s="2"/>
      <c r="X505" s="2"/>
      <c r="Y505" s="2"/>
      <c r="Z505" s="2"/>
      <c r="AA505" s="2"/>
    </row>
    <row r="506" spans="14:27">
      <c r="N506" s="2"/>
      <c r="O506" s="2"/>
      <c r="P506" s="2"/>
      <c r="Q506" s="2"/>
      <c r="R506" s="2"/>
      <c r="S506" s="2"/>
      <c r="T506" s="2"/>
      <c r="U506" s="2"/>
      <c r="V506" s="2"/>
      <c r="W506" s="2"/>
      <c r="X506" s="2"/>
      <c r="Y506" s="2"/>
      <c r="Z506" s="2"/>
      <c r="AA506" s="2"/>
    </row>
    <row r="507" spans="14:27">
      <c r="N507" s="2"/>
      <c r="O507" s="2"/>
      <c r="P507" s="2"/>
      <c r="Q507" s="2"/>
      <c r="R507" s="2"/>
      <c r="S507" s="2"/>
      <c r="T507" s="2"/>
      <c r="U507" s="2"/>
      <c r="V507" s="2"/>
      <c r="W507" s="2"/>
      <c r="X507" s="2"/>
      <c r="Y507" s="2"/>
      <c r="Z507" s="2"/>
      <c r="AA507" s="2"/>
    </row>
    <row r="508" spans="14:27">
      <c r="N508" s="2"/>
      <c r="O508" s="2"/>
      <c r="P508" s="2"/>
      <c r="Q508" s="2"/>
      <c r="R508" s="2"/>
      <c r="S508" s="2"/>
      <c r="T508" s="2"/>
      <c r="U508" s="2"/>
      <c r="V508" s="2"/>
      <c r="W508" s="2"/>
      <c r="X508" s="2"/>
      <c r="Y508" s="2"/>
      <c r="Z508" s="2"/>
      <c r="AA508" s="2"/>
    </row>
    <row r="509" spans="14:27">
      <c r="N509" s="2"/>
      <c r="O509" s="2"/>
      <c r="P509" s="2"/>
      <c r="Q509" s="2"/>
      <c r="R509" s="2"/>
      <c r="S509" s="2"/>
      <c r="T509" s="2"/>
      <c r="U509" s="2"/>
      <c r="V509" s="2"/>
      <c r="W509" s="2"/>
      <c r="X509" s="2"/>
      <c r="Y509" s="2"/>
      <c r="Z509" s="2"/>
      <c r="AA509" s="2"/>
    </row>
    <row r="510" spans="14:27">
      <c r="N510" s="2"/>
      <c r="O510" s="2"/>
      <c r="P510" s="2"/>
      <c r="Q510" s="2"/>
      <c r="R510" s="2"/>
      <c r="S510" s="2"/>
      <c r="T510" s="2"/>
      <c r="U510" s="2"/>
      <c r="V510" s="2"/>
      <c r="W510" s="2"/>
      <c r="X510" s="2"/>
      <c r="Y510" s="2"/>
      <c r="Z510" s="2"/>
      <c r="AA510" s="2"/>
    </row>
    <row r="511" spans="14:27">
      <c r="N511" s="2"/>
      <c r="O511" s="2"/>
      <c r="P511" s="2"/>
      <c r="Q511" s="2"/>
      <c r="R511" s="2"/>
      <c r="S511" s="2"/>
      <c r="T511" s="2"/>
      <c r="U511" s="2"/>
      <c r="V511" s="2"/>
      <c r="W511" s="2"/>
      <c r="X511" s="2"/>
      <c r="Y511" s="2"/>
      <c r="Z511" s="2"/>
      <c r="AA511" s="2"/>
    </row>
    <row r="512" spans="14:27">
      <c r="N512" s="2"/>
      <c r="O512" s="2"/>
      <c r="P512" s="2"/>
      <c r="Q512" s="2"/>
      <c r="R512" s="2"/>
      <c r="S512" s="2"/>
      <c r="T512" s="2"/>
      <c r="U512" s="2"/>
      <c r="V512" s="2"/>
      <c r="W512" s="2"/>
      <c r="X512" s="2"/>
      <c r="Y512" s="2"/>
      <c r="Z512" s="2"/>
      <c r="AA512" s="2"/>
    </row>
    <row r="513" spans="14:27">
      <c r="N513" s="2"/>
      <c r="O513" s="2"/>
      <c r="P513" s="2"/>
      <c r="Q513" s="2"/>
      <c r="R513" s="2"/>
      <c r="S513" s="2"/>
      <c r="T513" s="2"/>
      <c r="U513" s="2"/>
      <c r="V513" s="2"/>
      <c r="W513" s="2"/>
      <c r="X513" s="2"/>
      <c r="Y513" s="2"/>
      <c r="Z513" s="2"/>
      <c r="AA513" s="2"/>
    </row>
    <row r="514" spans="14:27">
      <c r="N514" s="2"/>
      <c r="O514" s="2"/>
      <c r="P514" s="2"/>
      <c r="Q514" s="2"/>
      <c r="R514" s="2"/>
      <c r="S514" s="2"/>
      <c r="T514" s="2"/>
      <c r="U514" s="2"/>
      <c r="V514" s="2"/>
      <c r="W514" s="2"/>
      <c r="X514" s="2"/>
      <c r="Y514" s="2"/>
      <c r="Z514" s="2"/>
      <c r="AA514" s="2"/>
    </row>
    <row r="515" spans="14:27">
      <c r="N515" s="2"/>
      <c r="O515" s="2"/>
      <c r="P515" s="2"/>
      <c r="Q515" s="2"/>
      <c r="R515" s="2"/>
      <c r="S515" s="2"/>
      <c r="T515" s="2"/>
      <c r="U515" s="2"/>
      <c r="V515" s="2"/>
      <c r="W515" s="2"/>
      <c r="X515" s="2"/>
      <c r="Y515" s="2"/>
      <c r="Z515" s="2"/>
      <c r="AA515" s="2"/>
    </row>
    <row r="516" spans="14:27">
      <c r="N516" s="2"/>
      <c r="O516" s="2"/>
      <c r="P516" s="2"/>
      <c r="Q516" s="2"/>
      <c r="R516" s="2"/>
      <c r="S516" s="2"/>
      <c r="T516" s="2"/>
      <c r="U516" s="2"/>
      <c r="V516" s="2"/>
      <c r="W516" s="2"/>
      <c r="X516" s="2"/>
      <c r="Y516" s="2"/>
      <c r="Z516" s="2"/>
      <c r="AA516" s="2"/>
    </row>
    <row r="517" spans="14:27">
      <c r="N517" s="2"/>
      <c r="O517" s="2"/>
      <c r="P517" s="2"/>
      <c r="Q517" s="2"/>
      <c r="R517" s="2"/>
      <c r="S517" s="2"/>
      <c r="T517" s="2"/>
      <c r="U517" s="2"/>
      <c r="V517" s="2"/>
      <c r="W517" s="2"/>
      <c r="X517" s="2"/>
      <c r="Y517" s="2"/>
      <c r="Z517" s="2"/>
      <c r="AA517" s="2"/>
    </row>
    <row r="518" spans="14:27">
      <c r="N518" s="2"/>
      <c r="O518" s="2"/>
      <c r="P518" s="2"/>
      <c r="Q518" s="2"/>
      <c r="R518" s="2"/>
      <c r="S518" s="2"/>
      <c r="T518" s="2"/>
      <c r="U518" s="2"/>
      <c r="V518" s="2"/>
      <c r="W518" s="2"/>
      <c r="X518" s="2"/>
      <c r="Y518" s="2"/>
      <c r="Z518" s="2"/>
      <c r="AA518" s="2"/>
    </row>
    <row r="519" spans="14:27">
      <c r="N519" s="2"/>
      <c r="O519" s="2"/>
      <c r="P519" s="2"/>
      <c r="Q519" s="2"/>
      <c r="R519" s="2"/>
      <c r="S519" s="2"/>
      <c r="T519" s="2"/>
      <c r="U519" s="2"/>
      <c r="V519" s="2"/>
      <c r="W519" s="2"/>
      <c r="X519" s="2"/>
      <c r="Y519" s="2"/>
      <c r="Z519" s="2"/>
      <c r="AA519" s="2"/>
    </row>
    <row r="520" spans="14:27">
      <c r="N520" s="2"/>
      <c r="O520" s="2"/>
      <c r="P520" s="2"/>
      <c r="Q520" s="2"/>
      <c r="R520" s="2"/>
      <c r="S520" s="2"/>
      <c r="T520" s="2"/>
      <c r="U520" s="2"/>
      <c r="V520" s="2"/>
      <c r="W520" s="2"/>
      <c r="X520" s="2"/>
      <c r="Y520" s="2"/>
      <c r="Z520" s="2"/>
      <c r="AA520" s="2"/>
    </row>
    <row r="521" spans="14:27">
      <c r="N521" s="2"/>
      <c r="O521" s="2"/>
      <c r="P521" s="2"/>
      <c r="Q521" s="2"/>
      <c r="R521" s="2"/>
      <c r="S521" s="2"/>
      <c r="T521" s="2"/>
      <c r="U521" s="2"/>
      <c r="V521" s="2"/>
      <c r="W521" s="2"/>
      <c r="X521" s="2"/>
      <c r="Y521" s="2"/>
      <c r="Z521" s="2"/>
      <c r="AA521" s="2"/>
    </row>
    <row r="522" spans="14:27">
      <c r="N522" s="2"/>
      <c r="O522" s="2"/>
      <c r="P522" s="2"/>
      <c r="Q522" s="2"/>
      <c r="R522" s="2"/>
      <c r="S522" s="2"/>
      <c r="T522" s="2"/>
      <c r="U522" s="2"/>
      <c r="V522" s="2"/>
      <c r="W522" s="2"/>
      <c r="X522" s="2"/>
      <c r="Y522" s="2"/>
      <c r="Z522" s="2"/>
      <c r="AA522" s="2"/>
    </row>
    <row r="523" spans="14:27">
      <c r="N523" s="2"/>
      <c r="O523" s="2"/>
      <c r="P523" s="2"/>
      <c r="Q523" s="2"/>
      <c r="R523" s="2"/>
      <c r="S523" s="2"/>
      <c r="T523" s="2"/>
      <c r="U523" s="2"/>
      <c r="V523" s="2"/>
      <c r="W523" s="2"/>
      <c r="X523" s="2"/>
      <c r="Y523" s="2"/>
      <c r="Z523" s="2"/>
      <c r="AA523" s="2"/>
    </row>
    <row r="524" spans="14:27">
      <c r="N524" s="2"/>
      <c r="O524" s="2"/>
      <c r="P524" s="2"/>
      <c r="Q524" s="2"/>
      <c r="R524" s="2"/>
      <c r="S524" s="2"/>
      <c r="T524" s="2"/>
      <c r="U524" s="2"/>
      <c r="V524" s="2"/>
      <c r="W524" s="2"/>
      <c r="X524" s="2"/>
      <c r="Y524" s="2"/>
      <c r="Z524" s="2"/>
      <c r="AA524" s="2"/>
    </row>
    <row r="525" spans="14:27">
      <c r="N525" s="2"/>
      <c r="O525" s="2"/>
      <c r="P525" s="2"/>
      <c r="Q525" s="2"/>
      <c r="R525" s="2"/>
      <c r="S525" s="2"/>
      <c r="T525" s="2"/>
      <c r="U525" s="2"/>
      <c r="V525" s="2"/>
      <c r="W525" s="2"/>
      <c r="X525" s="2"/>
      <c r="Y525" s="2"/>
      <c r="Z525" s="2"/>
      <c r="AA525" s="2"/>
    </row>
    <row r="526" spans="14:27">
      <c r="N526" s="2"/>
      <c r="O526" s="2"/>
      <c r="P526" s="2"/>
      <c r="Q526" s="2"/>
      <c r="R526" s="2"/>
      <c r="S526" s="2"/>
      <c r="T526" s="2"/>
      <c r="U526" s="2"/>
      <c r="V526" s="2"/>
      <c r="W526" s="2"/>
      <c r="X526" s="2"/>
      <c r="Y526" s="2"/>
      <c r="Z526" s="2"/>
      <c r="AA526" s="2"/>
    </row>
    <row r="527" spans="14:27">
      <c r="N527" s="2"/>
      <c r="O527" s="2"/>
      <c r="P527" s="2"/>
      <c r="Q527" s="2"/>
      <c r="R527" s="2"/>
      <c r="S527" s="2"/>
      <c r="T527" s="2"/>
      <c r="U527" s="2"/>
      <c r="V527" s="2"/>
      <c r="W527" s="2"/>
      <c r="X527" s="2"/>
      <c r="Y527" s="2"/>
      <c r="Z527" s="2"/>
      <c r="AA527" s="2"/>
    </row>
    <row r="528" spans="14:27">
      <c r="N528" s="2"/>
      <c r="O528" s="2"/>
      <c r="P528" s="2"/>
      <c r="Q528" s="2"/>
      <c r="R528" s="2"/>
      <c r="S528" s="2"/>
      <c r="T528" s="2"/>
      <c r="U528" s="2"/>
      <c r="V528" s="2"/>
      <c r="W528" s="2"/>
      <c r="X528" s="2"/>
      <c r="Y528" s="2"/>
      <c r="Z528" s="2"/>
      <c r="AA528" s="2"/>
    </row>
    <row r="529" spans="14:27">
      <c r="N529" s="2"/>
      <c r="O529" s="2"/>
      <c r="P529" s="2"/>
      <c r="Q529" s="2"/>
      <c r="R529" s="2"/>
      <c r="S529" s="2"/>
      <c r="T529" s="2"/>
      <c r="U529" s="2"/>
      <c r="V529" s="2"/>
      <c r="W529" s="2"/>
      <c r="X529" s="2"/>
      <c r="Y529" s="2"/>
      <c r="Z529" s="2"/>
      <c r="AA529" s="2"/>
    </row>
    <row r="530" spans="14:27">
      <c r="N530" s="2"/>
      <c r="O530" s="2"/>
      <c r="P530" s="2"/>
      <c r="Q530" s="2"/>
      <c r="R530" s="2"/>
      <c r="S530" s="2"/>
      <c r="T530" s="2"/>
      <c r="U530" s="2"/>
      <c r="V530" s="2"/>
      <c r="W530" s="2"/>
      <c r="X530" s="2"/>
      <c r="Y530" s="2"/>
      <c r="Z530" s="2"/>
      <c r="AA530" s="2"/>
    </row>
    <row r="531" spans="14:27">
      <c r="N531" s="2"/>
      <c r="O531" s="2"/>
      <c r="P531" s="2"/>
      <c r="Q531" s="2"/>
      <c r="R531" s="2"/>
      <c r="S531" s="2"/>
      <c r="T531" s="2"/>
      <c r="U531" s="2"/>
      <c r="V531" s="2"/>
      <c r="W531" s="2"/>
      <c r="X531" s="2"/>
      <c r="Y531" s="2"/>
      <c r="Z531" s="2"/>
      <c r="AA531" s="2"/>
    </row>
    <row r="532" spans="14:27">
      <c r="N532" s="2"/>
      <c r="O532" s="2"/>
      <c r="P532" s="2"/>
      <c r="Q532" s="2"/>
      <c r="R532" s="2"/>
      <c r="S532" s="2"/>
      <c r="T532" s="2"/>
      <c r="U532" s="2"/>
      <c r="V532" s="2"/>
      <c r="W532" s="2"/>
      <c r="X532" s="2"/>
      <c r="Y532" s="2"/>
      <c r="Z532" s="2"/>
      <c r="AA532" s="2"/>
    </row>
    <row r="533" spans="14:27">
      <c r="N533" s="2"/>
      <c r="O533" s="2"/>
      <c r="P533" s="2"/>
      <c r="Q533" s="2"/>
      <c r="R533" s="2"/>
      <c r="S533" s="2"/>
      <c r="T533" s="2"/>
      <c r="U533" s="2"/>
      <c r="V533" s="2"/>
      <c r="W533" s="2"/>
      <c r="X533" s="2"/>
      <c r="Y533" s="2"/>
      <c r="Z533" s="2"/>
      <c r="AA533" s="2"/>
    </row>
    <row r="534" spans="14:27">
      <c r="N534" s="2"/>
      <c r="O534" s="2"/>
      <c r="P534" s="2"/>
      <c r="Q534" s="2"/>
      <c r="R534" s="2"/>
      <c r="S534" s="2"/>
      <c r="T534" s="2"/>
      <c r="U534" s="2"/>
      <c r="V534" s="2"/>
      <c r="W534" s="2"/>
      <c r="X534" s="2"/>
      <c r="Y534" s="2"/>
      <c r="Z534" s="2"/>
      <c r="AA534" s="2"/>
    </row>
    <row r="535" spans="14:27">
      <c r="N535" s="2"/>
      <c r="O535" s="2"/>
      <c r="P535" s="2"/>
      <c r="Q535" s="2"/>
      <c r="R535" s="2"/>
      <c r="S535" s="2"/>
      <c r="T535" s="2"/>
      <c r="U535" s="2"/>
      <c r="V535" s="2"/>
      <c r="W535" s="2"/>
      <c r="X535" s="2"/>
      <c r="Y535" s="2"/>
      <c r="Z535" s="2"/>
      <c r="AA535" s="2"/>
    </row>
    <row r="536" spans="14:27">
      <c r="N536" s="2"/>
      <c r="O536" s="2"/>
      <c r="P536" s="2"/>
      <c r="Q536" s="2"/>
      <c r="R536" s="2"/>
      <c r="S536" s="2"/>
      <c r="T536" s="2"/>
      <c r="U536" s="2"/>
      <c r="V536" s="2"/>
      <c r="W536" s="2"/>
      <c r="X536" s="2"/>
      <c r="Y536" s="2"/>
      <c r="Z536" s="2"/>
      <c r="AA536" s="2"/>
    </row>
    <row r="537" spans="14:27">
      <c r="N537" s="2"/>
      <c r="O537" s="2"/>
      <c r="P537" s="2"/>
      <c r="Q537" s="2"/>
      <c r="R537" s="2"/>
      <c r="S537" s="2"/>
      <c r="T537" s="2"/>
      <c r="U537" s="2"/>
      <c r="V537" s="2"/>
      <c r="W537" s="2"/>
      <c r="X537" s="2"/>
      <c r="Y537" s="2"/>
      <c r="Z537" s="2"/>
      <c r="AA537" s="2"/>
    </row>
    <row r="538" spans="14:27">
      <c r="N538" s="2"/>
      <c r="O538" s="2"/>
      <c r="P538" s="2"/>
      <c r="Q538" s="2"/>
      <c r="R538" s="2"/>
      <c r="S538" s="2"/>
      <c r="T538" s="2"/>
      <c r="U538" s="2"/>
      <c r="V538" s="2"/>
      <c r="W538" s="2"/>
      <c r="X538" s="2"/>
      <c r="Y538" s="2"/>
      <c r="Z538" s="2"/>
      <c r="AA538" s="2"/>
    </row>
    <row r="539" spans="14:27">
      <c r="N539" s="2"/>
      <c r="O539" s="2"/>
      <c r="P539" s="2"/>
      <c r="Q539" s="2"/>
      <c r="R539" s="2"/>
      <c r="S539" s="2"/>
      <c r="T539" s="2"/>
      <c r="U539" s="2"/>
      <c r="V539" s="2"/>
      <c r="W539" s="2"/>
      <c r="X539" s="2"/>
      <c r="Y539" s="2"/>
      <c r="Z539" s="2"/>
      <c r="AA539" s="2"/>
    </row>
    <row r="540" spans="14:27">
      <c r="N540" s="2"/>
      <c r="O540" s="2"/>
      <c r="P540" s="2"/>
      <c r="Q540" s="2"/>
      <c r="R540" s="2"/>
      <c r="S540" s="2"/>
      <c r="T540" s="2"/>
      <c r="U540" s="2"/>
      <c r="V540" s="2"/>
      <c r="W540" s="2"/>
      <c r="X540" s="2"/>
      <c r="Y540" s="2"/>
      <c r="Z540" s="2"/>
      <c r="AA540" s="2"/>
    </row>
    <row r="541" spans="14:27">
      <c r="N541" s="2"/>
      <c r="O541" s="2"/>
      <c r="P541" s="2"/>
      <c r="Q541" s="2"/>
      <c r="R541" s="2"/>
      <c r="S541" s="2"/>
      <c r="T541" s="2"/>
      <c r="U541" s="2"/>
      <c r="V541" s="2"/>
      <c r="W541" s="2"/>
      <c r="X541" s="2"/>
      <c r="Y541" s="2"/>
      <c r="Z541" s="2"/>
      <c r="AA541" s="2"/>
    </row>
    <row r="542" spans="14:27">
      <c r="N542" s="2"/>
      <c r="O542" s="2"/>
      <c r="P542" s="2"/>
      <c r="Q542" s="2"/>
      <c r="R542" s="2"/>
      <c r="S542" s="2"/>
      <c r="T542" s="2"/>
      <c r="U542" s="2"/>
      <c r="V542" s="2"/>
      <c r="W542" s="2"/>
      <c r="X542" s="2"/>
      <c r="Y542" s="2"/>
      <c r="Z542" s="2"/>
      <c r="AA542" s="2"/>
    </row>
    <row r="543" spans="14:27">
      <c r="N543" s="2"/>
      <c r="O543" s="2"/>
      <c r="P543" s="2"/>
      <c r="Q543" s="2"/>
      <c r="R543" s="2"/>
      <c r="S543" s="2"/>
      <c r="T543" s="2"/>
      <c r="U543" s="2"/>
      <c r="V543" s="2"/>
      <c r="W543" s="2"/>
      <c r="X543" s="2"/>
      <c r="Y543" s="2"/>
      <c r="Z543" s="2"/>
      <c r="AA543" s="2"/>
    </row>
    <row r="544" spans="14:27">
      <c r="N544" s="2"/>
      <c r="O544" s="2"/>
      <c r="P544" s="2"/>
      <c r="Q544" s="2"/>
      <c r="R544" s="2"/>
      <c r="S544" s="2"/>
      <c r="T544" s="2"/>
      <c r="U544" s="2"/>
      <c r="V544" s="2"/>
      <c r="W544" s="2"/>
      <c r="X544" s="2"/>
      <c r="Y544" s="2"/>
      <c r="Z544" s="2"/>
      <c r="AA544" s="2"/>
    </row>
    <row r="545" spans="14:27">
      <c r="N545" s="2"/>
      <c r="O545" s="2"/>
      <c r="P545" s="2"/>
      <c r="Q545" s="2"/>
      <c r="R545" s="2"/>
      <c r="S545" s="2"/>
      <c r="T545" s="2"/>
      <c r="U545" s="2"/>
      <c r="V545" s="2"/>
      <c r="W545" s="2"/>
      <c r="X545" s="2"/>
      <c r="Y545" s="2"/>
      <c r="Z545" s="2"/>
      <c r="AA545" s="2"/>
    </row>
    <row r="546" spans="14:27">
      <c r="N546" s="2"/>
      <c r="O546" s="2"/>
      <c r="P546" s="2"/>
      <c r="Q546" s="2"/>
      <c r="R546" s="2"/>
      <c r="S546" s="2"/>
      <c r="T546" s="2"/>
      <c r="U546" s="2"/>
      <c r="V546" s="2"/>
      <c r="W546" s="2"/>
      <c r="X546" s="2"/>
      <c r="Y546" s="2"/>
      <c r="Z546" s="2"/>
      <c r="AA546" s="2"/>
    </row>
    <row r="547" spans="14:27">
      <c r="N547" s="2"/>
      <c r="O547" s="2"/>
      <c r="P547" s="2"/>
      <c r="Q547" s="2"/>
      <c r="R547" s="2"/>
      <c r="S547" s="2"/>
      <c r="T547" s="2"/>
      <c r="U547" s="2"/>
      <c r="V547" s="2"/>
      <c r="W547" s="2"/>
      <c r="X547" s="2"/>
      <c r="Y547" s="2"/>
      <c r="Z547" s="2"/>
      <c r="AA547" s="2"/>
    </row>
    <row r="548" spans="14:27">
      <c r="N548" s="2"/>
      <c r="O548" s="2"/>
      <c r="P548" s="2"/>
      <c r="Q548" s="2"/>
      <c r="R548" s="2"/>
      <c r="S548" s="2"/>
      <c r="T548" s="2"/>
      <c r="U548" s="2"/>
      <c r="V548" s="2"/>
      <c r="W548" s="2"/>
      <c r="X548" s="2"/>
      <c r="Y548" s="2"/>
      <c r="Z548" s="2"/>
      <c r="AA548" s="2"/>
    </row>
    <row r="549" spans="14:27">
      <c r="N549" s="2"/>
      <c r="O549" s="2"/>
      <c r="P549" s="2"/>
      <c r="Q549" s="2"/>
      <c r="R549" s="2"/>
      <c r="S549" s="2"/>
      <c r="T549" s="2"/>
      <c r="U549" s="2"/>
      <c r="V549" s="2"/>
      <c r="W549" s="2"/>
      <c r="X549" s="2"/>
      <c r="Y549" s="2"/>
      <c r="Z549" s="2"/>
      <c r="AA549" s="2"/>
    </row>
    <row r="550" spans="14:27">
      <c r="N550" s="2"/>
      <c r="O550" s="2"/>
      <c r="P550" s="2"/>
      <c r="Q550" s="2"/>
      <c r="R550" s="2"/>
      <c r="S550" s="2"/>
      <c r="T550" s="2"/>
      <c r="U550" s="2"/>
      <c r="V550" s="2"/>
      <c r="W550" s="2"/>
      <c r="X550" s="2"/>
      <c r="Y550" s="2"/>
      <c r="Z550" s="2"/>
      <c r="AA550" s="2"/>
    </row>
    <row r="551" spans="14:27">
      <c r="N551" s="2"/>
      <c r="O551" s="2"/>
      <c r="P551" s="2"/>
      <c r="Q551" s="2"/>
      <c r="R551" s="2"/>
      <c r="S551" s="2"/>
      <c r="T551" s="2"/>
      <c r="U551" s="2"/>
      <c r="V551" s="2"/>
      <c r="W551" s="2"/>
      <c r="X551" s="2"/>
      <c r="Y551" s="2"/>
      <c r="Z551" s="2"/>
      <c r="AA551" s="2"/>
    </row>
    <row r="552" spans="14:27">
      <c r="N552" s="2"/>
      <c r="O552" s="2"/>
      <c r="P552" s="2"/>
      <c r="Q552" s="2"/>
      <c r="R552" s="2"/>
      <c r="S552" s="2"/>
      <c r="T552" s="2"/>
      <c r="U552" s="2"/>
      <c r="V552" s="2"/>
      <c r="W552" s="2"/>
      <c r="X552" s="2"/>
      <c r="Y552" s="2"/>
      <c r="Z552" s="2"/>
      <c r="AA552" s="2"/>
    </row>
    <row r="553" spans="14:27">
      <c r="N553" s="2"/>
      <c r="O553" s="2"/>
      <c r="P553" s="2"/>
      <c r="Q553" s="2"/>
      <c r="R553" s="2"/>
      <c r="S553" s="2"/>
      <c r="T553" s="2"/>
      <c r="U553" s="2"/>
      <c r="V553" s="2"/>
      <c r="W553" s="2"/>
      <c r="X553" s="2"/>
      <c r="Y553" s="2"/>
      <c r="Z553" s="2"/>
      <c r="AA553" s="2"/>
    </row>
    <row r="554" spans="14:27">
      <c r="N554" s="2"/>
      <c r="O554" s="2"/>
      <c r="P554" s="2"/>
      <c r="Q554" s="2"/>
      <c r="R554" s="2"/>
      <c r="S554" s="2"/>
      <c r="T554" s="2"/>
      <c r="U554" s="2"/>
      <c r="V554" s="2"/>
      <c r="W554" s="2"/>
      <c r="X554" s="2"/>
      <c r="Y554" s="2"/>
      <c r="Z554" s="2"/>
      <c r="AA554" s="2"/>
    </row>
    <row r="555" spans="14:27">
      <c r="N555" s="2"/>
      <c r="O555" s="2"/>
      <c r="P555" s="2"/>
      <c r="Q555" s="2"/>
      <c r="R555" s="2"/>
      <c r="S555" s="2"/>
      <c r="T555" s="2"/>
      <c r="U555" s="2"/>
      <c r="V555" s="2"/>
      <c r="W555" s="2"/>
      <c r="X555" s="2"/>
      <c r="Y555" s="2"/>
      <c r="Z555" s="2"/>
      <c r="AA555" s="2"/>
    </row>
    <row r="556" spans="14:27">
      <c r="N556" s="2"/>
      <c r="O556" s="2"/>
      <c r="P556" s="2"/>
      <c r="Q556" s="2"/>
      <c r="R556" s="2"/>
      <c r="S556" s="2"/>
      <c r="T556" s="2"/>
      <c r="U556" s="2"/>
      <c r="V556" s="2"/>
      <c r="W556" s="2"/>
      <c r="X556" s="2"/>
      <c r="Y556" s="2"/>
      <c r="Z556" s="2"/>
      <c r="AA556" s="2"/>
    </row>
    <row r="557" spans="14:27">
      <c r="N557" s="2"/>
      <c r="O557" s="2"/>
      <c r="P557" s="2"/>
      <c r="Q557" s="2"/>
      <c r="R557" s="2"/>
      <c r="S557" s="2"/>
      <c r="T557" s="2"/>
      <c r="U557" s="2"/>
      <c r="V557" s="2"/>
      <c r="W557" s="2"/>
      <c r="X557" s="2"/>
      <c r="Y557" s="2"/>
      <c r="Z557" s="2"/>
      <c r="AA557" s="2"/>
    </row>
    <row r="558" spans="14:27">
      <c r="N558" s="2"/>
      <c r="O558" s="2"/>
      <c r="P558" s="2"/>
      <c r="Q558" s="2"/>
      <c r="R558" s="2"/>
      <c r="S558" s="2"/>
      <c r="T558" s="2"/>
      <c r="U558" s="2"/>
      <c r="V558" s="2"/>
      <c r="W558" s="2"/>
      <c r="X558" s="2"/>
      <c r="Y558" s="2"/>
      <c r="Z558" s="2"/>
      <c r="AA558" s="2"/>
    </row>
    <row r="559" spans="14:27">
      <c r="N559" s="2"/>
      <c r="O559" s="2"/>
      <c r="P559" s="2"/>
      <c r="Q559" s="2"/>
      <c r="R559" s="2"/>
      <c r="S559" s="2"/>
      <c r="T559" s="2"/>
      <c r="U559" s="2"/>
      <c r="V559" s="2"/>
      <c r="W559" s="2"/>
      <c r="X559" s="2"/>
      <c r="Y559" s="2"/>
      <c r="Z559" s="2"/>
      <c r="AA559" s="2"/>
    </row>
    <row r="560" spans="14:27">
      <c r="N560" s="2"/>
      <c r="O560" s="2"/>
      <c r="P560" s="2"/>
      <c r="Q560" s="2"/>
      <c r="R560" s="2"/>
      <c r="S560" s="2"/>
      <c r="T560" s="2"/>
      <c r="U560" s="2"/>
      <c r="V560" s="2"/>
      <c r="W560" s="2"/>
      <c r="X560" s="2"/>
      <c r="Y560" s="2"/>
      <c r="Z560" s="2"/>
      <c r="AA560" s="2"/>
    </row>
    <row r="561" spans="14:27">
      <c r="N561" s="2"/>
      <c r="O561" s="2"/>
      <c r="P561" s="2"/>
      <c r="Q561" s="2"/>
      <c r="R561" s="2"/>
      <c r="S561" s="2"/>
      <c r="T561" s="2"/>
      <c r="U561" s="2"/>
      <c r="V561" s="2"/>
      <c r="W561" s="2"/>
      <c r="X561" s="2"/>
      <c r="Y561" s="2"/>
      <c r="Z561" s="2"/>
      <c r="AA561" s="2"/>
    </row>
    <row r="562" spans="14:27">
      <c r="N562" s="2"/>
      <c r="O562" s="2"/>
      <c r="P562" s="2"/>
      <c r="Q562" s="2"/>
      <c r="R562" s="2"/>
      <c r="S562" s="2"/>
      <c r="T562" s="2"/>
      <c r="U562" s="2"/>
      <c r="V562" s="2"/>
      <c r="W562" s="2"/>
      <c r="X562" s="2"/>
      <c r="Y562" s="2"/>
      <c r="Z562" s="2"/>
      <c r="AA562" s="2"/>
    </row>
    <row r="563" spans="14:27">
      <c r="N563" s="2"/>
      <c r="O563" s="2"/>
      <c r="P563" s="2"/>
      <c r="Q563" s="2"/>
      <c r="R563" s="2"/>
      <c r="S563" s="2"/>
      <c r="T563" s="2"/>
      <c r="U563" s="2"/>
      <c r="V563" s="2"/>
      <c r="W563" s="2"/>
      <c r="X563" s="2"/>
      <c r="Y563" s="2"/>
      <c r="Z563" s="2"/>
      <c r="AA563" s="2"/>
    </row>
    <row r="564" spans="14:27">
      <c r="N564" s="2"/>
      <c r="O564" s="2"/>
      <c r="P564" s="2"/>
      <c r="Q564" s="2"/>
      <c r="R564" s="2"/>
      <c r="S564" s="2"/>
      <c r="T564" s="2"/>
      <c r="U564" s="2"/>
      <c r="V564" s="2"/>
      <c r="W564" s="2"/>
      <c r="X564" s="2"/>
      <c r="Y564" s="2"/>
      <c r="Z564" s="2"/>
      <c r="AA564" s="2"/>
    </row>
    <row r="565" spans="14:27">
      <c r="N565" s="2"/>
      <c r="O565" s="2"/>
      <c r="P565" s="2"/>
      <c r="Q565" s="2"/>
      <c r="R565" s="2"/>
      <c r="S565" s="2"/>
      <c r="T565" s="2"/>
      <c r="U565" s="2"/>
      <c r="V565" s="2"/>
      <c r="W565" s="2"/>
      <c r="X565" s="2"/>
      <c r="Y565" s="2"/>
      <c r="Z565" s="2"/>
      <c r="AA565" s="2"/>
    </row>
    <row r="566" spans="14:27">
      <c r="N566" s="2"/>
      <c r="O566" s="2"/>
      <c r="P566" s="2"/>
      <c r="Q566" s="2"/>
      <c r="R566" s="2"/>
      <c r="S566" s="2"/>
      <c r="T566" s="2"/>
      <c r="U566" s="2"/>
      <c r="V566" s="2"/>
      <c r="W566" s="2"/>
      <c r="X566" s="2"/>
      <c r="Y566" s="2"/>
      <c r="Z566" s="2"/>
      <c r="AA566" s="2"/>
    </row>
    <row r="567" spans="14:27">
      <c r="N567" s="2"/>
      <c r="O567" s="2"/>
      <c r="P567" s="2"/>
      <c r="Q567" s="2"/>
      <c r="R567" s="2"/>
      <c r="S567" s="2"/>
      <c r="T567" s="2"/>
      <c r="U567" s="2"/>
      <c r="V567" s="2"/>
      <c r="W567" s="2"/>
      <c r="X567" s="2"/>
      <c r="Y567" s="2"/>
      <c r="Z567" s="2"/>
      <c r="AA567" s="2"/>
    </row>
    <row r="568" spans="14:27">
      <c r="N568" s="2"/>
      <c r="O568" s="2"/>
      <c r="P568" s="2"/>
      <c r="Q568" s="2"/>
      <c r="R568" s="2"/>
      <c r="S568" s="2"/>
      <c r="T568" s="2"/>
      <c r="U568" s="2"/>
      <c r="V568" s="2"/>
      <c r="W568" s="2"/>
      <c r="X568" s="2"/>
      <c r="Y568" s="2"/>
      <c r="Z568" s="2"/>
      <c r="AA568" s="2"/>
    </row>
    <row r="569" spans="14:27">
      <c r="N569" s="2"/>
      <c r="O569" s="2"/>
      <c r="P569" s="2"/>
      <c r="Q569" s="2"/>
      <c r="R569" s="2"/>
      <c r="S569" s="2"/>
      <c r="T569" s="2"/>
      <c r="U569" s="2"/>
      <c r="V569" s="2"/>
      <c r="W569" s="2"/>
      <c r="X569" s="2"/>
      <c r="Y569" s="2"/>
      <c r="Z569" s="2"/>
      <c r="AA569" s="2"/>
    </row>
    <row r="570" spans="14:27">
      <c r="N570" s="2"/>
      <c r="O570" s="2"/>
      <c r="P570" s="2"/>
      <c r="Q570" s="2"/>
      <c r="R570" s="2"/>
      <c r="S570" s="2"/>
      <c r="T570" s="2"/>
      <c r="U570" s="2"/>
      <c r="V570" s="2"/>
      <c r="W570" s="2"/>
      <c r="X570" s="2"/>
      <c r="Y570" s="2"/>
      <c r="Z570" s="2"/>
      <c r="AA570" s="2"/>
    </row>
    <row r="571" spans="14:27">
      <c r="N571" s="2"/>
      <c r="O571" s="2"/>
      <c r="P571" s="2"/>
      <c r="Q571" s="2"/>
      <c r="R571" s="2"/>
      <c r="S571" s="2"/>
      <c r="T571" s="2"/>
      <c r="U571" s="2"/>
      <c r="V571" s="2"/>
      <c r="W571" s="2"/>
      <c r="X571" s="2"/>
      <c r="Y571" s="2"/>
      <c r="Z571" s="2"/>
      <c r="AA571" s="2"/>
    </row>
    <row r="572" spans="14:27">
      <c r="N572" s="2"/>
      <c r="O572" s="2"/>
      <c r="P572" s="2"/>
      <c r="Q572" s="2"/>
      <c r="R572" s="2"/>
      <c r="S572" s="2"/>
      <c r="T572" s="2"/>
      <c r="U572" s="2"/>
      <c r="V572" s="2"/>
      <c r="W572" s="2"/>
      <c r="X572" s="2"/>
      <c r="Y572" s="2"/>
      <c r="Z572" s="2"/>
      <c r="AA572" s="2"/>
    </row>
    <row r="573" spans="14:27">
      <c r="N573" s="2"/>
      <c r="O573" s="2"/>
      <c r="P573" s="2"/>
      <c r="Q573" s="2"/>
      <c r="R573" s="2"/>
      <c r="S573" s="2"/>
      <c r="T573" s="2"/>
      <c r="U573" s="2"/>
      <c r="V573" s="2"/>
      <c r="W573" s="2"/>
      <c r="X573" s="2"/>
      <c r="Y573" s="2"/>
      <c r="Z573" s="2"/>
      <c r="AA573" s="2"/>
    </row>
    <row r="574" spans="14:27">
      <c r="N574" s="2"/>
      <c r="O574" s="2"/>
      <c r="P574" s="2"/>
      <c r="Q574" s="2"/>
      <c r="R574" s="2"/>
      <c r="S574" s="2"/>
      <c r="T574" s="2"/>
      <c r="U574" s="2"/>
      <c r="V574" s="2"/>
      <c r="W574" s="2"/>
      <c r="X574" s="2"/>
      <c r="Y574" s="2"/>
      <c r="Z574" s="2"/>
      <c r="AA574" s="2"/>
    </row>
    <row r="575" spans="14:27">
      <c r="N575" s="2"/>
      <c r="O575" s="2"/>
      <c r="P575" s="2"/>
      <c r="Q575" s="2"/>
      <c r="R575" s="2"/>
      <c r="S575" s="2"/>
      <c r="T575" s="2"/>
      <c r="U575" s="2"/>
      <c r="V575" s="2"/>
      <c r="W575" s="2"/>
      <c r="X575" s="2"/>
      <c r="Y575" s="2"/>
      <c r="Z575" s="2"/>
      <c r="AA575" s="2"/>
    </row>
    <row r="576" spans="14:27">
      <c r="N576" s="2"/>
      <c r="O576" s="2"/>
      <c r="P576" s="2"/>
      <c r="Q576" s="2"/>
      <c r="R576" s="2"/>
      <c r="S576" s="2"/>
      <c r="T576" s="2"/>
      <c r="U576" s="2"/>
      <c r="V576" s="2"/>
      <c r="W576" s="2"/>
      <c r="X576" s="2"/>
      <c r="Y576" s="2"/>
      <c r="Z576" s="2"/>
      <c r="AA576" s="2"/>
    </row>
    <row r="577" spans="14:27">
      <c r="N577" s="2"/>
      <c r="O577" s="2"/>
      <c r="P577" s="2"/>
      <c r="Q577" s="2"/>
      <c r="R577" s="2"/>
      <c r="S577" s="2"/>
      <c r="T577" s="2"/>
      <c r="U577" s="2"/>
      <c r="V577" s="2"/>
      <c r="W577" s="2"/>
      <c r="X577" s="2"/>
      <c r="Y577" s="2"/>
      <c r="Z577" s="2"/>
      <c r="AA577" s="2"/>
    </row>
    <row r="578" spans="14:27">
      <c r="N578" s="2"/>
      <c r="O578" s="2"/>
      <c r="P578" s="2"/>
      <c r="Q578" s="2"/>
      <c r="R578" s="2"/>
      <c r="S578" s="2"/>
      <c r="T578" s="2"/>
      <c r="U578" s="2"/>
      <c r="V578" s="2"/>
      <c r="W578" s="2"/>
      <c r="X578" s="2"/>
      <c r="Y578" s="2"/>
      <c r="Z578" s="2"/>
      <c r="AA578" s="2"/>
    </row>
    <row r="579" spans="14:27">
      <c r="N579" s="2"/>
      <c r="O579" s="2"/>
      <c r="P579" s="2"/>
      <c r="Q579" s="2"/>
      <c r="R579" s="2"/>
      <c r="S579" s="2"/>
      <c r="T579" s="2"/>
      <c r="U579" s="2"/>
      <c r="V579" s="2"/>
      <c r="W579" s="2"/>
      <c r="X579" s="2"/>
      <c r="Y579" s="2"/>
      <c r="Z579" s="2"/>
      <c r="AA579" s="2"/>
    </row>
    <row r="580" spans="14:27">
      <c r="N580" s="2"/>
      <c r="O580" s="2"/>
      <c r="P580" s="2"/>
      <c r="Q580" s="2"/>
      <c r="R580" s="2"/>
      <c r="S580" s="2"/>
      <c r="T580" s="2"/>
      <c r="U580" s="2"/>
      <c r="V580" s="2"/>
      <c r="W580" s="2"/>
      <c r="X580" s="2"/>
      <c r="Y580" s="2"/>
      <c r="Z580" s="2"/>
      <c r="AA580" s="2"/>
    </row>
    <row r="581" spans="14:27">
      <c r="N581" s="2"/>
      <c r="O581" s="2"/>
      <c r="P581" s="2"/>
      <c r="Q581" s="2"/>
      <c r="R581" s="2"/>
      <c r="S581" s="2"/>
      <c r="T581" s="2"/>
      <c r="U581" s="2"/>
      <c r="V581" s="2"/>
      <c r="W581" s="2"/>
      <c r="X581" s="2"/>
      <c r="Y581" s="2"/>
      <c r="Z581" s="2"/>
      <c r="AA581" s="2"/>
    </row>
    <row r="582" spans="14:27">
      <c r="N582" s="2"/>
      <c r="O582" s="2"/>
      <c r="P582" s="2"/>
      <c r="Q582" s="2"/>
      <c r="R582" s="2"/>
      <c r="S582" s="2"/>
      <c r="T582" s="2"/>
      <c r="U582" s="2"/>
      <c r="V582" s="2"/>
      <c r="W582" s="2"/>
      <c r="X582" s="2"/>
      <c r="Y582" s="2"/>
      <c r="Z582" s="2"/>
      <c r="AA582" s="2"/>
    </row>
    <row r="583" spans="14:27">
      <c r="N583" s="2"/>
      <c r="O583" s="2"/>
      <c r="P583" s="2"/>
      <c r="Q583" s="2"/>
      <c r="R583" s="2"/>
      <c r="S583" s="2"/>
      <c r="T583" s="2"/>
      <c r="U583" s="2"/>
      <c r="V583" s="2"/>
      <c r="W583" s="2"/>
      <c r="X583" s="2"/>
      <c r="Y583" s="2"/>
      <c r="Z583" s="2"/>
      <c r="AA583" s="2"/>
    </row>
    <row r="584" spans="14:27">
      <c r="N584" s="2"/>
      <c r="O584" s="2"/>
      <c r="P584" s="2"/>
      <c r="Q584" s="2"/>
      <c r="R584" s="2"/>
      <c r="S584" s="2"/>
      <c r="T584" s="2"/>
      <c r="U584" s="2"/>
      <c r="V584" s="2"/>
      <c r="W584" s="2"/>
      <c r="X584" s="2"/>
      <c r="Y584" s="2"/>
      <c r="Z584" s="2"/>
      <c r="AA584" s="2"/>
    </row>
    <row r="585" spans="14:27">
      <c r="N585" s="2"/>
      <c r="O585" s="2"/>
      <c r="P585" s="2"/>
      <c r="Q585" s="2"/>
      <c r="R585" s="2"/>
      <c r="S585" s="2"/>
      <c r="T585" s="2"/>
      <c r="U585" s="2"/>
      <c r="V585" s="2"/>
      <c r="W585" s="2"/>
      <c r="X585" s="2"/>
      <c r="Y585" s="2"/>
      <c r="Z585" s="2"/>
      <c r="AA585" s="2"/>
    </row>
    <row r="586" spans="14:27">
      <c r="N586" s="2"/>
      <c r="O586" s="2"/>
      <c r="P586" s="2"/>
      <c r="Q586" s="2"/>
      <c r="R586" s="2"/>
      <c r="S586" s="2"/>
      <c r="T586" s="2"/>
      <c r="U586" s="2"/>
      <c r="V586" s="2"/>
      <c r="W586" s="2"/>
      <c r="X586" s="2"/>
      <c r="Y586" s="2"/>
      <c r="Z586" s="2"/>
      <c r="AA586" s="2"/>
    </row>
    <row r="587" spans="14:27">
      <c r="N587" s="2"/>
      <c r="O587" s="2"/>
      <c r="P587" s="2"/>
      <c r="Q587" s="2"/>
      <c r="R587" s="2"/>
      <c r="S587" s="2"/>
      <c r="T587" s="2"/>
      <c r="U587" s="2"/>
      <c r="V587" s="2"/>
      <c r="W587" s="2"/>
      <c r="X587" s="2"/>
      <c r="Y587" s="2"/>
      <c r="Z587" s="2"/>
      <c r="AA587" s="2"/>
    </row>
    <row r="588" spans="14:27">
      <c r="N588" s="2"/>
      <c r="O588" s="2"/>
      <c r="P588" s="2"/>
      <c r="Q588" s="2"/>
      <c r="R588" s="2"/>
      <c r="S588" s="2"/>
      <c r="T588" s="2"/>
      <c r="U588" s="2"/>
      <c r="V588" s="2"/>
      <c r="W588" s="2"/>
      <c r="X588" s="2"/>
      <c r="Y588" s="2"/>
      <c r="Z588" s="2"/>
      <c r="AA588" s="2"/>
    </row>
    <row r="589" spans="14:27">
      <c r="N589" s="2"/>
      <c r="O589" s="2"/>
      <c r="P589" s="2"/>
      <c r="Q589" s="2"/>
      <c r="R589" s="2"/>
      <c r="S589" s="2"/>
      <c r="T589" s="2"/>
      <c r="U589" s="2"/>
      <c r="V589" s="2"/>
      <c r="W589" s="2"/>
      <c r="X589" s="2"/>
      <c r="Y589" s="2"/>
      <c r="Z589" s="2"/>
      <c r="AA589" s="2"/>
    </row>
    <row r="590" spans="14:27">
      <c r="N590" s="2"/>
      <c r="O590" s="2"/>
      <c r="P590" s="2"/>
      <c r="Q590" s="2"/>
      <c r="R590" s="2"/>
      <c r="S590" s="2"/>
      <c r="T590" s="2"/>
      <c r="U590" s="2"/>
      <c r="V590" s="2"/>
      <c r="W590" s="2"/>
      <c r="X590" s="2"/>
      <c r="Y590" s="2"/>
      <c r="Z590" s="2"/>
      <c r="AA590" s="2"/>
    </row>
    <row r="591" spans="14:27">
      <c r="N591" s="2"/>
      <c r="O591" s="2"/>
      <c r="P591" s="2"/>
      <c r="Q591" s="2"/>
      <c r="R591" s="2"/>
      <c r="S591" s="2"/>
      <c r="T591" s="2"/>
      <c r="U591" s="2"/>
      <c r="V591" s="2"/>
      <c r="W591" s="2"/>
      <c r="X591" s="2"/>
      <c r="Y591" s="2"/>
      <c r="Z591" s="2"/>
      <c r="AA591" s="2"/>
    </row>
    <row r="592" spans="14:27">
      <c r="N592" s="2"/>
      <c r="O592" s="2"/>
      <c r="P592" s="2"/>
      <c r="Q592" s="2"/>
      <c r="R592" s="2"/>
      <c r="S592" s="2"/>
      <c r="T592" s="2"/>
      <c r="U592" s="2"/>
      <c r="V592" s="2"/>
      <c r="W592" s="2"/>
      <c r="X592" s="2"/>
      <c r="Y592" s="2"/>
      <c r="Z592" s="2"/>
      <c r="AA592" s="2"/>
    </row>
    <row r="593" spans="14:27">
      <c r="N593" s="2"/>
      <c r="O593" s="2"/>
      <c r="P593" s="2"/>
      <c r="Q593" s="2"/>
      <c r="R593" s="2"/>
      <c r="S593" s="2"/>
      <c r="T593" s="2"/>
      <c r="U593" s="2"/>
      <c r="V593" s="2"/>
      <c r="W593" s="2"/>
      <c r="X593" s="2"/>
      <c r="Y593" s="2"/>
      <c r="Z593" s="2"/>
      <c r="AA593" s="2"/>
    </row>
    <row r="594" spans="14:27">
      <c r="N594" s="2"/>
      <c r="O594" s="2"/>
      <c r="P594" s="2"/>
      <c r="Q594" s="2"/>
      <c r="R594" s="2"/>
      <c r="S594" s="2"/>
      <c r="T594" s="2"/>
      <c r="U594" s="2"/>
      <c r="V594" s="2"/>
      <c r="W594" s="2"/>
      <c r="X594" s="2"/>
      <c r="Y594" s="2"/>
      <c r="Z594" s="2"/>
      <c r="AA594" s="2"/>
    </row>
    <row r="595" spans="14:27">
      <c r="N595" s="2"/>
      <c r="O595" s="2"/>
      <c r="P595" s="2"/>
      <c r="Q595" s="2"/>
      <c r="R595" s="2"/>
      <c r="S595" s="2"/>
      <c r="T595" s="2"/>
      <c r="U595" s="2"/>
      <c r="V595" s="2"/>
      <c r="W595" s="2"/>
      <c r="X595" s="2"/>
      <c r="Y595" s="2"/>
      <c r="Z595" s="2"/>
      <c r="AA595" s="2"/>
    </row>
    <row r="596" spans="14:27">
      <c r="N596" s="2"/>
      <c r="O596" s="2"/>
      <c r="P596" s="2"/>
      <c r="Q596" s="2"/>
      <c r="R596" s="2"/>
      <c r="S596" s="2"/>
      <c r="T596" s="2"/>
      <c r="U596" s="2"/>
      <c r="V596" s="2"/>
      <c r="W596" s="2"/>
      <c r="X596" s="2"/>
      <c r="Y596" s="2"/>
      <c r="Z596" s="2"/>
      <c r="AA596" s="2"/>
    </row>
    <row r="597" spans="14:27">
      <c r="N597" s="2"/>
      <c r="O597" s="2"/>
      <c r="P597" s="2"/>
      <c r="Q597" s="2"/>
      <c r="R597" s="2"/>
      <c r="S597" s="2"/>
      <c r="T597" s="2"/>
      <c r="U597" s="2"/>
      <c r="V597" s="2"/>
      <c r="W597" s="2"/>
      <c r="X597" s="2"/>
      <c r="Y597" s="2"/>
      <c r="Z597" s="2"/>
      <c r="AA597" s="2"/>
    </row>
    <row r="598" spans="14:27">
      <c r="N598" s="2"/>
      <c r="O598" s="2"/>
      <c r="P598" s="2"/>
      <c r="Q598" s="2"/>
      <c r="R598" s="2"/>
      <c r="S598" s="2"/>
      <c r="T598" s="2"/>
      <c r="U598" s="2"/>
      <c r="V598" s="2"/>
      <c r="W598" s="2"/>
      <c r="X598" s="2"/>
      <c r="Y598" s="2"/>
      <c r="Z598" s="2"/>
      <c r="AA598" s="2"/>
    </row>
    <row r="599" spans="14:27">
      <c r="N599" s="2"/>
      <c r="O599" s="2"/>
      <c r="P599" s="2"/>
      <c r="Q599" s="2"/>
      <c r="R599" s="2"/>
      <c r="S599" s="2"/>
      <c r="T599" s="2"/>
      <c r="U599" s="2"/>
      <c r="V599" s="2"/>
      <c r="W599" s="2"/>
      <c r="X599" s="2"/>
      <c r="Y599" s="2"/>
      <c r="Z599" s="2"/>
      <c r="AA599" s="2"/>
    </row>
    <row r="600" spans="14:27">
      <c r="N600" s="2"/>
      <c r="O600" s="2"/>
      <c r="P600" s="2"/>
      <c r="Q600" s="2"/>
      <c r="R600" s="2"/>
      <c r="S600" s="2"/>
      <c r="T600" s="2"/>
      <c r="U600" s="2"/>
      <c r="V600" s="2"/>
      <c r="W600" s="2"/>
      <c r="X600" s="2"/>
      <c r="Y600" s="2"/>
      <c r="Z600" s="2"/>
      <c r="AA600" s="2"/>
    </row>
    <row r="601" spans="14:27">
      <c r="N601" s="2"/>
      <c r="O601" s="2"/>
      <c r="P601" s="2"/>
      <c r="Q601" s="2"/>
      <c r="R601" s="2"/>
      <c r="S601" s="2"/>
      <c r="T601" s="2"/>
      <c r="U601" s="2"/>
      <c r="V601" s="2"/>
      <c r="W601" s="2"/>
      <c r="X601" s="2"/>
      <c r="Y601" s="2"/>
      <c r="Z601" s="2"/>
      <c r="AA601" s="2"/>
    </row>
    <row r="602" spans="14:27">
      <c r="N602" s="2"/>
      <c r="O602" s="2"/>
      <c r="P602" s="2"/>
      <c r="Q602" s="2"/>
      <c r="R602" s="2"/>
      <c r="S602" s="2"/>
      <c r="T602" s="2"/>
      <c r="U602" s="2"/>
      <c r="V602" s="2"/>
      <c r="W602" s="2"/>
      <c r="X602" s="2"/>
      <c r="Y602" s="2"/>
      <c r="Z602" s="2"/>
      <c r="AA602" s="2"/>
    </row>
    <row r="603" spans="14:27">
      <c r="N603" s="2"/>
      <c r="O603" s="2"/>
      <c r="P603" s="2"/>
      <c r="Q603" s="2"/>
      <c r="R603" s="2"/>
      <c r="S603" s="2"/>
      <c r="T603" s="2"/>
      <c r="U603" s="2"/>
      <c r="V603" s="2"/>
      <c r="W603" s="2"/>
      <c r="X603" s="2"/>
      <c r="Y603" s="2"/>
      <c r="Z603" s="2"/>
      <c r="AA603" s="2"/>
    </row>
    <row r="604" spans="14:27">
      <c r="N604" s="2"/>
      <c r="O604" s="2"/>
      <c r="P604" s="2"/>
      <c r="Q604" s="2"/>
      <c r="R604" s="2"/>
      <c r="S604" s="2"/>
      <c r="T604" s="2"/>
      <c r="U604" s="2"/>
      <c r="V604" s="2"/>
      <c r="W604" s="2"/>
      <c r="X604" s="2"/>
      <c r="Y604" s="2"/>
      <c r="Z604" s="2"/>
      <c r="AA604" s="2"/>
    </row>
    <row r="605" spans="14:27">
      <c r="N605" s="2"/>
      <c r="O605" s="2"/>
      <c r="P605" s="2"/>
      <c r="Q605" s="2"/>
      <c r="R605" s="2"/>
      <c r="S605" s="2"/>
      <c r="T605" s="2"/>
      <c r="U605" s="2"/>
      <c r="V605" s="2"/>
      <c r="W605" s="2"/>
      <c r="X605" s="2"/>
      <c r="Y605" s="2"/>
      <c r="Z605" s="2"/>
      <c r="AA605" s="2"/>
    </row>
    <row r="606" spans="14:27">
      <c r="N606" s="2"/>
      <c r="O606" s="2"/>
      <c r="P606" s="2"/>
      <c r="Q606" s="2"/>
      <c r="R606" s="2"/>
      <c r="S606" s="2"/>
      <c r="T606" s="2"/>
      <c r="U606" s="2"/>
      <c r="V606" s="2"/>
      <c r="W606" s="2"/>
      <c r="X606" s="2"/>
      <c r="Y606" s="2"/>
      <c r="Z606" s="2"/>
      <c r="AA606" s="2"/>
    </row>
    <row r="607" spans="14:27">
      <c r="N607" s="2"/>
      <c r="O607" s="2"/>
      <c r="P607" s="2"/>
      <c r="Q607" s="2"/>
      <c r="R607" s="2"/>
      <c r="S607" s="2"/>
      <c r="T607" s="2"/>
      <c r="U607" s="2"/>
      <c r="V607" s="2"/>
      <c r="W607" s="2"/>
      <c r="X607" s="2"/>
      <c r="Y607" s="2"/>
      <c r="Z607" s="2"/>
      <c r="AA607" s="2"/>
    </row>
    <row r="608" spans="14:27">
      <c r="N608" s="2"/>
      <c r="O608" s="2"/>
      <c r="P608" s="2"/>
      <c r="Q608" s="2"/>
      <c r="R608" s="2"/>
      <c r="S608" s="2"/>
      <c r="T608" s="2"/>
      <c r="U608" s="2"/>
      <c r="V608" s="2"/>
      <c r="W608" s="2"/>
      <c r="X608" s="2"/>
      <c r="Y608" s="2"/>
      <c r="Z608" s="2"/>
      <c r="AA608" s="2"/>
    </row>
    <row r="609" spans="14:27">
      <c r="N609" s="2"/>
      <c r="O609" s="2"/>
      <c r="P609" s="2"/>
      <c r="Q609" s="2"/>
      <c r="R609" s="2"/>
      <c r="S609" s="2"/>
      <c r="T609" s="2"/>
      <c r="U609" s="2"/>
      <c r="V609" s="2"/>
      <c r="W609" s="2"/>
      <c r="X609" s="2"/>
      <c r="Y609" s="2"/>
      <c r="Z609" s="2"/>
      <c r="AA609" s="2"/>
    </row>
    <row r="610" spans="14:27">
      <c r="N610" s="2"/>
      <c r="O610" s="2"/>
      <c r="P610" s="2"/>
      <c r="Q610" s="2"/>
      <c r="R610" s="2"/>
      <c r="S610" s="2"/>
      <c r="T610" s="2"/>
      <c r="U610" s="2"/>
      <c r="V610" s="2"/>
      <c r="W610" s="2"/>
      <c r="X610" s="2"/>
      <c r="Y610" s="2"/>
      <c r="Z610" s="2"/>
      <c r="AA610" s="2"/>
    </row>
    <row r="611" spans="14:27">
      <c r="N611" s="2"/>
      <c r="O611" s="2"/>
      <c r="P611" s="2"/>
      <c r="Q611" s="2"/>
      <c r="R611" s="2"/>
      <c r="S611" s="2"/>
      <c r="T611" s="2"/>
      <c r="U611" s="2"/>
      <c r="V611" s="2"/>
      <c r="W611" s="2"/>
      <c r="X611" s="2"/>
      <c r="Y611" s="2"/>
      <c r="Z611" s="2"/>
      <c r="AA611" s="2"/>
    </row>
    <row r="612" spans="14:27">
      <c r="N612" s="2"/>
      <c r="O612" s="2"/>
      <c r="P612" s="2"/>
      <c r="Q612" s="2"/>
      <c r="R612" s="2"/>
      <c r="S612" s="2"/>
      <c r="T612" s="2"/>
      <c r="U612" s="2"/>
      <c r="V612" s="2"/>
      <c r="W612" s="2"/>
      <c r="X612" s="2"/>
      <c r="Y612" s="2"/>
      <c r="Z612" s="2"/>
      <c r="AA612" s="2"/>
    </row>
    <row r="613" spans="14:27">
      <c r="N613" s="2"/>
      <c r="O613" s="2"/>
      <c r="P613" s="2"/>
      <c r="Q613" s="2"/>
      <c r="R613" s="2"/>
      <c r="S613" s="2"/>
      <c r="T613" s="2"/>
      <c r="U613" s="2"/>
      <c r="V613" s="2"/>
      <c r="W613" s="2"/>
      <c r="X613" s="2"/>
      <c r="Y613" s="2"/>
      <c r="Z613" s="2"/>
      <c r="AA613" s="2"/>
    </row>
    <row r="614" spans="14:27">
      <c r="N614" s="2"/>
      <c r="O614" s="2"/>
      <c r="P614" s="2"/>
      <c r="Q614" s="2"/>
      <c r="R614" s="2"/>
      <c r="S614" s="2"/>
      <c r="T614" s="2"/>
      <c r="U614" s="2"/>
      <c r="V614" s="2"/>
      <c r="W614" s="2"/>
      <c r="X614" s="2"/>
      <c r="Y614" s="2"/>
      <c r="Z614" s="2"/>
      <c r="AA614" s="2"/>
    </row>
    <row r="615" spans="14:27">
      <c r="N615" s="2"/>
      <c r="O615" s="2"/>
      <c r="P615" s="2"/>
      <c r="Q615" s="2"/>
      <c r="R615" s="2"/>
      <c r="S615" s="2"/>
      <c r="T615" s="2"/>
      <c r="U615" s="2"/>
      <c r="V615" s="2"/>
      <c r="W615" s="2"/>
      <c r="X615" s="2"/>
      <c r="Y615" s="2"/>
      <c r="Z615" s="2"/>
      <c r="AA615" s="2"/>
    </row>
    <row r="616" spans="14:27">
      <c r="N616" s="2"/>
      <c r="O616" s="2"/>
      <c r="P616" s="2"/>
      <c r="Q616" s="2"/>
      <c r="R616" s="2"/>
      <c r="S616" s="2"/>
      <c r="T616" s="2"/>
      <c r="U616" s="2"/>
      <c r="V616" s="2"/>
      <c r="W616" s="2"/>
      <c r="X616" s="2"/>
      <c r="Y616" s="2"/>
      <c r="Z616" s="2"/>
      <c r="AA616" s="2"/>
    </row>
    <row r="617" spans="14:27">
      <c r="N617" s="2"/>
      <c r="O617" s="2"/>
      <c r="P617" s="2"/>
      <c r="Q617" s="2"/>
      <c r="R617" s="2"/>
      <c r="S617" s="2"/>
      <c r="T617" s="2"/>
      <c r="U617" s="2"/>
      <c r="V617" s="2"/>
      <c r="W617" s="2"/>
      <c r="X617" s="2"/>
      <c r="Y617" s="2"/>
      <c r="Z617" s="2"/>
      <c r="AA617" s="2"/>
    </row>
    <row r="618" spans="14:27">
      <c r="N618" s="2"/>
      <c r="O618" s="2"/>
      <c r="P618" s="2"/>
      <c r="Q618" s="2"/>
      <c r="R618" s="2"/>
      <c r="S618" s="2"/>
      <c r="T618" s="2"/>
      <c r="U618" s="2"/>
      <c r="V618" s="2"/>
      <c r="W618" s="2"/>
      <c r="X618" s="2"/>
      <c r="Y618" s="2"/>
      <c r="Z618" s="2"/>
      <c r="AA618" s="2"/>
    </row>
    <row r="619" spans="14:27">
      <c r="N619" s="2"/>
      <c r="O619" s="2"/>
      <c r="P619" s="2"/>
      <c r="Q619" s="2"/>
      <c r="R619" s="2"/>
      <c r="S619" s="2"/>
      <c r="T619" s="2"/>
      <c r="U619" s="2"/>
      <c r="V619" s="2"/>
      <c r="W619" s="2"/>
      <c r="X619" s="2"/>
      <c r="Y619" s="2"/>
      <c r="Z619" s="2"/>
      <c r="AA619" s="2"/>
    </row>
    <row r="620" spans="14:27">
      <c r="N620" s="2"/>
      <c r="O620" s="2"/>
      <c r="P620" s="2"/>
      <c r="Q620" s="2"/>
      <c r="R620" s="2"/>
      <c r="S620" s="2"/>
      <c r="T620" s="2"/>
      <c r="U620" s="2"/>
      <c r="V620" s="2"/>
      <c r="W620" s="2"/>
      <c r="X620" s="2"/>
      <c r="Y620" s="2"/>
      <c r="Z620" s="2"/>
      <c r="AA620" s="2"/>
    </row>
    <row r="621" spans="14:27">
      <c r="N621" s="2"/>
      <c r="O621" s="2"/>
      <c r="P621" s="2"/>
      <c r="Q621" s="2"/>
      <c r="R621" s="2"/>
      <c r="S621" s="2"/>
      <c r="T621" s="2"/>
      <c r="U621" s="2"/>
      <c r="V621" s="2"/>
      <c r="W621" s="2"/>
      <c r="X621" s="2"/>
      <c r="Y621" s="2"/>
      <c r="Z621" s="2"/>
      <c r="AA621" s="2"/>
    </row>
    <row r="622" spans="14:27">
      <c r="N622" s="2"/>
      <c r="O622" s="2"/>
      <c r="P622" s="2"/>
      <c r="Q622" s="2"/>
      <c r="R622" s="2"/>
      <c r="S622" s="2"/>
      <c r="T622" s="2"/>
      <c r="U622" s="2"/>
      <c r="V622" s="2"/>
      <c r="W622" s="2"/>
      <c r="X622" s="2"/>
      <c r="Y622" s="2"/>
      <c r="Z622" s="2"/>
      <c r="AA622" s="2"/>
    </row>
    <row r="623" spans="14:27">
      <c r="N623" s="2"/>
      <c r="O623" s="2"/>
      <c r="P623" s="2"/>
      <c r="Q623" s="2"/>
      <c r="R623" s="2"/>
      <c r="S623" s="2"/>
      <c r="T623" s="2"/>
      <c r="U623" s="2"/>
      <c r="V623" s="2"/>
      <c r="W623" s="2"/>
      <c r="X623" s="2"/>
      <c r="Y623" s="2"/>
      <c r="Z623" s="2"/>
      <c r="AA623" s="2"/>
    </row>
    <row r="624" spans="14:27">
      <c r="N624" s="2"/>
      <c r="O624" s="2"/>
      <c r="P624" s="2"/>
      <c r="Q624" s="2"/>
      <c r="R624" s="2"/>
      <c r="S624" s="2"/>
      <c r="T624" s="2"/>
      <c r="U624" s="2"/>
      <c r="V624" s="2"/>
      <c r="W624" s="2"/>
      <c r="X624" s="2"/>
      <c r="Y624" s="2"/>
      <c r="Z624" s="2"/>
      <c r="AA624" s="2"/>
    </row>
    <row r="625" spans="14:27">
      <c r="N625" s="2"/>
      <c r="O625" s="2"/>
      <c r="P625" s="2"/>
      <c r="Q625" s="2"/>
      <c r="R625" s="2"/>
      <c r="S625" s="2"/>
      <c r="T625" s="2"/>
      <c r="U625" s="2"/>
      <c r="V625" s="2"/>
      <c r="W625" s="2"/>
      <c r="X625" s="2"/>
      <c r="Y625" s="2"/>
      <c r="Z625" s="2"/>
      <c r="AA625" s="2"/>
    </row>
    <row r="626" spans="14:27">
      <c r="N626" s="2"/>
      <c r="O626" s="2"/>
      <c r="P626" s="2"/>
      <c r="Q626" s="2"/>
      <c r="R626" s="2"/>
      <c r="S626" s="2"/>
      <c r="T626" s="2"/>
      <c r="U626" s="2"/>
      <c r="V626" s="2"/>
      <c r="W626" s="2"/>
      <c r="X626" s="2"/>
      <c r="Y626" s="2"/>
      <c r="Z626" s="2"/>
      <c r="AA626" s="2"/>
    </row>
    <row r="627" spans="14:27">
      <c r="N627" s="2"/>
      <c r="O627" s="2"/>
      <c r="P627" s="2"/>
      <c r="Q627" s="2"/>
      <c r="R627" s="2"/>
      <c r="S627" s="2"/>
      <c r="T627" s="2"/>
      <c r="U627" s="2"/>
      <c r="V627" s="2"/>
      <c r="W627" s="2"/>
      <c r="X627" s="2"/>
      <c r="Y627" s="2"/>
      <c r="Z627" s="2"/>
      <c r="AA627" s="2"/>
    </row>
    <row r="628" spans="14:27">
      <c r="N628" s="2"/>
      <c r="O628" s="2"/>
      <c r="P628" s="2"/>
      <c r="Q628" s="2"/>
      <c r="R628" s="2"/>
      <c r="S628" s="2"/>
      <c r="T628" s="2"/>
      <c r="U628" s="2"/>
      <c r="V628" s="2"/>
      <c r="W628" s="2"/>
      <c r="X628" s="2"/>
      <c r="Y628" s="2"/>
      <c r="Z628" s="2"/>
      <c r="AA628" s="2"/>
    </row>
    <row r="629" spans="14:27">
      <c r="N629" s="2"/>
      <c r="O629" s="2"/>
      <c r="P629" s="2"/>
      <c r="Q629" s="2"/>
      <c r="R629" s="2"/>
      <c r="S629" s="2"/>
      <c r="T629" s="2"/>
      <c r="U629" s="2"/>
      <c r="V629" s="2"/>
      <c r="W629" s="2"/>
      <c r="X629" s="2"/>
      <c r="Y629" s="2"/>
      <c r="Z629" s="2"/>
      <c r="AA629" s="2"/>
    </row>
    <row r="630" spans="14:27">
      <c r="N630" s="2"/>
      <c r="O630" s="2"/>
      <c r="P630" s="2"/>
      <c r="Q630" s="2"/>
      <c r="R630" s="2"/>
      <c r="S630" s="2"/>
      <c r="T630" s="2"/>
      <c r="U630" s="2"/>
      <c r="V630" s="2"/>
      <c r="W630" s="2"/>
      <c r="X630" s="2"/>
      <c r="Y630" s="2"/>
      <c r="Z630" s="2"/>
      <c r="AA630" s="2"/>
    </row>
    <row r="631" spans="14:27">
      <c r="N631" s="2"/>
      <c r="O631" s="2"/>
      <c r="P631" s="2"/>
      <c r="Q631" s="2"/>
      <c r="R631" s="2"/>
      <c r="S631" s="2"/>
      <c r="T631" s="2"/>
      <c r="U631" s="2"/>
      <c r="V631" s="2"/>
      <c r="W631" s="2"/>
      <c r="X631" s="2"/>
      <c r="Y631" s="2"/>
      <c r="Z631" s="2"/>
      <c r="AA631" s="2"/>
    </row>
    <row r="632" spans="14:27">
      <c r="N632" s="2"/>
      <c r="O632" s="2"/>
      <c r="P632" s="2"/>
      <c r="Q632" s="2"/>
      <c r="R632" s="2"/>
      <c r="S632" s="2"/>
      <c r="T632" s="2"/>
      <c r="U632" s="2"/>
      <c r="V632" s="2"/>
      <c r="W632" s="2"/>
      <c r="X632" s="2"/>
      <c r="Y632" s="2"/>
      <c r="Z632" s="2"/>
      <c r="AA632" s="2"/>
    </row>
    <row r="633" spans="14:27">
      <c r="N633" s="2"/>
      <c r="O633" s="2"/>
      <c r="P633" s="2"/>
      <c r="Q633" s="2"/>
      <c r="R633" s="2"/>
      <c r="S633" s="2"/>
      <c r="T633" s="2"/>
      <c r="U633" s="2"/>
      <c r="V633" s="2"/>
      <c r="W633" s="2"/>
      <c r="X633" s="2"/>
      <c r="Y633" s="2"/>
      <c r="Z633" s="2"/>
      <c r="AA633" s="2"/>
    </row>
    <row r="634" spans="14:27">
      <c r="N634" s="2"/>
      <c r="O634" s="2"/>
      <c r="P634" s="2"/>
      <c r="Q634" s="2"/>
      <c r="R634" s="2"/>
      <c r="S634" s="2"/>
      <c r="T634" s="2"/>
      <c r="U634" s="2"/>
      <c r="V634" s="2"/>
      <c r="W634" s="2"/>
      <c r="X634" s="2"/>
      <c r="Y634" s="2"/>
      <c r="Z634" s="2"/>
      <c r="AA634" s="2"/>
    </row>
    <row r="635" spans="14:27">
      <c r="N635" s="2"/>
      <c r="O635" s="2"/>
      <c r="P635" s="2"/>
      <c r="Q635" s="2"/>
      <c r="R635" s="2"/>
      <c r="S635" s="2"/>
      <c r="T635" s="2"/>
      <c r="U635" s="2"/>
      <c r="V635" s="2"/>
      <c r="W635" s="2"/>
      <c r="X635" s="2"/>
      <c r="Y635" s="2"/>
      <c r="Z635" s="2"/>
      <c r="AA635" s="2"/>
    </row>
    <row r="636" spans="14:27">
      <c r="N636" s="2"/>
      <c r="O636" s="2"/>
      <c r="P636" s="2"/>
      <c r="Q636" s="2"/>
      <c r="R636" s="2"/>
      <c r="S636" s="2"/>
      <c r="T636" s="2"/>
      <c r="U636" s="2"/>
      <c r="V636" s="2"/>
      <c r="W636" s="2"/>
      <c r="X636" s="2"/>
      <c r="Y636" s="2"/>
      <c r="Z636" s="2"/>
      <c r="AA636" s="2"/>
    </row>
    <row r="637" spans="14:27">
      <c r="N637" s="2"/>
      <c r="O637" s="2"/>
      <c r="P637" s="2"/>
      <c r="Q637" s="2"/>
      <c r="R637" s="2"/>
      <c r="S637" s="2"/>
      <c r="T637" s="2"/>
      <c r="U637" s="2"/>
      <c r="V637" s="2"/>
      <c r="W637" s="2"/>
      <c r="X637" s="2"/>
      <c r="Y637" s="2"/>
      <c r="Z637" s="2"/>
      <c r="AA637" s="2"/>
    </row>
    <row r="638" spans="14:27">
      <c r="N638" s="2"/>
      <c r="O638" s="2"/>
      <c r="P638" s="2"/>
      <c r="Q638" s="2"/>
      <c r="R638" s="2"/>
      <c r="S638" s="2"/>
      <c r="T638" s="2"/>
      <c r="U638" s="2"/>
      <c r="V638" s="2"/>
      <c r="W638" s="2"/>
      <c r="X638" s="2"/>
      <c r="Y638" s="2"/>
      <c r="Z638" s="2"/>
      <c r="AA638" s="2"/>
    </row>
    <row r="639" spans="14:27">
      <c r="N639" s="2"/>
      <c r="O639" s="2"/>
      <c r="P639" s="2"/>
      <c r="Q639" s="2"/>
      <c r="R639" s="2"/>
      <c r="S639" s="2"/>
      <c r="T639" s="2"/>
      <c r="U639" s="2"/>
      <c r="V639" s="2"/>
      <c r="W639" s="2"/>
      <c r="X639" s="2"/>
      <c r="Y639" s="2"/>
      <c r="Z639" s="2"/>
      <c r="AA639" s="2"/>
    </row>
    <row r="640" spans="14:27">
      <c r="N640" s="2"/>
      <c r="O640" s="2"/>
      <c r="P640" s="2"/>
      <c r="Q640" s="2"/>
      <c r="R640" s="2"/>
      <c r="S640" s="2"/>
      <c r="T640" s="2"/>
      <c r="U640" s="2"/>
      <c r="V640" s="2"/>
      <c r="W640" s="2"/>
      <c r="X640" s="2"/>
      <c r="Y640" s="2"/>
      <c r="Z640" s="2"/>
      <c r="AA640" s="2"/>
    </row>
    <row r="641" spans="14:27">
      <c r="N641" s="2"/>
      <c r="O641" s="2"/>
      <c r="P641" s="2"/>
      <c r="Q641" s="2"/>
      <c r="R641" s="2"/>
      <c r="S641" s="2"/>
      <c r="T641" s="2"/>
      <c r="U641" s="2"/>
      <c r="V641" s="2"/>
      <c r="W641" s="2"/>
      <c r="X641" s="2"/>
      <c r="Y641" s="2"/>
      <c r="Z641" s="2"/>
      <c r="AA641" s="2"/>
    </row>
    <row r="642" spans="14:27">
      <c r="N642" s="2"/>
      <c r="O642" s="2"/>
      <c r="P642" s="2"/>
      <c r="Q642" s="2"/>
      <c r="R642" s="2"/>
      <c r="S642" s="2"/>
      <c r="T642" s="2"/>
      <c r="U642" s="2"/>
      <c r="V642" s="2"/>
      <c r="W642" s="2"/>
      <c r="X642" s="2"/>
      <c r="Y642" s="2"/>
      <c r="Z642" s="2"/>
      <c r="AA642" s="2"/>
    </row>
    <row r="643" spans="14:27">
      <c r="N643" s="2"/>
      <c r="O643" s="2"/>
      <c r="P643" s="2"/>
      <c r="Q643" s="2"/>
      <c r="R643" s="2"/>
      <c r="S643" s="2"/>
      <c r="T643" s="2"/>
      <c r="U643" s="2"/>
      <c r="V643" s="2"/>
      <c r="W643" s="2"/>
      <c r="X643" s="2"/>
      <c r="Y643" s="2"/>
      <c r="Z643" s="2"/>
      <c r="AA643" s="2"/>
    </row>
    <row r="644" spans="14:27">
      <c r="N644" s="2"/>
      <c r="O644" s="2"/>
      <c r="P644" s="2"/>
      <c r="Q644" s="2"/>
      <c r="R644" s="2"/>
      <c r="S644" s="2"/>
      <c r="T644" s="2"/>
      <c r="U644" s="2"/>
      <c r="V644" s="2"/>
      <c r="W644" s="2"/>
      <c r="X644" s="2"/>
      <c r="Y644" s="2"/>
      <c r="Z644" s="2"/>
      <c r="AA644" s="2"/>
    </row>
    <row r="645" spans="14:27">
      <c r="N645" s="2"/>
      <c r="O645" s="2"/>
      <c r="P645" s="2"/>
      <c r="Q645" s="2"/>
      <c r="R645" s="2"/>
      <c r="S645" s="2"/>
      <c r="T645" s="2"/>
      <c r="U645" s="2"/>
      <c r="V645" s="2"/>
      <c r="W645" s="2"/>
      <c r="X645" s="2"/>
      <c r="Y645" s="2"/>
      <c r="Z645" s="2"/>
      <c r="AA645" s="2"/>
    </row>
    <row r="646" spans="14:27">
      <c r="N646" s="2"/>
      <c r="O646" s="2"/>
      <c r="P646" s="2"/>
      <c r="Q646" s="2"/>
      <c r="R646" s="2"/>
      <c r="S646" s="2"/>
      <c r="T646" s="2"/>
      <c r="U646" s="2"/>
      <c r="V646" s="2"/>
      <c r="W646" s="2"/>
      <c r="X646" s="2"/>
      <c r="Y646" s="2"/>
      <c r="Z646" s="2"/>
      <c r="AA646" s="2"/>
    </row>
    <row r="647" spans="14:27">
      <c r="N647" s="2"/>
      <c r="O647" s="2"/>
      <c r="P647" s="2"/>
      <c r="Q647" s="2"/>
      <c r="R647" s="2"/>
      <c r="S647" s="2"/>
      <c r="T647" s="2"/>
      <c r="U647" s="2"/>
      <c r="V647" s="2"/>
      <c r="W647" s="2"/>
      <c r="X647" s="2"/>
      <c r="Y647" s="2"/>
      <c r="Z647" s="2"/>
      <c r="AA647" s="2"/>
    </row>
    <row r="648" spans="14:27">
      <c r="N648" s="2"/>
      <c r="O648" s="2"/>
      <c r="P648" s="2"/>
      <c r="Q648" s="2"/>
      <c r="R648" s="2"/>
      <c r="S648" s="2"/>
      <c r="T648" s="2"/>
      <c r="U648" s="2"/>
      <c r="V648" s="2"/>
      <c r="W648" s="2"/>
      <c r="X648" s="2"/>
      <c r="Y648" s="2"/>
      <c r="Z648" s="2"/>
      <c r="AA648" s="2"/>
    </row>
    <row r="649" spans="14:27">
      <c r="N649" s="2"/>
      <c r="O649" s="2"/>
      <c r="P649" s="2"/>
      <c r="Q649" s="2"/>
      <c r="R649" s="2"/>
      <c r="S649" s="2"/>
      <c r="T649" s="2"/>
      <c r="U649" s="2"/>
      <c r="V649" s="2"/>
      <c r="W649" s="2"/>
      <c r="X649" s="2"/>
      <c r="Y649" s="2"/>
      <c r="Z649" s="2"/>
      <c r="AA649" s="2"/>
    </row>
    <row r="650" spans="14:27">
      <c r="N650" s="2"/>
      <c r="O650" s="2"/>
      <c r="P650" s="2"/>
      <c r="Q650" s="2"/>
      <c r="R650" s="2"/>
      <c r="S650" s="2"/>
      <c r="T650" s="2"/>
      <c r="U650" s="2"/>
      <c r="V650" s="2"/>
      <c r="W650" s="2"/>
      <c r="X650" s="2"/>
      <c r="Y650" s="2"/>
      <c r="Z650" s="2"/>
      <c r="AA650" s="2"/>
    </row>
    <row r="651" spans="14:27">
      <c r="N651" s="2"/>
      <c r="O651" s="2"/>
      <c r="P651" s="2"/>
      <c r="Q651" s="2"/>
      <c r="R651" s="2"/>
      <c r="S651" s="2"/>
      <c r="T651" s="2"/>
      <c r="U651" s="2"/>
      <c r="V651" s="2"/>
      <c r="W651" s="2"/>
      <c r="X651" s="2"/>
      <c r="Y651" s="2"/>
      <c r="Z651" s="2"/>
      <c r="AA651" s="2"/>
    </row>
    <row r="652" spans="14:27">
      <c r="N652" s="2"/>
      <c r="O652" s="2"/>
      <c r="P652" s="2"/>
      <c r="Q652" s="2"/>
      <c r="R652" s="2"/>
      <c r="S652" s="2"/>
      <c r="T652" s="2"/>
      <c r="U652" s="2"/>
      <c r="V652" s="2"/>
      <c r="W652" s="2"/>
      <c r="X652" s="2"/>
      <c r="Y652" s="2"/>
      <c r="Z652" s="2"/>
      <c r="AA652" s="2"/>
    </row>
    <row r="653" spans="14:27">
      <c r="N653" s="2"/>
      <c r="O653" s="2"/>
      <c r="P653" s="2"/>
      <c r="Q653" s="2"/>
      <c r="R653" s="2"/>
      <c r="S653" s="2"/>
      <c r="T653" s="2"/>
      <c r="U653" s="2"/>
      <c r="V653" s="2"/>
      <c r="W653" s="2"/>
      <c r="X653" s="2"/>
      <c r="Y653" s="2"/>
      <c r="Z653" s="2"/>
      <c r="AA653" s="2"/>
    </row>
    <row r="654" spans="14:27">
      <c r="N654" s="2"/>
      <c r="O654" s="2"/>
      <c r="P654" s="2"/>
      <c r="Q654" s="2"/>
      <c r="R654" s="2"/>
      <c r="S654" s="2"/>
      <c r="T654" s="2"/>
      <c r="U654" s="2"/>
      <c r="V654" s="2"/>
      <c r="W654" s="2"/>
      <c r="X654" s="2"/>
      <c r="Y654" s="2"/>
      <c r="Z654" s="2"/>
      <c r="AA654" s="2"/>
    </row>
    <row r="655" spans="14:27">
      <c r="N655" s="2"/>
      <c r="O655" s="2"/>
      <c r="P655" s="2"/>
      <c r="Q655" s="2"/>
      <c r="R655" s="2"/>
      <c r="S655" s="2"/>
      <c r="T655" s="2"/>
      <c r="U655" s="2"/>
      <c r="V655" s="2"/>
      <c r="W655" s="2"/>
      <c r="X655" s="2"/>
      <c r="Y655" s="2"/>
      <c r="Z655" s="2"/>
      <c r="AA655" s="2"/>
    </row>
    <row r="656" spans="14:27">
      <c r="N656" s="2"/>
      <c r="O656" s="2"/>
      <c r="P656" s="2"/>
      <c r="Q656" s="2"/>
      <c r="R656" s="2"/>
      <c r="S656" s="2"/>
      <c r="T656" s="2"/>
      <c r="U656" s="2"/>
      <c r="V656" s="2"/>
      <c r="W656" s="2"/>
      <c r="X656" s="2"/>
      <c r="Y656" s="2"/>
      <c r="Z656" s="2"/>
      <c r="AA656" s="2"/>
    </row>
    <row r="657" spans="14:27">
      <c r="N657" s="2"/>
      <c r="O657" s="2"/>
      <c r="P657" s="2"/>
      <c r="Q657" s="2"/>
      <c r="R657" s="2"/>
      <c r="S657" s="2"/>
      <c r="T657" s="2"/>
      <c r="U657" s="2"/>
      <c r="V657" s="2"/>
      <c r="W657" s="2"/>
      <c r="X657" s="2"/>
      <c r="Y657" s="2"/>
      <c r="Z657" s="2"/>
      <c r="AA657" s="2"/>
    </row>
    <row r="658" spans="14:27">
      <c r="N658" s="2"/>
      <c r="O658" s="2"/>
      <c r="P658" s="2"/>
      <c r="Q658" s="2"/>
      <c r="R658" s="2"/>
      <c r="S658" s="2"/>
      <c r="T658" s="2"/>
      <c r="U658" s="2"/>
      <c r="V658" s="2"/>
      <c r="W658" s="2"/>
      <c r="X658" s="2"/>
      <c r="Y658" s="2"/>
      <c r="Z658" s="2"/>
      <c r="AA658" s="2"/>
    </row>
    <row r="659" spans="14:27">
      <c r="N659" s="2"/>
      <c r="O659" s="2"/>
      <c r="P659" s="2"/>
      <c r="Q659" s="2"/>
      <c r="R659" s="2"/>
      <c r="S659" s="2"/>
      <c r="T659" s="2"/>
      <c r="U659" s="2"/>
      <c r="V659" s="2"/>
      <c r="W659" s="2"/>
      <c r="X659" s="2"/>
      <c r="Y659" s="2"/>
      <c r="Z659" s="2"/>
      <c r="AA659" s="2"/>
    </row>
    <row r="660" spans="14:27">
      <c r="N660" s="2"/>
      <c r="O660" s="2"/>
      <c r="P660" s="2"/>
      <c r="Q660" s="2"/>
      <c r="R660" s="2"/>
      <c r="S660" s="2"/>
      <c r="T660" s="2"/>
      <c r="U660" s="2"/>
      <c r="V660" s="2"/>
      <c r="W660" s="2"/>
      <c r="X660" s="2"/>
      <c r="Y660" s="2"/>
      <c r="Z660" s="2"/>
      <c r="AA660" s="2"/>
    </row>
    <row r="661" spans="14:27">
      <c r="N661" s="2"/>
      <c r="O661" s="2"/>
      <c r="P661" s="2"/>
      <c r="Q661" s="2"/>
      <c r="R661" s="2"/>
      <c r="S661" s="2"/>
      <c r="T661" s="2"/>
      <c r="U661" s="2"/>
      <c r="V661" s="2"/>
      <c r="W661" s="2"/>
      <c r="X661" s="2"/>
      <c r="Y661" s="2"/>
      <c r="Z661" s="2"/>
      <c r="AA661" s="2"/>
    </row>
    <row r="662" spans="14:27">
      <c r="N662" s="2"/>
      <c r="O662" s="2"/>
      <c r="P662" s="2"/>
      <c r="Q662" s="2"/>
      <c r="R662" s="2"/>
      <c r="S662" s="2"/>
      <c r="T662" s="2"/>
      <c r="U662" s="2"/>
      <c r="V662" s="2"/>
      <c r="W662" s="2"/>
      <c r="X662" s="2"/>
      <c r="Y662" s="2"/>
      <c r="Z662" s="2"/>
      <c r="AA662" s="2"/>
    </row>
    <row r="663" spans="14:27">
      <c r="N663" s="2"/>
      <c r="O663" s="2"/>
      <c r="P663" s="2"/>
      <c r="Q663" s="2"/>
      <c r="R663" s="2"/>
      <c r="S663" s="2"/>
      <c r="T663" s="2"/>
      <c r="U663" s="2"/>
      <c r="V663" s="2"/>
      <c r="W663" s="2"/>
      <c r="X663" s="2"/>
      <c r="Y663" s="2"/>
      <c r="Z663" s="2"/>
      <c r="AA663" s="2"/>
    </row>
    <row r="664" spans="14:27">
      <c r="N664" s="2"/>
      <c r="O664" s="2"/>
      <c r="P664" s="2"/>
      <c r="Q664" s="2"/>
      <c r="R664" s="2"/>
      <c r="S664" s="2"/>
      <c r="T664" s="2"/>
      <c r="U664" s="2"/>
      <c r="V664" s="2"/>
      <c r="W664" s="2"/>
      <c r="X664" s="2"/>
      <c r="Y664" s="2"/>
      <c r="Z664" s="2"/>
      <c r="AA664" s="2"/>
    </row>
    <row r="665" spans="14:27">
      <c r="N665" s="2"/>
      <c r="O665" s="2"/>
      <c r="P665" s="2"/>
      <c r="Q665" s="2"/>
      <c r="R665" s="2"/>
      <c r="S665" s="2"/>
      <c r="T665" s="2"/>
      <c r="U665" s="2"/>
      <c r="V665" s="2"/>
      <c r="W665" s="2"/>
      <c r="X665" s="2"/>
      <c r="Y665" s="2"/>
      <c r="Z665" s="2"/>
      <c r="AA665" s="2"/>
    </row>
    <row r="666" spans="14:27">
      <c r="N666" s="2"/>
      <c r="O666" s="2"/>
      <c r="P666" s="2"/>
      <c r="Q666" s="2"/>
      <c r="R666" s="2"/>
      <c r="S666" s="2"/>
      <c r="T666" s="2"/>
      <c r="U666" s="2"/>
      <c r="V666" s="2"/>
      <c r="W666" s="2"/>
      <c r="X666" s="2"/>
      <c r="Y666" s="2"/>
      <c r="Z666" s="2"/>
      <c r="AA666" s="2"/>
    </row>
    <row r="667" spans="14:27">
      <c r="N667" s="2"/>
      <c r="O667" s="2"/>
      <c r="P667" s="2"/>
      <c r="Q667" s="2"/>
      <c r="R667" s="2"/>
      <c r="S667" s="2"/>
      <c r="T667" s="2"/>
      <c r="U667" s="2"/>
      <c r="V667" s="2"/>
      <c r="W667" s="2"/>
      <c r="X667" s="2"/>
      <c r="Y667" s="2"/>
      <c r="Z667" s="2"/>
      <c r="AA667" s="2"/>
    </row>
    <row r="668" spans="14:27">
      <c r="N668" s="2"/>
      <c r="O668" s="2"/>
      <c r="P668" s="2"/>
      <c r="Q668" s="2"/>
      <c r="R668" s="2"/>
      <c r="S668" s="2"/>
      <c r="T668" s="2"/>
      <c r="U668" s="2"/>
      <c r="V668" s="2"/>
      <c r="W668" s="2"/>
      <c r="X668" s="2"/>
      <c r="Y668" s="2"/>
      <c r="Z668" s="2"/>
      <c r="AA668" s="2"/>
    </row>
    <row r="669" spans="14:27">
      <c r="N669" s="2"/>
      <c r="O669" s="2"/>
      <c r="P669" s="2"/>
      <c r="Q669" s="2"/>
      <c r="R669" s="2"/>
      <c r="S669" s="2"/>
      <c r="T669" s="2"/>
      <c r="U669" s="2"/>
      <c r="V669" s="2"/>
      <c r="W669" s="2"/>
      <c r="X669" s="2"/>
      <c r="Y669" s="2"/>
      <c r="Z669" s="2"/>
      <c r="AA669" s="2"/>
    </row>
    <row r="670" spans="14:27">
      <c r="N670" s="2"/>
      <c r="O670" s="2"/>
      <c r="P670" s="2"/>
      <c r="Q670" s="2"/>
      <c r="R670" s="2"/>
      <c r="S670" s="2"/>
      <c r="T670" s="2"/>
      <c r="U670" s="2"/>
      <c r="V670" s="2"/>
      <c r="W670" s="2"/>
      <c r="X670" s="2"/>
      <c r="Y670" s="2"/>
      <c r="Z670" s="2"/>
      <c r="AA670" s="2"/>
    </row>
    <row r="671" spans="14:27">
      <c r="N671" s="2"/>
      <c r="O671" s="2"/>
      <c r="P671" s="2"/>
      <c r="Q671" s="2"/>
      <c r="R671" s="2"/>
      <c r="S671" s="2"/>
      <c r="T671" s="2"/>
      <c r="U671" s="2"/>
      <c r="V671" s="2"/>
      <c r="W671" s="2"/>
      <c r="X671" s="2"/>
      <c r="Y671" s="2"/>
      <c r="Z671" s="2"/>
      <c r="AA671" s="2"/>
    </row>
    <row r="672" spans="14:27">
      <c r="N672" s="2"/>
      <c r="O672" s="2"/>
      <c r="P672" s="2"/>
      <c r="Q672" s="2"/>
      <c r="R672" s="2"/>
      <c r="S672" s="2"/>
      <c r="T672" s="2"/>
      <c r="U672" s="2"/>
      <c r="V672" s="2"/>
      <c r="W672" s="2"/>
      <c r="X672" s="2"/>
      <c r="Y672" s="2"/>
      <c r="Z672" s="2"/>
      <c r="AA672" s="2"/>
    </row>
    <row r="673" spans="14:27">
      <c r="N673" s="2"/>
      <c r="O673" s="2"/>
      <c r="P673" s="2"/>
      <c r="Q673" s="2"/>
      <c r="R673" s="2"/>
      <c r="S673" s="2"/>
      <c r="T673" s="2"/>
      <c r="U673" s="2"/>
      <c r="V673" s="2"/>
      <c r="W673" s="2"/>
      <c r="X673" s="2"/>
      <c r="Y673" s="2"/>
      <c r="Z673" s="2"/>
      <c r="AA673" s="2"/>
    </row>
    <row r="674" spans="14:27">
      <c r="N674" s="2"/>
      <c r="O674" s="2"/>
      <c r="P674" s="2"/>
      <c r="Q674" s="2"/>
      <c r="R674" s="2"/>
      <c r="S674" s="2"/>
      <c r="T674" s="2"/>
      <c r="U674" s="2"/>
      <c r="V674" s="2"/>
      <c r="W674" s="2"/>
      <c r="X674" s="2"/>
      <c r="Y674" s="2"/>
      <c r="Z674" s="2"/>
      <c r="AA674" s="2"/>
    </row>
  </sheetData>
  <sheetProtection password="9A49" sheet="1" objects="1" scenarios="1" selectLockedCells="1" selectUnlockedCells="1"/>
  <mergeCells count="12">
    <mergeCell ref="E286:G286"/>
    <mergeCell ref="H286:J286"/>
    <mergeCell ref="B234:G234"/>
    <mergeCell ref="B252:G252"/>
    <mergeCell ref="R2:W2"/>
    <mergeCell ref="O248:O251"/>
    <mergeCell ref="V248:V251"/>
    <mergeCell ref="X2:Y2"/>
    <mergeCell ref="B200:G200"/>
    <mergeCell ref="B218:G218"/>
    <mergeCell ref="E268:G268"/>
    <mergeCell ref="H268:J268"/>
  </mergeCells>
  <phoneticPr fontId="27" type="noConversion"/>
  <conditionalFormatting sqref="J203 M203:N213 J204:J213">
    <cfRule type="cellIs" dxfId="9" priority="10" operator="equal">
      <formula>"Yes"</formula>
    </cfRule>
  </conditionalFormatting>
  <conditionalFormatting sqref="M221:N231 J221:J231">
    <cfRule type="cellIs" dxfId="8" priority="9" operator="equal">
      <formula>"Yes"</formula>
    </cfRule>
  </conditionalFormatting>
  <conditionalFormatting sqref="J237:J247 M237:N247">
    <cfRule type="cellIs" dxfId="7" priority="8" operator="equal">
      <formula>"Yes"</formula>
    </cfRule>
  </conditionalFormatting>
  <conditionalFormatting sqref="N255:N265">
    <cfRule type="cellIs" dxfId="6" priority="7" operator="equal">
      <formula>"Yes"</formula>
    </cfRule>
  </conditionalFormatting>
  <conditionalFormatting sqref="J255:J265">
    <cfRule type="cellIs" dxfId="5" priority="6" operator="equal">
      <formula>"Yes"</formula>
    </cfRule>
  </conditionalFormatting>
  <conditionalFormatting sqref="M255:M265">
    <cfRule type="cellIs" dxfId="4" priority="5" operator="equal">
      <formula>"Yes"</formula>
    </cfRule>
  </conditionalFormatting>
  <conditionalFormatting sqref="Q237:Q247">
    <cfRule type="cellIs" dxfId="3" priority="4" operator="equal">
      <formula>"Yes"</formula>
    </cfRule>
  </conditionalFormatting>
  <conditionalFormatting sqref="R237:R247">
    <cfRule type="cellIs" dxfId="2" priority="3" operator="equal">
      <formula>"Yes"</formula>
    </cfRule>
  </conditionalFormatting>
  <conditionalFormatting sqref="Q255:Q265">
    <cfRule type="cellIs" dxfId="1" priority="2" operator="equal">
      <formula>"Yes"</formula>
    </cfRule>
  </conditionalFormatting>
  <conditionalFormatting sqref="R255:R265">
    <cfRule type="cellIs" dxfId="0" priority="1" operator="equal">
      <formula>"Yes"</formula>
    </cfRule>
  </conditionalFormatting>
  <pageMargins left="0.75" right="0.75" top="0.94" bottom="0.5" header="0.21" footer="0.5"/>
  <pageSetup orientation="landscape" r:id="rId1"/>
  <headerFooter alignWithMargins="0"/>
  <rowBreaks count="1" manualBreakCount="1">
    <brk id="2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H717"/>
  <sheetViews>
    <sheetView workbookViewId="0"/>
  </sheetViews>
  <sheetFormatPr defaultColWidth="9.1328125" defaultRowHeight="12.75"/>
  <cols>
    <col min="1" max="1" width="17.1328125" style="2" customWidth="1"/>
    <col min="2" max="4" width="9.1328125" style="2"/>
    <col min="5" max="5" width="12.3984375" style="2" bestFit="1" customWidth="1"/>
    <col min="6" max="6" width="12" style="2" bestFit="1" customWidth="1"/>
    <col min="7" max="16384" width="9.1328125" style="2"/>
  </cols>
  <sheetData>
    <row r="1" spans="1:6">
      <c r="A1" s="18" t="s">
        <v>95</v>
      </c>
      <c r="B1" s="2">
        <f>+length</f>
        <v>0</v>
      </c>
      <c r="C1" s="2" t="s">
        <v>337</v>
      </c>
      <c r="E1" s="2">
        <v>0</v>
      </c>
      <c r="F1" s="2">
        <v>0</v>
      </c>
    </row>
    <row r="2" spans="1:6">
      <c r="A2" s="18" t="str">
        <f>IF(B2&gt;0,"Curb-to-curb width","")</f>
        <v/>
      </c>
      <c r="B2" s="2">
        <f>+curbwidth</f>
        <v>0</v>
      </c>
      <c r="C2" s="2" t="s">
        <v>337</v>
      </c>
      <c r="E2" s="2">
        <f>+B1</f>
        <v>0</v>
      </c>
      <c r="F2" s="2">
        <v>0</v>
      </c>
    </row>
    <row r="3" spans="1:6">
      <c r="A3" s="18" t="s">
        <v>96</v>
      </c>
      <c r="B3" s="2">
        <f>+width</f>
        <v>0</v>
      </c>
      <c r="C3" s="2" t="s">
        <v>337</v>
      </c>
      <c r="E3" s="86" t="e">
        <f>+B1+E4</f>
        <v>#DIV/0!</v>
      </c>
      <c r="F3" s="2">
        <f>+F4</f>
        <v>0</v>
      </c>
    </row>
    <row r="4" spans="1:6">
      <c r="A4" s="18" t="s">
        <v>97</v>
      </c>
      <c r="B4" s="2">
        <f>+skew</f>
        <v>0</v>
      </c>
      <c r="C4" s="2" t="s">
        <v>833</v>
      </c>
      <c r="E4" s="86" t="e">
        <f>+B3/TAN(B4*PI()/180)</f>
        <v>#DIV/0!</v>
      </c>
      <c r="F4" s="2">
        <f>+B3</f>
        <v>0</v>
      </c>
    </row>
    <row r="5" spans="1:6">
      <c r="A5" s="2" t="str">
        <f>+"skew = "&amp;B4&amp;" degrees"</f>
        <v>skew = 0 degrees</v>
      </c>
      <c r="E5" s="2">
        <v>0</v>
      </c>
      <c r="F5" s="2">
        <v>0</v>
      </c>
    </row>
    <row r="6" spans="1:6">
      <c r="A6" s="2" t="str">
        <f>+"= "&amp;B1&amp;" ft"</f>
        <v>= 0 ft</v>
      </c>
    </row>
    <row r="7" spans="1:6">
      <c r="A7" s="2" t="str">
        <f>IF(B2&gt;0,"= "&amp;B2&amp;" ft","")</f>
        <v/>
      </c>
      <c r="E7" s="2" t="e">
        <f>IF(B2&gt;0,(B3-B2)/2/TAN(B4*PI()/180),NA())</f>
        <v>#N/A</v>
      </c>
      <c r="F7" s="2">
        <f>+(B3-B2)/2</f>
        <v>0</v>
      </c>
    </row>
    <row r="8" spans="1:6">
      <c r="A8" s="2" t="str">
        <f>+"= "&amp;B3&amp;" ft"</f>
        <v>= 0 ft</v>
      </c>
      <c r="E8" s="2" t="e">
        <f>IF(B2&gt;0,E7+B1,NA())</f>
        <v>#N/A</v>
      </c>
      <c r="F8" s="2">
        <f>+F7</f>
        <v>0</v>
      </c>
    </row>
    <row r="10" spans="1:6">
      <c r="E10" s="86" t="e">
        <f>+E11+B1</f>
        <v>#DIV/0!</v>
      </c>
      <c r="F10" s="2">
        <f>+F11</f>
        <v>0</v>
      </c>
    </row>
    <row r="11" spans="1:6">
      <c r="E11" s="86" t="e">
        <f>+E4-E7</f>
        <v>#DIV/0!</v>
      </c>
      <c r="F11" s="2">
        <f>+F4-F7</f>
        <v>0</v>
      </c>
    </row>
    <row r="13" spans="1:6">
      <c r="E13" s="2" t="e">
        <f>+E16+E25/20</f>
        <v>#DIV/0!</v>
      </c>
      <c r="F13" s="2">
        <f>+F16+F26/20</f>
        <v>0</v>
      </c>
    </row>
    <row r="14" spans="1:6">
      <c r="E14" s="2" t="e">
        <f>+E16</f>
        <v>#DIV/0!</v>
      </c>
      <c r="F14" s="2">
        <f>+F16</f>
        <v>0</v>
      </c>
    </row>
    <row r="15" spans="1:6">
      <c r="E15" s="2" t="e">
        <f>+E14+E25/20</f>
        <v>#DIV/0!</v>
      </c>
      <c r="F15" s="2">
        <f>+F16-F26/20</f>
        <v>0</v>
      </c>
    </row>
    <row r="16" spans="1:6">
      <c r="E16" s="2" t="e">
        <f>+B3*3/4/TAN(B4*PI()/180)</f>
        <v>#DIV/0!</v>
      </c>
      <c r="F16" s="2">
        <f>+B3*3/4</f>
        <v>0</v>
      </c>
    </row>
    <row r="17" spans="5:6">
      <c r="E17" s="2" t="e">
        <f>+E16+B1</f>
        <v>#DIV/0!</v>
      </c>
      <c r="F17" s="2">
        <f>+F16</f>
        <v>0</v>
      </c>
    </row>
    <row r="18" spans="5:6">
      <c r="E18" s="2" t="e">
        <f>+E17-E25/20</f>
        <v>#DIV/0!</v>
      </c>
      <c r="F18" s="2">
        <f>+F17+F26/20</f>
        <v>0</v>
      </c>
    </row>
    <row r="19" spans="5:6">
      <c r="E19" s="2" t="e">
        <f>+E17</f>
        <v>#DIV/0!</v>
      </c>
      <c r="F19" s="2">
        <f>+F17</f>
        <v>0</v>
      </c>
    </row>
    <row r="20" spans="5:6">
      <c r="E20" s="2" t="e">
        <f>+E17-E25/20</f>
        <v>#DIV/0!</v>
      </c>
      <c r="F20" s="2">
        <f>+F17-F26/20</f>
        <v>0</v>
      </c>
    </row>
    <row r="22" spans="5:6">
      <c r="E22" s="2" t="e">
        <f>IF(B2&gt;0,E25-E25/20,NA())</f>
        <v>#N/A</v>
      </c>
      <c r="F22" s="2">
        <f>+F25+F26/20</f>
        <v>0</v>
      </c>
    </row>
    <row r="23" spans="5:6">
      <c r="E23" s="2" t="e">
        <f>IF(B2&gt;0,E25,NA())</f>
        <v>#N/A</v>
      </c>
      <c r="F23" s="2">
        <f>+F25</f>
        <v>0</v>
      </c>
    </row>
    <row r="24" spans="5:6">
      <c r="E24" s="2" t="e">
        <f>+E23+E25/20</f>
        <v>#N/A</v>
      </c>
      <c r="F24" s="2">
        <f>+F25+F26/20</f>
        <v>0</v>
      </c>
    </row>
    <row r="25" spans="5:6">
      <c r="E25" s="2">
        <f>+B1*2/3</f>
        <v>0</v>
      </c>
      <c r="F25" s="2">
        <f>+F7</f>
        <v>0</v>
      </c>
    </row>
    <row r="26" spans="5:6">
      <c r="E26" s="2" t="e">
        <f>IF(B2&gt;0,E25,NA())</f>
        <v>#N/A</v>
      </c>
      <c r="F26" s="2">
        <f>+F4-F7</f>
        <v>0</v>
      </c>
    </row>
    <row r="27" spans="5:6">
      <c r="E27" s="2" t="e">
        <f>IF(B2&gt;0,E26-E25/20,NA())</f>
        <v>#N/A</v>
      </c>
      <c r="F27" s="2">
        <f>+F26-F26/20</f>
        <v>0</v>
      </c>
    </row>
    <row r="28" spans="5:6">
      <c r="E28" s="2" t="e">
        <f>IF(B2&gt;0,E26,NA())</f>
        <v>#N/A</v>
      </c>
      <c r="F28" s="2">
        <f>+F26</f>
        <v>0</v>
      </c>
    </row>
    <row r="29" spans="5:6">
      <c r="E29" s="2" t="e">
        <f>+E26+E25/20</f>
        <v>#N/A</v>
      </c>
      <c r="F29" s="2">
        <f>+F26-F26/20</f>
        <v>0</v>
      </c>
    </row>
    <row r="31" spans="5:6">
      <c r="E31" s="2">
        <f>+E34-E25/20</f>
        <v>0</v>
      </c>
      <c r="F31" s="2">
        <f>+F34+F26/20</f>
        <v>0</v>
      </c>
    </row>
    <row r="32" spans="5:6">
      <c r="E32" s="2">
        <f>+E34</f>
        <v>0</v>
      </c>
      <c r="F32" s="2">
        <f>+F34</f>
        <v>0</v>
      </c>
    </row>
    <row r="33" spans="5:6">
      <c r="E33" s="2">
        <f>+E32+E25/20</f>
        <v>0</v>
      </c>
      <c r="F33" s="2">
        <f>+F34+F26/20</f>
        <v>0</v>
      </c>
    </row>
    <row r="34" spans="5:6">
      <c r="E34" s="2">
        <f>+B1*5/6</f>
        <v>0</v>
      </c>
      <c r="F34" s="2">
        <v>0</v>
      </c>
    </row>
    <row r="35" spans="5:6">
      <c r="E35" s="2">
        <f>+E34</f>
        <v>0</v>
      </c>
      <c r="F35" s="2">
        <f>+B3</f>
        <v>0</v>
      </c>
    </row>
    <row r="36" spans="5:6">
      <c r="E36" s="2">
        <f>+E35-E25/20</f>
        <v>0</v>
      </c>
      <c r="F36" s="2">
        <f>+F35-F26/20</f>
        <v>0</v>
      </c>
    </row>
    <row r="37" spans="5:6">
      <c r="E37" s="2">
        <f>+E35</f>
        <v>0</v>
      </c>
      <c r="F37" s="2">
        <f>+F35</f>
        <v>0</v>
      </c>
    </row>
    <row r="38" spans="5:6">
      <c r="E38" s="2">
        <f>+E35+E25/20</f>
        <v>0</v>
      </c>
      <c r="F38" s="2">
        <f>+F35-F26/20</f>
        <v>0</v>
      </c>
    </row>
    <row r="40" spans="5:6">
      <c r="E40" s="2" t="e">
        <f>+E41+E25/20</f>
        <v>#DIV/0!</v>
      </c>
      <c r="F40" s="2">
        <f>+F41-F26/20</f>
        <v>0</v>
      </c>
    </row>
    <row r="41" spans="5:6">
      <c r="E41" s="2" t="e">
        <f>+B3*2/5/TAN(B4*PI()/180)</f>
        <v>#DIV/0!</v>
      </c>
      <c r="F41" s="2">
        <f>+B3*2/5</f>
        <v>0</v>
      </c>
    </row>
    <row r="42" spans="5:6">
      <c r="E42" s="2" t="e">
        <f>E40</f>
        <v>#DIV/0!</v>
      </c>
      <c r="F42" s="2">
        <f>+F41+F26/20</f>
        <v>0</v>
      </c>
    </row>
    <row r="43" spans="5:6">
      <c r="E43" s="2" t="e">
        <f>+E41</f>
        <v>#DIV/0!</v>
      </c>
      <c r="F43" s="2">
        <f>F41</f>
        <v>0</v>
      </c>
    </row>
    <row r="44" spans="5:6">
      <c r="E44" s="2" t="e">
        <f>E43+E2/10</f>
        <v>#DIV/0!</v>
      </c>
      <c r="F44" s="2">
        <f>F43</f>
        <v>0</v>
      </c>
    </row>
    <row r="46" spans="5:6">
      <c r="E46" s="2" t="e">
        <f>E40+$E$2</f>
        <v>#DIV/0!</v>
      </c>
      <c r="F46" s="2">
        <f>F40</f>
        <v>0</v>
      </c>
    </row>
    <row r="47" spans="5:6">
      <c r="E47" s="2" t="e">
        <f>E41+$E$2</f>
        <v>#DIV/0!</v>
      </c>
      <c r="F47" s="2">
        <f>F41</f>
        <v>0</v>
      </c>
    </row>
    <row r="48" spans="5:6">
      <c r="E48" s="2" t="e">
        <f>E42+$E$2</f>
        <v>#DIV/0!</v>
      </c>
      <c r="F48" s="2">
        <f>F42</f>
        <v>0</v>
      </c>
    </row>
    <row r="49" spans="1:7">
      <c r="E49" s="2" t="e">
        <f>E43+$E$2</f>
        <v>#DIV/0!</v>
      </c>
      <c r="F49" s="2">
        <f>F43</f>
        <v>0</v>
      </c>
    </row>
    <row r="50" spans="1:7">
      <c r="E50" s="2" t="e">
        <f>E44+$E$2</f>
        <v>#DIV/0!</v>
      </c>
      <c r="F50" s="2">
        <f>F44</f>
        <v>0</v>
      </c>
    </row>
    <row r="52" spans="1:7">
      <c r="E52" s="2">
        <f>+E35-E25/50</f>
        <v>0</v>
      </c>
      <c r="F52" s="2">
        <f>+F35</f>
        <v>0</v>
      </c>
    </row>
    <row r="53" spans="1:7">
      <c r="E53" s="86" t="e">
        <f>IF(E4-E25/50&lt;E35,NA(),E4-E25/50)</f>
        <v>#DIV/0!</v>
      </c>
      <c r="F53" s="86" t="e">
        <f>IF(E4-E25/50&lt;E35,NA(),F4)</f>
        <v>#DIV/0!</v>
      </c>
    </row>
    <row r="55" spans="1:7">
      <c r="E55" s="2" t="e">
        <f>+E26-E25/50</f>
        <v>#N/A</v>
      </c>
      <c r="F55" s="2">
        <f>+F26</f>
        <v>0</v>
      </c>
    </row>
    <row r="56" spans="1:7">
      <c r="E56" s="2" t="e">
        <f>IF(E11-E25/50&lt;E26,NA(),E11-E25/50)</f>
        <v>#DIV/0!</v>
      </c>
      <c r="F56" s="2" t="e">
        <f>IF(E11-E25/50&lt;E26,NA(),F11)</f>
        <v>#DIV/0!</v>
      </c>
    </row>
    <row r="58" spans="1:7">
      <c r="A58" s="2" t="s">
        <v>237</v>
      </c>
    </row>
    <row r="60" spans="1:7">
      <c r="A60" s="2" t="s">
        <v>240</v>
      </c>
    </row>
    <row r="61" spans="1:7">
      <c r="B61" s="18" t="s">
        <v>96</v>
      </c>
      <c r="C61" s="2">
        <f>+B3*12</f>
        <v>0</v>
      </c>
      <c r="D61" s="2" t="s">
        <v>516</v>
      </c>
      <c r="E61" s="2">
        <v>0</v>
      </c>
      <c r="F61" s="2">
        <v>0</v>
      </c>
    </row>
    <row r="62" spans="1:7">
      <c r="B62" s="18" t="s">
        <v>262</v>
      </c>
      <c r="C62" s="2">
        <f>IF(Main!H240="D",'Sketch Data'!C61+2*14,'Sketch Data'!C61)</f>
        <v>0</v>
      </c>
      <c r="D62" s="2" t="s">
        <v>516</v>
      </c>
      <c r="E62" s="2">
        <f>+C61/2-C63</f>
        <v>-20.25</v>
      </c>
      <c r="F62" s="2">
        <v>0</v>
      </c>
      <c r="G62" s="2" t="s">
        <v>709</v>
      </c>
    </row>
    <row r="63" spans="1:7">
      <c r="B63" s="18" t="s">
        <v>238</v>
      </c>
      <c r="C63" s="2">
        <v>20.25</v>
      </c>
      <c r="D63" s="2" t="s">
        <v>516</v>
      </c>
      <c r="E63" s="2">
        <f>+E62</f>
        <v>-20.25</v>
      </c>
      <c r="F63" s="2">
        <v>3</v>
      </c>
    </row>
    <row r="64" spans="1:7">
      <c r="B64" s="18" t="s">
        <v>239</v>
      </c>
      <c r="C64" s="2">
        <f>+Main!G128</f>
        <v>0</v>
      </c>
      <c r="D64" s="2" t="s">
        <v>516</v>
      </c>
      <c r="E64" s="2">
        <f>+E63+4.875</f>
        <v>-15.375</v>
      </c>
      <c r="F64" s="2">
        <v>10</v>
      </c>
    </row>
    <row r="65" spans="1:7">
      <c r="A65" s="2" t="s">
        <v>615</v>
      </c>
      <c r="B65" s="18"/>
      <c r="E65" s="2">
        <f>+E64+3.375</f>
        <v>-12</v>
      </c>
      <c r="F65" s="2">
        <v>42</v>
      </c>
    </row>
    <row r="66" spans="1:7">
      <c r="B66" s="18" t="s">
        <v>650</v>
      </c>
      <c r="C66" s="2">
        <f>+girdertype</f>
        <v>0</v>
      </c>
      <c r="E66" s="2">
        <f>+C61/2</f>
        <v>0</v>
      </c>
      <c r="F66" s="2">
        <v>42</v>
      </c>
    </row>
    <row r="67" spans="1:7">
      <c r="B67" s="18" t="s">
        <v>766</v>
      </c>
      <c r="C67" s="2">
        <f>+Main!G33</f>
        <v>0</v>
      </c>
      <c r="E67" s="2">
        <f>+E66</f>
        <v>0</v>
      </c>
      <c r="F67" s="2">
        <f>-C64</f>
        <v>0</v>
      </c>
    </row>
    <row r="68" spans="1:7">
      <c r="B68" s="18" t="s">
        <v>612</v>
      </c>
      <c r="C68" s="2">
        <f>+ngirder</f>
        <v>0</v>
      </c>
      <c r="E68" s="2">
        <f>-E67</f>
        <v>0</v>
      </c>
      <c r="F68" s="2">
        <f>+F67</f>
        <v>0</v>
      </c>
    </row>
    <row r="69" spans="1:7">
      <c r="B69" s="18" t="s">
        <v>614</v>
      </c>
      <c r="C69" s="2">
        <f>+Main!G117*12</f>
        <v>0</v>
      </c>
      <c r="D69" s="2" t="s">
        <v>516</v>
      </c>
      <c r="E69" s="2">
        <f>-E66</f>
        <v>0</v>
      </c>
      <c r="F69" s="2">
        <f>+F66</f>
        <v>42</v>
      </c>
    </row>
    <row r="70" spans="1:7">
      <c r="B70" s="18" t="s">
        <v>613</v>
      </c>
      <c r="C70" s="2">
        <f>+Main!G122*12</f>
        <v>0</v>
      </c>
      <c r="D70" s="2" t="s">
        <v>516</v>
      </c>
      <c r="E70" s="2">
        <f>-E65</f>
        <v>12</v>
      </c>
      <c r="F70" s="2">
        <f>+F65</f>
        <v>42</v>
      </c>
    </row>
    <row r="71" spans="1:7">
      <c r="B71" s="18" t="s">
        <v>264</v>
      </c>
      <c r="C71" s="2">
        <f>+Main!G119*12</f>
        <v>0</v>
      </c>
      <c r="D71" s="2" t="s">
        <v>516</v>
      </c>
      <c r="E71" s="2">
        <f>-E64</f>
        <v>15.375</v>
      </c>
      <c r="F71" s="2">
        <f>+F64</f>
        <v>10</v>
      </c>
    </row>
    <row r="72" spans="1:7">
      <c r="B72" s="18" t="s">
        <v>616</v>
      </c>
      <c r="C72" s="2" t="e">
        <f>IF(ODD(C68)/C68=1,0,C69/2)</f>
        <v>#DIV/0!</v>
      </c>
      <c r="D72" s="2" t="s">
        <v>516</v>
      </c>
      <c r="E72" s="2">
        <f>-E63</f>
        <v>20.25</v>
      </c>
      <c r="F72" s="2">
        <f>+F63</f>
        <v>3</v>
      </c>
    </row>
    <row r="73" spans="1:7">
      <c r="A73" s="2" t="s">
        <v>689</v>
      </c>
      <c r="B73" s="18"/>
      <c r="E73" s="2">
        <f>-E62</f>
        <v>20.25</v>
      </c>
      <c r="F73" s="2">
        <f>+F62</f>
        <v>0</v>
      </c>
    </row>
    <row r="74" spans="1:7">
      <c r="B74" s="18" t="s">
        <v>690</v>
      </c>
      <c r="C74" s="2">
        <f>+Main!G566</f>
        <v>0</v>
      </c>
      <c r="E74" s="2">
        <f>+E61</f>
        <v>0</v>
      </c>
      <c r="F74" s="2">
        <f>+F61</f>
        <v>0</v>
      </c>
    </row>
    <row r="75" spans="1:7">
      <c r="B75" s="18" t="s">
        <v>691</v>
      </c>
      <c r="C75" s="118">
        <f>+Main!H596*12</f>
        <v>0</v>
      </c>
      <c r="D75" s="2" t="s">
        <v>516</v>
      </c>
    </row>
    <row r="76" spans="1:7">
      <c r="B76" s="18" t="s">
        <v>471</v>
      </c>
      <c r="C76" s="2">
        <f>+pilewidth</f>
        <v>0</v>
      </c>
      <c r="D76" s="2" t="s">
        <v>516</v>
      </c>
      <c r="E76" s="2">
        <f>+C62/2</f>
        <v>0</v>
      </c>
      <c r="F76" s="2">
        <f>+F67</f>
        <v>0</v>
      </c>
      <c r="G76" s="2" t="s">
        <v>703</v>
      </c>
    </row>
    <row r="77" spans="1:7">
      <c r="B77" s="18" t="s">
        <v>616</v>
      </c>
      <c r="C77" s="2" t="e">
        <f>IF(ODD(C74)/C74=1,0,C75/2)</f>
        <v>#DIV/0!</v>
      </c>
      <c r="D77" s="2" t="s">
        <v>516</v>
      </c>
      <c r="E77" s="2">
        <f>+E76</f>
        <v>0</v>
      </c>
      <c r="F77" s="2">
        <f>+F76-C70-39</f>
        <v>-39</v>
      </c>
    </row>
    <row r="78" spans="1:7">
      <c r="A78" s="26"/>
      <c r="E78" s="2">
        <f>-E77</f>
        <v>0</v>
      </c>
      <c r="F78" s="2">
        <f>+F77</f>
        <v>-39</v>
      </c>
    </row>
    <row r="79" spans="1:7">
      <c r="A79" s="27" t="str">
        <f>"Girder Spacing = "&amp;FIXED(C69/12,3)&amp;" ft (TYP)"</f>
        <v>Girder Spacing = 0.000 ft (TYP)</v>
      </c>
      <c r="E79" s="2">
        <f>+E78</f>
        <v>0</v>
      </c>
      <c r="F79" s="2">
        <f>+F76</f>
        <v>0</v>
      </c>
    </row>
    <row r="80" spans="1:7">
      <c r="A80" s="2" t="str">
        <f>"Pile Spacing = "&amp;FIXED(pilespacing,3)&amp;" ft (TYP)"</f>
        <v>Pile Spacing = 0.000 ft (TYP)</v>
      </c>
      <c r="E80" s="2">
        <f>+E76</f>
        <v>0</v>
      </c>
      <c r="F80" s="2">
        <f>+F76</f>
        <v>0</v>
      </c>
    </row>
    <row r="82" spans="5:7">
      <c r="E82" s="2">
        <f>+E76-3</f>
        <v>-3</v>
      </c>
      <c r="F82" s="2">
        <f>+F76-C70-6</f>
        <v>-6</v>
      </c>
      <c r="G82" s="2" t="s">
        <v>704</v>
      </c>
    </row>
    <row r="83" spans="5:7">
      <c r="E83" s="87">
        <f>E82/2</f>
        <v>-1.5</v>
      </c>
      <c r="F83" s="2">
        <f>+F82</f>
        <v>-6</v>
      </c>
    </row>
    <row r="84" spans="5:7">
      <c r="E84" s="2">
        <f>+E78+3</f>
        <v>3</v>
      </c>
      <c r="F84" s="2">
        <f>+F82</f>
        <v>-6</v>
      </c>
    </row>
    <row r="86" spans="5:7">
      <c r="E86" s="2">
        <f>+E82</f>
        <v>-3</v>
      </c>
      <c r="F86" s="2">
        <f>+F77+4</f>
        <v>-35</v>
      </c>
      <c r="G86" s="2" t="s">
        <v>704</v>
      </c>
    </row>
    <row r="87" spans="5:7">
      <c r="E87" s="87">
        <f>E86/2</f>
        <v>-1.5</v>
      </c>
      <c r="F87" s="2">
        <f>+F86</f>
        <v>-35</v>
      </c>
    </row>
    <row r="88" spans="5:7">
      <c r="E88" s="2">
        <f>+E84</f>
        <v>3</v>
      </c>
      <c r="F88" s="2">
        <f>+F86</f>
        <v>-35</v>
      </c>
    </row>
    <row r="90" spans="5:7">
      <c r="E90" s="2" t="e">
        <f>+origin</f>
        <v>#DIV/0!</v>
      </c>
      <c r="F90" s="2">
        <v>2</v>
      </c>
      <c r="G90" s="2" t="s">
        <v>705</v>
      </c>
    </row>
    <row r="91" spans="5:7">
      <c r="E91" s="2" t="e">
        <f>+E90</f>
        <v>#DIV/0!</v>
      </c>
      <c r="F91" s="2">
        <f>+F90+20</f>
        <v>22</v>
      </c>
    </row>
    <row r="93" spans="5:7">
      <c r="E93" s="2" t="e">
        <f>+E91</f>
        <v>#DIV/0!</v>
      </c>
      <c r="F93" s="2">
        <f>+F91-2*F90</f>
        <v>18</v>
      </c>
      <c r="G93" s="2" t="s">
        <v>705</v>
      </c>
    </row>
    <row r="94" spans="5:7">
      <c r="E94" s="2" t="e">
        <f>+E93-C69</f>
        <v>#DIV/0!</v>
      </c>
      <c r="F94" s="2">
        <f>+F93</f>
        <v>18</v>
      </c>
    </row>
    <row r="96" spans="5:7">
      <c r="E96" s="2" t="e">
        <f>+E94</f>
        <v>#DIV/0!</v>
      </c>
      <c r="F96" s="2">
        <f>+F90</f>
        <v>2</v>
      </c>
      <c r="G96" s="2" t="s">
        <v>705</v>
      </c>
    </row>
    <row r="97" spans="5:8">
      <c r="E97" s="2" t="e">
        <f>+E96</f>
        <v>#DIV/0!</v>
      </c>
      <c r="F97" s="2">
        <f>+F91</f>
        <v>22</v>
      </c>
    </row>
    <row r="99" spans="5:8">
      <c r="E99" s="2" t="e">
        <f>+E100-F90*2</f>
        <v>#DIV/0!</v>
      </c>
      <c r="F99" s="2">
        <f>+F100+F90*2</f>
        <v>22</v>
      </c>
      <c r="G99" s="2" t="s">
        <v>705</v>
      </c>
    </row>
    <row r="100" spans="5:8">
      <c r="E100" s="2" t="e">
        <f>+E93</f>
        <v>#DIV/0!</v>
      </c>
      <c r="F100" s="2">
        <f>+F93</f>
        <v>18</v>
      </c>
    </row>
    <row r="101" spans="5:8">
      <c r="E101" s="2" t="e">
        <f>+E99</f>
        <v>#DIV/0!</v>
      </c>
      <c r="F101" s="2">
        <f>+F100-F90*2</f>
        <v>14</v>
      </c>
    </row>
    <row r="102" spans="5:8">
      <c r="E102" s="2">
        <v>2</v>
      </c>
    </row>
    <row r="103" spans="5:8">
      <c r="E103" s="2" t="e">
        <f>+E104+F90*2</f>
        <v>#DIV/0!</v>
      </c>
      <c r="F103" s="2">
        <f>+F104+F90*2</f>
        <v>22</v>
      </c>
      <c r="G103" s="2" t="s">
        <v>705</v>
      </c>
    </row>
    <row r="104" spans="5:8">
      <c r="E104" s="2" t="e">
        <f>+E94</f>
        <v>#DIV/0!</v>
      </c>
      <c r="F104" s="2">
        <f>+F94</f>
        <v>18</v>
      </c>
    </row>
    <row r="105" spans="5:8">
      <c r="E105" s="2" t="e">
        <f>+E103</f>
        <v>#DIV/0!</v>
      </c>
      <c r="F105" s="2">
        <f>+F104-F90*2</f>
        <v>14</v>
      </c>
    </row>
    <row r="107" spans="5:8">
      <c r="E107" s="87" t="e">
        <f>+origin2</f>
        <v>#DIV/0!</v>
      </c>
      <c r="F107" s="2">
        <f>+F534-3</f>
        <v>-102</v>
      </c>
      <c r="G107" s="2" t="s">
        <v>707</v>
      </c>
    </row>
    <row r="108" spans="5:8">
      <c r="E108" s="87" t="e">
        <f>+E107</f>
        <v>#DIV/0!</v>
      </c>
      <c r="F108" s="2">
        <f>+F107-20</f>
        <v>-122</v>
      </c>
      <c r="H108" s="101"/>
    </row>
    <row r="109" spans="5:8">
      <c r="E109" s="87"/>
    </row>
    <row r="110" spans="5:8">
      <c r="E110" s="87" t="e">
        <f>+origin2</f>
        <v>#DIV/0!</v>
      </c>
      <c r="F110" s="2">
        <f>+F108+F96*2</f>
        <v>-118</v>
      </c>
      <c r="G110" s="2" t="s">
        <v>707</v>
      </c>
    </row>
    <row r="111" spans="5:8">
      <c r="E111" s="87" t="e">
        <f>+E110-C75</f>
        <v>#DIV/0!</v>
      </c>
      <c r="F111" s="2">
        <f>+F110</f>
        <v>-118</v>
      </c>
    </row>
    <row r="113" spans="5:7">
      <c r="E113" s="87" t="e">
        <f>+E111</f>
        <v>#DIV/0!</v>
      </c>
      <c r="F113" s="2">
        <f>+F107</f>
        <v>-102</v>
      </c>
      <c r="G113" s="2" t="s">
        <v>707</v>
      </c>
    </row>
    <row r="114" spans="5:7">
      <c r="E114" s="87" t="e">
        <f>+E113</f>
        <v>#DIV/0!</v>
      </c>
      <c r="F114" s="2">
        <f>+F108</f>
        <v>-122</v>
      </c>
    </row>
    <row r="116" spans="5:7">
      <c r="E116" s="87" t="e">
        <f>+E117-F96*2</f>
        <v>#DIV/0!</v>
      </c>
      <c r="F116" s="2">
        <f>+F117+F96*2</f>
        <v>-114</v>
      </c>
      <c r="G116" s="2" t="s">
        <v>707</v>
      </c>
    </row>
    <row r="117" spans="5:7">
      <c r="E117" s="87" t="e">
        <f>+E110</f>
        <v>#DIV/0!</v>
      </c>
      <c r="F117" s="2">
        <f>+F110</f>
        <v>-118</v>
      </c>
    </row>
    <row r="118" spans="5:7">
      <c r="E118" s="87" t="e">
        <f>+E116</f>
        <v>#DIV/0!</v>
      </c>
      <c r="F118" s="2">
        <f>+F117-F96*2</f>
        <v>-122</v>
      </c>
    </row>
    <row r="120" spans="5:7">
      <c r="E120" s="87" t="e">
        <f>+E121+F96*2</f>
        <v>#DIV/0!</v>
      </c>
      <c r="F120" s="2">
        <f>+F121+F96*2</f>
        <v>-114</v>
      </c>
      <c r="G120" s="2" t="s">
        <v>707</v>
      </c>
    </row>
    <row r="121" spans="5:7">
      <c r="E121" s="87" t="e">
        <f>+E111</f>
        <v>#DIV/0!</v>
      </c>
      <c r="F121" s="2">
        <f>+F111</f>
        <v>-118</v>
      </c>
    </row>
    <row r="122" spans="5:7">
      <c r="E122" s="87" t="e">
        <f>+E120</f>
        <v>#DIV/0!</v>
      </c>
      <c r="F122" s="2">
        <f>+F121-F96*2</f>
        <v>-122</v>
      </c>
    </row>
    <row r="123" spans="5:7">
      <c r="E123" s="87"/>
    </row>
    <row r="124" spans="5:7">
      <c r="E124" s="87">
        <f>E83</f>
        <v>-1.5</v>
      </c>
      <c r="F124" s="2">
        <f>F83</f>
        <v>-6</v>
      </c>
      <c r="G124" s="2" t="s">
        <v>706</v>
      </c>
    </row>
    <row r="125" spans="5:7">
      <c r="E125" s="107">
        <f>+E124*1.2</f>
        <v>-1.7999999999999998</v>
      </c>
      <c r="F125" s="2">
        <f>+F128</f>
        <v>-133</v>
      </c>
    </row>
    <row r="126" spans="5:7">
      <c r="E126" s="87"/>
    </row>
    <row r="127" spans="5:7">
      <c r="E127" s="87">
        <f>E87</f>
        <v>-1.5</v>
      </c>
      <c r="F127" s="2">
        <f>F87</f>
        <v>-35</v>
      </c>
      <c r="G127" s="2" t="s">
        <v>706</v>
      </c>
    </row>
    <row r="128" spans="5:7">
      <c r="E128" s="87">
        <f>+E125</f>
        <v>-1.7999999999999998</v>
      </c>
      <c r="F128" s="2">
        <f>F127-98</f>
        <v>-133</v>
      </c>
    </row>
    <row r="129" spans="4:7">
      <c r="E129" s="87">
        <f>+E128+20</f>
        <v>18.2</v>
      </c>
      <c r="F129" s="2">
        <f>+F128</f>
        <v>-133</v>
      </c>
    </row>
    <row r="131" spans="4:7">
      <c r="E131" s="2" t="e">
        <f>+origin2</f>
        <v>#DIV/0!</v>
      </c>
      <c r="F131" s="2">
        <f>+F108-20</f>
        <v>-142</v>
      </c>
      <c r="G131" s="2" t="s">
        <v>708</v>
      </c>
    </row>
    <row r="133" spans="4:7">
      <c r="D133" s="101"/>
      <c r="E133" s="2" t="e">
        <f>IF($C$66="I",IF($C$67="S",origin+C71/2,origin+C71/3),origin+C71/2)</f>
        <v>#DIV/0!</v>
      </c>
      <c r="F133" s="2">
        <f>IF($C$66="I",IF($C$67="S",-C64,-C64),-C64)</f>
        <v>0</v>
      </c>
      <c r="G133" s="2" t="s">
        <v>702</v>
      </c>
    </row>
    <row r="134" spans="4:7">
      <c r="D134" s="101"/>
      <c r="E134" s="2" t="e">
        <f>IF($C$66="I",IF($C$67="S",+E133,+E133),+E133)</f>
        <v>#DIV/0!</v>
      </c>
      <c r="F134" s="2">
        <f>IF($C$66="I",IF($C$67="S",+F133-C70/20,+F133-C70/10),+F133-C70)</f>
        <v>0</v>
      </c>
    </row>
    <row r="135" spans="4:7">
      <c r="D135" s="101"/>
      <c r="E135" s="2" t="e">
        <f>IF($C$66="I",IF($C$67="S",+origin+C70/20,+origin+C70/20),origin-C71/2)</f>
        <v>#DIV/0!</v>
      </c>
      <c r="F135" s="2">
        <f>IF($C$66="I",IF($C$67="S",+F134,+F134-C70/10),+F134)</f>
        <v>0</v>
      </c>
    </row>
    <row r="136" spans="4:7">
      <c r="D136" s="101"/>
      <c r="E136" s="2" t="e">
        <f>IF($C$66="I",IF($C$67="S",+E135,+E135),+E135)</f>
        <v>#DIV/0!</v>
      </c>
      <c r="F136" s="2">
        <f>IF($C$66="I",IF($C$67="S",+F133-C70+C70/20,+F133-C70+C70/3),+F133)</f>
        <v>0</v>
      </c>
    </row>
    <row r="137" spans="4:7">
      <c r="D137" s="101"/>
      <c r="E137" s="2" t="e">
        <f>IF($C$66="I",IF($C$67="S",+E134,+origin+C71/2),+E133)</f>
        <v>#DIV/0!</v>
      </c>
      <c r="F137" s="2">
        <f>IF($C$66="I",IF($C$67="S",+F136,+F136-C70/6),F133)</f>
        <v>0</v>
      </c>
    </row>
    <row r="138" spans="4:7">
      <c r="D138" s="101"/>
    </row>
    <row r="139" spans="4:7">
      <c r="D139" s="101"/>
      <c r="E139" s="87" t="e">
        <f>IF($C$66="I",IF($C$67="S",+E133,+E137),origin+C71/2-5-3)</f>
        <v>#DIV/0!</v>
      </c>
      <c r="F139" s="2">
        <f>IF($C$66="I",IF($C$67="S",+F137,+F137),-C64-3)</f>
        <v>-3</v>
      </c>
      <c r="G139" s="2" t="s">
        <v>702</v>
      </c>
    </row>
    <row r="140" spans="4:7">
      <c r="D140" s="101"/>
      <c r="E140" s="2" t="e">
        <f>IF($C$66="I",IF($C$67="S",+E133,+E137),origin+C71/2-5)</f>
        <v>#DIV/0!</v>
      </c>
      <c r="F140" s="2">
        <f>IF($C$66="I",IF($C$67="S",+F137-C70/20,+F133-C70),-C64-3-3)</f>
        <v>-6</v>
      </c>
    </row>
    <row r="141" spans="4:7">
      <c r="D141" s="101"/>
      <c r="E141" s="2" t="e">
        <f>IF($C$66="I",IF($C$67="S",origin-C71/2,origin-C71/2),+E140)</f>
        <v>#DIV/0!</v>
      </c>
      <c r="F141" s="2">
        <f>IF($C$66="I",IF($C$67="S",+F140,+F140),-C64-C70+5.5+3)</f>
        <v>8.5</v>
      </c>
    </row>
    <row r="142" spans="4:7">
      <c r="D142" s="101"/>
      <c r="E142" s="2" t="e">
        <f>IF($C$66="I",IF($C$67="S",+E141,+E141),E139)</f>
        <v>#DIV/0!</v>
      </c>
      <c r="F142" s="2">
        <f>IF($C$66="I",IF($C$67="S",+F137,+F137),+F141-3)</f>
        <v>5.5</v>
      </c>
    </row>
    <row r="143" spans="4:7">
      <c r="D143" s="101"/>
      <c r="E143" s="2" t="e">
        <f>IF($C$66="I",IF($C$67="S",+origin-C70/20,+origin-C70/20),origin-C71/2+5+3)</f>
        <v>#DIV/0!</v>
      </c>
      <c r="F143" s="2">
        <f>IF($C$66="I",IF($C$67="S",+F136,+F136),+F142)</f>
        <v>5.5</v>
      </c>
    </row>
    <row r="144" spans="4:7">
      <c r="D144" s="101"/>
      <c r="E144" s="2" t="e">
        <f>IF($C$66="I",IF($C$67="S",+E143,+E143),+E143-3)</f>
        <v>#DIV/0!</v>
      </c>
      <c r="F144" s="2">
        <f>IF($C$66="I",IF($C$67="S",+F135,+F135),+F141)</f>
        <v>8.5</v>
      </c>
    </row>
    <row r="145" spans="4:7">
      <c r="D145" s="101"/>
      <c r="E145" s="2" t="e">
        <f>IF($C$66="I",IF($C$67="S",+E142,+origin-C71/3),+E144)</f>
        <v>#DIV/0!</v>
      </c>
      <c r="F145" s="2">
        <f>IF($C$66="I",IF($C$67="S",+F134,+F134),+F140)</f>
        <v>-6</v>
      </c>
    </row>
    <row r="146" spans="4:7">
      <c r="D146" s="101"/>
      <c r="E146" s="2" t="e">
        <f>IF($C$66="I",IF($C$67="S",+E141,+E145),+E145+3)</f>
        <v>#DIV/0!</v>
      </c>
      <c r="F146" s="2">
        <f>IF($C$66="I",IF($C$67="S",+F133,+F133),+F139)</f>
        <v>-3</v>
      </c>
    </row>
    <row r="147" spans="4:7">
      <c r="D147" s="101"/>
      <c r="E147" s="2" t="e">
        <f>IF($C$66="I",IF($C$67="S",+E133,+E133),+E139)</f>
        <v>#DIV/0!</v>
      </c>
      <c r="F147" s="2">
        <f>IF($C$66="I",IF($C$67="S",+F133,+F133),+F139)</f>
        <v>-3</v>
      </c>
    </row>
    <row r="149" spans="4:7">
      <c r="E149" s="2" t="e">
        <f>IF($C$68&gt;=2,E133-$C$69,NA())</f>
        <v>#N/A</v>
      </c>
      <c r="F149" s="2" t="e">
        <f>IF($C$68&gt;=2,F133,NA())</f>
        <v>#N/A</v>
      </c>
      <c r="G149" s="2" t="s">
        <v>702</v>
      </c>
    </row>
    <row r="150" spans="4:7">
      <c r="E150" s="2" t="e">
        <f>IF($C$68&gt;=2,E134-$C$69,NA())</f>
        <v>#N/A</v>
      </c>
      <c r="F150" s="2" t="e">
        <f>IF($C$68&gt;=2,F134,NA())</f>
        <v>#N/A</v>
      </c>
    </row>
    <row r="151" spans="4:7">
      <c r="E151" s="2" t="e">
        <f>IF($C$68&gt;=2,E135-$C$69,NA())</f>
        <v>#N/A</v>
      </c>
      <c r="F151" s="2" t="e">
        <f>IF($C$68&gt;=2,F135,NA())</f>
        <v>#N/A</v>
      </c>
    </row>
    <row r="152" spans="4:7">
      <c r="E152" s="2" t="e">
        <f>IF($C$68&gt;=2,E136-$C$69,NA())</f>
        <v>#N/A</v>
      </c>
      <c r="F152" s="2" t="e">
        <f>IF($C$68&gt;=2,F136,NA())</f>
        <v>#N/A</v>
      </c>
    </row>
    <row r="153" spans="4:7">
      <c r="E153" s="2" t="e">
        <f>IF($C$68&gt;=2,E137-$C$69,NA())</f>
        <v>#N/A</v>
      </c>
      <c r="F153" s="2" t="e">
        <f>IF($C$68&gt;=2,F137,NA())</f>
        <v>#N/A</v>
      </c>
    </row>
    <row r="155" spans="4:7">
      <c r="E155" s="2" t="e">
        <f t="shared" ref="E155:E163" si="0">IF($C$68&gt;=2,E139-$C$69,NA())</f>
        <v>#N/A</v>
      </c>
      <c r="F155" s="2" t="e">
        <f t="shared" ref="F155:F163" si="1">IF($C$68&gt;=2,F139,NA())</f>
        <v>#N/A</v>
      </c>
      <c r="G155" s="2" t="s">
        <v>702</v>
      </c>
    </row>
    <row r="156" spans="4:7">
      <c r="E156" s="2" t="e">
        <f t="shared" si="0"/>
        <v>#N/A</v>
      </c>
      <c r="F156" s="2" t="e">
        <f t="shared" si="1"/>
        <v>#N/A</v>
      </c>
    </row>
    <row r="157" spans="4:7">
      <c r="E157" s="2" t="e">
        <f t="shared" si="0"/>
        <v>#N/A</v>
      </c>
      <c r="F157" s="2" t="e">
        <f t="shared" si="1"/>
        <v>#N/A</v>
      </c>
    </row>
    <row r="158" spans="4:7">
      <c r="E158" s="2" t="e">
        <f t="shared" si="0"/>
        <v>#N/A</v>
      </c>
      <c r="F158" s="2" t="e">
        <f t="shared" si="1"/>
        <v>#N/A</v>
      </c>
    </row>
    <row r="159" spans="4:7">
      <c r="E159" s="2" t="e">
        <f t="shared" si="0"/>
        <v>#N/A</v>
      </c>
      <c r="F159" s="2" t="e">
        <f t="shared" si="1"/>
        <v>#N/A</v>
      </c>
    </row>
    <row r="160" spans="4:7">
      <c r="E160" s="2" t="e">
        <f t="shared" si="0"/>
        <v>#N/A</v>
      </c>
      <c r="F160" s="2" t="e">
        <f t="shared" si="1"/>
        <v>#N/A</v>
      </c>
    </row>
    <row r="161" spans="5:7">
      <c r="E161" s="2" t="e">
        <f t="shared" si="0"/>
        <v>#N/A</v>
      </c>
      <c r="F161" s="2" t="e">
        <f t="shared" si="1"/>
        <v>#N/A</v>
      </c>
    </row>
    <row r="162" spans="5:7">
      <c r="E162" s="2" t="e">
        <f t="shared" si="0"/>
        <v>#N/A</v>
      </c>
      <c r="F162" s="2" t="e">
        <f t="shared" si="1"/>
        <v>#N/A</v>
      </c>
    </row>
    <row r="163" spans="5:7">
      <c r="E163" s="2" t="e">
        <f t="shared" si="0"/>
        <v>#N/A</v>
      </c>
      <c r="F163" s="2" t="e">
        <f t="shared" si="1"/>
        <v>#N/A</v>
      </c>
    </row>
    <row r="165" spans="5:7">
      <c r="E165" s="2" t="e">
        <f>IF($C$68&gt;=3,E133+$C$69,NA())</f>
        <v>#N/A</v>
      </c>
      <c r="F165" s="2" t="e">
        <f>IF($C$68&gt;=3,F133,NA())</f>
        <v>#N/A</v>
      </c>
      <c r="G165" s="2" t="s">
        <v>702</v>
      </c>
    </row>
    <row r="166" spans="5:7">
      <c r="E166" s="2" t="e">
        <f>IF($C$68&gt;=3,E134+$C$69,NA())</f>
        <v>#N/A</v>
      </c>
      <c r="F166" s="2" t="e">
        <f>IF($C$68&gt;=3,F134,NA())</f>
        <v>#N/A</v>
      </c>
    </row>
    <row r="167" spans="5:7">
      <c r="E167" s="2" t="e">
        <f>IF($C$68&gt;=3,E135+$C$69,NA())</f>
        <v>#N/A</v>
      </c>
      <c r="F167" s="2" t="e">
        <f>IF($C$68&gt;=3,F135,NA())</f>
        <v>#N/A</v>
      </c>
    </row>
    <row r="168" spans="5:7">
      <c r="E168" s="2" t="e">
        <f>IF($C$68&gt;=3,E136+$C$69,NA())</f>
        <v>#N/A</v>
      </c>
      <c r="F168" s="2" t="e">
        <f>IF($C$68&gt;=3,F136,NA())</f>
        <v>#N/A</v>
      </c>
    </row>
    <row r="169" spans="5:7">
      <c r="E169" s="2" t="e">
        <f>IF($C$68&gt;=3,E137+$C$69,NA())</f>
        <v>#N/A</v>
      </c>
      <c r="F169" s="2" t="e">
        <f>IF($C$68&gt;=3,F137,NA())</f>
        <v>#N/A</v>
      </c>
    </row>
    <row r="171" spans="5:7">
      <c r="E171" s="2" t="e">
        <f t="shared" ref="E171:E179" si="2">IF($C$68&gt;=3,E139+$C$69,NA())</f>
        <v>#N/A</v>
      </c>
      <c r="F171" s="2" t="e">
        <f t="shared" ref="F171:F179" si="3">IF($C$68&gt;=3,F139,NA())</f>
        <v>#N/A</v>
      </c>
      <c r="G171" s="2" t="s">
        <v>702</v>
      </c>
    </row>
    <row r="172" spans="5:7">
      <c r="E172" s="2" t="e">
        <f t="shared" si="2"/>
        <v>#N/A</v>
      </c>
      <c r="F172" s="2" t="e">
        <f t="shared" si="3"/>
        <v>#N/A</v>
      </c>
    </row>
    <row r="173" spans="5:7">
      <c r="E173" s="2" t="e">
        <f t="shared" si="2"/>
        <v>#N/A</v>
      </c>
      <c r="F173" s="2" t="e">
        <f t="shared" si="3"/>
        <v>#N/A</v>
      </c>
    </row>
    <row r="174" spans="5:7">
      <c r="E174" s="2" t="e">
        <f t="shared" si="2"/>
        <v>#N/A</v>
      </c>
      <c r="F174" s="2" t="e">
        <f t="shared" si="3"/>
        <v>#N/A</v>
      </c>
    </row>
    <row r="175" spans="5:7">
      <c r="E175" s="2" t="e">
        <f t="shared" si="2"/>
        <v>#N/A</v>
      </c>
      <c r="F175" s="2" t="e">
        <f t="shared" si="3"/>
        <v>#N/A</v>
      </c>
    </row>
    <row r="176" spans="5:7">
      <c r="E176" s="2" t="e">
        <f t="shared" si="2"/>
        <v>#N/A</v>
      </c>
      <c r="F176" s="2" t="e">
        <f t="shared" si="3"/>
        <v>#N/A</v>
      </c>
    </row>
    <row r="177" spans="5:7">
      <c r="E177" s="2" t="e">
        <f t="shared" si="2"/>
        <v>#N/A</v>
      </c>
      <c r="F177" s="2" t="e">
        <f t="shared" si="3"/>
        <v>#N/A</v>
      </c>
    </row>
    <row r="178" spans="5:7">
      <c r="E178" s="2" t="e">
        <f t="shared" si="2"/>
        <v>#N/A</v>
      </c>
      <c r="F178" s="2" t="e">
        <f t="shared" si="3"/>
        <v>#N/A</v>
      </c>
    </row>
    <row r="179" spans="5:7">
      <c r="E179" s="2" t="e">
        <f t="shared" si="2"/>
        <v>#N/A</v>
      </c>
      <c r="F179" s="2" t="e">
        <f t="shared" si="3"/>
        <v>#N/A</v>
      </c>
    </row>
    <row r="181" spans="5:7">
      <c r="E181" s="2" t="e">
        <f>IF($C$68&gt;=4,E133-2*$C$69,NA())</f>
        <v>#N/A</v>
      </c>
      <c r="F181" s="2" t="e">
        <f>IF($C$68&gt;=4,F133,NA())</f>
        <v>#N/A</v>
      </c>
      <c r="G181" s="2" t="s">
        <v>702</v>
      </c>
    </row>
    <row r="182" spans="5:7">
      <c r="E182" s="2" t="e">
        <f>IF($C$68&gt;=4,E134-2*$C$69,NA())</f>
        <v>#N/A</v>
      </c>
      <c r="F182" s="2" t="e">
        <f>IF($C$68&gt;=4,F134,NA())</f>
        <v>#N/A</v>
      </c>
    </row>
    <row r="183" spans="5:7">
      <c r="E183" s="2" t="e">
        <f>IF($C$68&gt;=4,E135-2*$C$69,NA())</f>
        <v>#N/A</v>
      </c>
      <c r="F183" s="2" t="e">
        <f>IF($C$68&gt;=4,F135,NA())</f>
        <v>#N/A</v>
      </c>
    </row>
    <row r="184" spans="5:7">
      <c r="E184" s="2" t="e">
        <f>IF($C$68&gt;=4,E136-2*$C$69,NA())</f>
        <v>#N/A</v>
      </c>
      <c r="F184" s="2" t="e">
        <f>IF($C$68&gt;=4,F136,NA())</f>
        <v>#N/A</v>
      </c>
    </row>
    <row r="185" spans="5:7">
      <c r="E185" s="2" t="e">
        <f>IF($C$68&gt;=4,E137-2*$C$69,NA())</f>
        <v>#N/A</v>
      </c>
      <c r="F185" s="2" t="e">
        <f>IF($C$68&gt;=4,F137,NA())</f>
        <v>#N/A</v>
      </c>
    </row>
    <row r="187" spans="5:7">
      <c r="E187" s="2" t="e">
        <f t="shared" ref="E187:E195" si="4">IF($C$68&gt;=4,E139-2*$C$69,NA())</f>
        <v>#N/A</v>
      </c>
      <c r="F187" s="2" t="e">
        <f t="shared" ref="F187:F195" si="5">IF($C$68&gt;=4,F139,NA())</f>
        <v>#N/A</v>
      </c>
      <c r="G187" s="2" t="s">
        <v>702</v>
      </c>
    </row>
    <row r="188" spans="5:7">
      <c r="E188" s="2" t="e">
        <f t="shared" si="4"/>
        <v>#N/A</v>
      </c>
      <c r="F188" s="2" t="e">
        <f t="shared" si="5"/>
        <v>#N/A</v>
      </c>
    </row>
    <row r="189" spans="5:7">
      <c r="E189" s="2" t="e">
        <f t="shared" si="4"/>
        <v>#N/A</v>
      </c>
      <c r="F189" s="2" t="e">
        <f t="shared" si="5"/>
        <v>#N/A</v>
      </c>
    </row>
    <row r="190" spans="5:7">
      <c r="E190" s="2" t="e">
        <f t="shared" si="4"/>
        <v>#N/A</v>
      </c>
      <c r="F190" s="2" t="e">
        <f t="shared" si="5"/>
        <v>#N/A</v>
      </c>
    </row>
    <row r="191" spans="5:7">
      <c r="E191" s="2" t="e">
        <f t="shared" si="4"/>
        <v>#N/A</v>
      </c>
      <c r="F191" s="2" t="e">
        <f t="shared" si="5"/>
        <v>#N/A</v>
      </c>
    </row>
    <row r="192" spans="5:7">
      <c r="E192" s="2" t="e">
        <f t="shared" si="4"/>
        <v>#N/A</v>
      </c>
      <c r="F192" s="2" t="e">
        <f t="shared" si="5"/>
        <v>#N/A</v>
      </c>
    </row>
    <row r="193" spans="5:7">
      <c r="E193" s="2" t="e">
        <f t="shared" si="4"/>
        <v>#N/A</v>
      </c>
      <c r="F193" s="2" t="e">
        <f t="shared" si="5"/>
        <v>#N/A</v>
      </c>
    </row>
    <row r="194" spans="5:7">
      <c r="E194" s="2" t="e">
        <f t="shared" si="4"/>
        <v>#N/A</v>
      </c>
      <c r="F194" s="2" t="e">
        <f t="shared" si="5"/>
        <v>#N/A</v>
      </c>
    </row>
    <row r="195" spans="5:7">
      <c r="E195" s="2" t="e">
        <f t="shared" si="4"/>
        <v>#N/A</v>
      </c>
      <c r="F195" s="2" t="e">
        <f t="shared" si="5"/>
        <v>#N/A</v>
      </c>
    </row>
    <row r="197" spans="5:7">
      <c r="E197" s="2" t="e">
        <f>IF($C$68&gt;=5,E133+2*$C$69,NA())</f>
        <v>#N/A</v>
      </c>
      <c r="F197" s="2" t="e">
        <f>IF($C$68&gt;=5,F133,NA())</f>
        <v>#N/A</v>
      </c>
      <c r="G197" s="2" t="s">
        <v>702</v>
      </c>
    </row>
    <row r="198" spans="5:7">
      <c r="E198" s="2" t="e">
        <f>IF($C$68&gt;=5,E134+2*$C$69,NA())</f>
        <v>#N/A</v>
      </c>
      <c r="F198" s="2" t="e">
        <f>IF($C$68&gt;=5,F134,NA())</f>
        <v>#N/A</v>
      </c>
    </row>
    <row r="199" spans="5:7">
      <c r="E199" s="2" t="e">
        <f>IF($C$68&gt;=5,E135+2*$C$69,NA())</f>
        <v>#N/A</v>
      </c>
      <c r="F199" s="2" t="e">
        <f>IF($C$68&gt;=5,F135,NA())</f>
        <v>#N/A</v>
      </c>
    </row>
    <row r="200" spans="5:7">
      <c r="E200" s="2" t="e">
        <f>IF($C$68&gt;=5,E136+2*$C$69,NA())</f>
        <v>#N/A</v>
      </c>
      <c r="F200" s="2" t="e">
        <f>IF($C$68&gt;=5,F136,NA())</f>
        <v>#N/A</v>
      </c>
    </row>
    <row r="201" spans="5:7">
      <c r="E201" s="2" t="e">
        <f>IF($C$68&gt;=5,E137+2*$C$69,NA())</f>
        <v>#N/A</v>
      </c>
      <c r="F201" s="2" t="e">
        <f>IF($C$68&gt;=5,F137,NA())</f>
        <v>#N/A</v>
      </c>
    </row>
    <row r="203" spans="5:7">
      <c r="E203" s="2" t="e">
        <f t="shared" ref="E203:E211" si="6">IF($C$68&gt;=5,E139+2*$C$69,NA())</f>
        <v>#N/A</v>
      </c>
      <c r="F203" s="2" t="e">
        <f t="shared" ref="F203:F211" si="7">IF($C$68&gt;=5,F139,NA())</f>
        <v>#N/A</v>
      </c>
      <c r="G203" s="2" t="s">
        <v>702</v>
      </c>
    </row>
    <row r="204" spans="5:7">
      <c r="E204" s="2" t="e">
        <f t="shared" si="6"/>
        <v>#N/A</v>
      </c>
      <c r="F204" s="2" t="e">
        <f t="shared" si="7"/>
        <v>#N/A</v>
      </c>
    </row>
    <row r="205" spans="5:7">
      <c r="E205" s="2" t="e">
        <f t="shared" si="6"/>
        <v>#N/A</v>
      </c>
      <c r="F205" s="2" t="e">
        <f t="shared" si="7"/>
        <v>#N/A</v>
      </c>
    </row>
    <row r="206" spans="5:7">
      <c r="E206" s="2" t="e">
        <f t="shared" si="6"/>
        <v>#N/A</v>
      </c>
      <c r="F206" s="2" t="e">
        <f t="shared" si="7"/>
        <v>#N/A</v>
      </c>
    </row>
    <row r="207" spans="5:7">
      <c r="E207" s="2" t="e">
        <f t="shared" si="6"/>
        <v>#N/A</v>
      </c>
      <c r="F207" s="2" t="e">
        <f t="shared" si="7"/>
        <v>#N/A</v>
      </c>
    </row>
    <row r="208" spans="5:7">
      <c r="E208" s="2" t="e">
        <f t="shared" si="6"/>
        <v>#N/A</v>
      </c>
      <c r="F208" s="2" t="e">
        <f t="shared" si="7"/>
        <v>#N/A</v>
      </c>
    </row>
    <row r="209" spans="5:7">
      <c r="E209" s="2" t="e">
        <f t="shared" si="6"/>
        <v>#N/A</v>
      </c>
      <c r="F209" s="2" t="e">
        <f t="shared" si="7"/>
        <v>#N/A</v>
      </c>
    </row>
    <row r="210" spans="5:7">
      <c r="E210" s="2" t="e">
        <f t="shared" si="6"/>
        <v>#N/A</v>
      </c>
      <c r="F210" s="2" t="e">
        <f t="shared" si="7"/>
        <v>#N/A</v>
      </c>
    </row>
    <row r="211" spans="5:7">
      <c r="E211" s="2" t="e">
        <f t="shared" si="6"/>
        <v>#N/A</v>
      </c>
      <c r="F211" s="2" t="e">
        <f t="shared" si="7"/>
        <v>#N/A</v>
      </c>
    </row>
    <row r="213" spans="5:7">
      <c r="E213" s="2" t="e">
        <f>IF($C$68&gt;=6,E133-3*$C$69,NA())</f>
        <v>#N/A</v>
      </c>
      <c r="F213" s="2" t="e">
        <f>IF($C$68&gt;=6,F133,NA())</f>
        <v>#N/A</v>
      </c>
      <c r="G213" s="2" t="s">
        <v>702</v>
      </c>
    </row>
    <row r="214" spans="5:7">
      <c r="E214" s="2" t="e">
        <f>IF($C$68&gt;=6,E134-3*$C$69,NA())</f>
        <v>#N/A</v>
      </c>
      <c r="F214" s="2" t="e">
        <f>IF($C$68&gt;=6,F134,NA())</f>
        <v>#N/A</v>
      </c>
    </row>
    <row r="215" spans="5:7">
      <c r="E215" s="2" t="e">
        <f>IF($C$68&gt;=6,E135-3*$C$69,NA())</f>
        <v>#N/A</v>
      </c>
      <c r="F215" s="2" t="e">
        <f>IF($C$68&gt;=6,F135,NA())</f>
        <v>#N/A</v>
      </c>
    </row>
    <row r="216" spans="5:7">
      <c r="E216" s="2" t="e">
        <f>IF($C$68&gt;=6,E136-3*$C$69,NA())</f>
        <v>#N/A</v>
      </c>
      <c r="F216" s="2" t="e">
        <f>IF($C$68&gt;=6,F136,NA())</f>
        <v>#N/A</v>
      </c>
    </row>
    <row r="217" spans="5:7">
      <c r="E217" s="2" t="e">
        <f>IF($C$68&gt;=6,E137-3*$C$69,NA())</f>
        <v>#N/A</v>
      </c>
      <c r="F217" s="2" t="e">
        <f>IF($C$68&gt;=6,F137,NA())</f>
        <v>#N/A</v>
      </c>
    </row>
    <row r="219" spans="5:7">
      <c r="E219" s="2" t="e">
        <f t="shared" ref="E219:E227" si="8">IF($C$68&gt;=6,E139-3*$C$69,NA())</f>
        <v>#N/A</v>
      </c>
      <c r="F219" s="2" t="e">
        <f t="shared" ref="F219:F227" si="9">IF($C$68&gt;=6,F139,NA())</f>
        <v>#N/A</v>
      </c>
      <c r="G219" s="2" t="s">
        <v>702</v>
      </c>
    </row>
    <row r="220" spans="5:7">
      <c r="E220" s="2" t="e">
        <f t="shared" si="8"/>
        <v>#N/A</v>
      </c>
      <c r="F220" s="2" t="e">
        <f t="shared" si="9"/>
        <v>#N/A</v>
      </c>
    </row>
    <row r="221" spans="5:7">
      <c r="E221" s="2" t="e">
        <f t="shared" si="8"/>
        <v>#N/A</v>
      </c>
      <c r="F221" s="2" t="e">
        <f t="shared" si="9"/>
        <v>#N/A</v>
      </c>
    </row>
    <row r="222" spans="5:7">
      <c r="E222" s="2" t="e">
        <f t="shared" si="8"/>
        <v>#N/A</v>
      </c>
      <c r="F222" s="2" t="e">
        <f t="shared" si="9"/>
        <v>#N/A</v>
      </c>
    </row>
    <row r="223" spans="5:7">
      <c r="E223" s="2" t="e">
        <f t="shared" si="8"/>
        <v>#N/A</v>
      </c>
      <c r="F223" s="2" t="e">
        <f t="shared" si="9"/>
        <v>#N/A</v>
      </c>
    </row>
    <row r="224" spans="5:7">
      <c r="E224" s="2" t="e">
        <f t="shared" si="8"/>
        <v>#N/A</v>
      </c>
      <c r="F224" s="2" t="e">
        <f t="shared" si="9"/>
        <v>#N/A</v>
      </c>
    </row>
    <row r="225" spans="5:7">
      <c r="E225" s="2" t="e">
        <f t="shared" si="8"/>
        <v>#N/A</v>
      </c>
      <c r="F225" s="2" t="e">
        <f t="shared" si="9"/>
        <v>#N/A</v>
      </c>
    </row>
    <row r="226" spans="5:7">
      <c r="E226" s="2" t="e">
        <f t="shared" si="8"/>
        <v>#N/A</v>
      </c>
      <c r="F226" s="2" t="e">
        <f t="shared" si="9"/>
        <v>#N/A</v>
      </c>
    </row>
    <row r="227" spans="5:7">
      <c r="E227" s="2" t="e">
        <f t="shared" si="8"/>
        <v>#N/A</v>
      </c>
      <c r="F227" s="2" t="e">
        <f t="shared" si="9"/>
        <v>#N/A</v>
      </c>
    </row>
    <row r="229" spans="5:7">
      <c r="E229" s="2" t="e">
        <f>IF($C$68&gt;=7,E133+3*$C$69,NA())</f>
        <v>#N/A</v>
      </c>
      <c r="F229" s="2" t="e">
        <f>IF($C$68&gt;=7,F133,NA())</f>
        <v>#N/A</v>
      </c>
      <c r="G229" s="2" t="s">
        <v>702</v>
      </c>
    </row>
    <row r="230" spans="5:7">
      <c r="E230" s="2" t="e">
        <f>IF($C$68&gt;=7,E134+3*$C$69,NA())</f>
        <v>#N/A</v>
      </c>
      <c r="F230" s="2" t="e">
        <f>IF($C$68&gt;=7,F134,NA())</f>
        <v>#N/A</v>
      </c>
    </row>
    <row r="231" spans="5:7">
      <c r="E231" s="2" t="e">
        <f>IF($C$68&gt;=7,E135+3*$C$69,NA())</f>
        <v>#N/A</v>
      </c>
      <c r="F231" s="2" t="e">
        <f>IF($C$68&gt;=7,F135,NA())</f>
        <v>#N/A</v>
      </c>
    </row>
    <row r="232" spans="5:7">
      <c r="E232" s="2" t="e">
        <f>IF($C$68&gt;=7,E136+3*$C$69,NA())</f>
        <v>#N/A</v>
      </c>
      <c r="F232" s="2" t="e">
        <f>IF($C$68&gt;=7,F136,NA())</f>
        <v>#N/A</v>
      </c>
    </row>
    <row r="233" spans="5:7">
      <c r="E233" s="2" t="e">
        <f>IF($C$68&gt;=7,E137+3*$C$69,NA())</f>
        <v>#N/A</v>
      </c>
      <c r="F233" s="2" t="e">
        <f>IF($C$68&gt;=7,F137,NA())</f>
        <v>#N/A</v>
      </c>
    </row>
    <row r="235" spans="5:7">
      <c r="E235" s="2" t="e">
        <f t="shared" ref="E235:E243" si="10">IF($C$68&gt;=7,E139+3*$C$69,NA())</f>
        <v>#N/A</v>
      </c>
      <c r="F235" s="2" t="e">
        <f t="shared" ref="F235:F243" si="11">IF($C$68&gt;=7,F139,NA())</f>
        <v>#N/A</v>
      </c>
      <c r="G235" s="2" t="s">
        <v>702</v>
      </c>
    </row>
    <row r="236" spans="5:7">
      <c r="E236" s="2" t="e">
        <f t="shared" si="10"/>
        <v>#N/A</v>
      </c>
      <c r="F236" s="2" t="e">
        <f t="shared" si="11"/>
        <v>#N/A</v>
      </c>
    </row>
    <row r="237" spans="5:7">
      <c r="E237" s="2" t="e">
        <f t="shared" si="10"/>
        <v>#N/A</v>
      </c>
      <c r="F237" s="2" t="e">
        <f t="shared" si="11"/>
        <v>#N/A</v>
      </c>
    </row>
    <row r="238" spans="5:7">
      <c r="E238" s="2" t="e">
        <f t="shared" si="10"/>
        <v>#N/A</v>
      </c>
      <c r="F238" s="2" t="e">
        <f t="shared" si="11"/>
        <v>#N/A</v>
      </c>
    </row>
    <row r="239" spans="5:7">
      <c r="E239" s="2" t="e">
        <f t="shared" si="10"/>
        <v>#N/A</v>
      </c>
      <c r="F239" s="2" t="e">
        <f t="shared" si="11"/>
        <v>#N/A</v>
      </c>
    </row>
    <row r="240" spans="5:7">
      <c r="E240" s="2" t="e">
        <f t="shared" si="10"/>
        <v>#N/A</v>
      </c>
      <c r="F240" s="2" t="e">
        <f t="shared" si="11"/>
        <v>#N/A</v>
      </c>
    </row>
    <row r="241" spans="5:7">
      <c r="E241" s="2" t="e">
        <f t="shared" si="10"/>
        <v>#N/A</v>
      </c>
      <c r="F241" s="2" t="e">
        <f t="shared" si="11"/>
        <v>#N/A</v>
      </c>
    </row>
    <row r="242" spans="5:7">
      <c r="E242" s="2" t="e">
        <f t="shared" si="10"/>
        <v>#N/A</v>
      </c>
      <c r="F242" s="2" t="e">
        <f t="shared" si="11"/>
        <v>#N/A</v>
      </c>
    </row>
    <row r="243" spans="5:7">
      <c r="E243" s="2" t="e">
        <f t="shared" si="10"/>
        <v>#N/A</v>
      </c>
      <c r="F243" s="2" t="e">
        <f t="shared" si="11"/>
        <v>#N/A</v>
      </c>
    </row>
    <row r="245" spans="5:7">
      <c r="E245" s="2" t="e">
        <f>IF($C$68&gt;=8,E133-4*$C$69,NA())</f>
        <v>#N/A</v>
      </c>
      <c r="F245" s="2" t="e">
        <f>IF($C$68&gt;=8,F133,NA())</f>
        <v>#N/A</v>
      </c>
      <c r="G245" s="2" t="s">
        <v>702</v>
      </c>
    </row>
    <row r="246" spans="5:7">
      <c r="E246" s="2" t="e">
        <f>IF($C$68&gt;=8,E134-4*$C$69,NA())</f>
        <v>#N/A</v>
      </c>
      <c r="F246" s="2" t="e">
        <f>IF($C$68&gt;=8,F134,NA())</f>
        <v>#N/A</v>
      </c>
    </row>
    <row r="247" spans="5:7">
      <c r="E247" s="2" t="e">
        <f>IF($C$68&gt;=8,E135-4*$C$69,NA())</f>
        <v>#N/A</v>
      </c>
      <c r="F247" s="2" t="e">
        <f>IF($C$68&gt;=8,F135,NA())</f>
        <v>#N/A</v>
      </c>
    </row>
    <row r="248" spans="5:7">
      <c r="E248" s="2" t="e">
        <f>IF($C$68&gt;=8,E136-4*$C$69,NA())</f>
        <v>#N/A</v>
      </c>
      <c r="F248" s="2" t="e">
        <f>IF($C$68&gt;=8,F136,NA())</f>
        <v>#N/A</v>
      </c>
    </row>
    <row r="249" spans="5:7">
      <c r="E249" s="2" t="e">
        <f>IF($C$68&gt;=8,E137-4*$C$69,NA())</f>
        <v>#N/A</v>
      </c>
      <c r="F249" s="2" t="e">
        <f>IF($C$68&gt;=8,F137,NA())</f>
        <v>#N/A</v>
      </c>
    </row>
    <row r="251" spans="5:7">
      <c r="E251" s="2" t="e">
        <f t="shared" ref="E251:E259" si="12">IF($C$68&gt;=8,E139-4*$C$69,NA())</f>
        <v>#N/A</v>
      </c>
      <c r="F251" s="2" t="e">
        <f t="shared" ref="F251:F259" si="13">IF($C$68&gt;=8,F139,NA())</f>
        <v>#N/A</v>
      </c>
      <c r="G251" s="2" t="s">
        <v>702</v>
      </c>
    </row>
    <row r="252" spans="5:7">
      <c r="E252" s="2" t="e">
        <f t="shared" si="12"/>
        <v>#N/A</v>
      </c>
      <c r="F252" s="2" t="e">
        <f t="shared" si="13"/>
        <v>#N/A</v>
      </c>
    </row>
    <row r="253" spans="5:7">
      <c r="E253" s="2" t="e">
        <f t="shared" si="12"/>
        <v>#N/A</v>
      </c>
      <c r="F253" s="2" t="e">
        <f t="shared" si="13"/>
        <v>#N/A</v>
      </c>
    </row>
    <row r="254" spans="5:7">
      <c r="E254" s="2" t="e">
        <f t="shared" si="12"/>
        <v>#N/A</v>
      </c>
      <c r="F254" s="2" t="e">
        <f t="shared" si="13"/>
        <v>#N/A</v>
      </c>
    </row>
    <row r="255" spans="5:7">
      <c r="E255" s="2" t="e">
        <f t="shared" si="12"/>
        <v>#N/A</v>
      </c>
      <c r="F255" s="2" t="e">
        <f t="shared" si="13"/>
        <v>#N/A</v>
      </c>
    </row>
    <row r="256" spans="5:7">
      <c r="E256" s="2" t="e">
        <f t="shared" si="12"/>
        <v>#N/A</v>
      </c>
      <c r="F256" s="2" t="e">
        <f t="shared" si="13"/>
        <v>#N/A</v>
      </c>
    </row>
    <row r="257" spans="5:7">
      <c r="E257" s="2" t="e">
        <f t="shared" si="12"/>
        <v>#N/A</v>
      </c>
      <c r="F257" s="2" t="e">
        <f t="shared" si="13"/>
        <v>#N/A</v>
      </c>
    </row>
    <row r="258" spans="5:7">
      <c r="E258" s="2" t="e">
        <f t="shared" si="12"/>
        <v>#N/A</v>
      </c>
      <c r="F258" s="2" t="e">
        <f t="shared" si="13"/>
        <v>#N/A</v>
      </c>
    </row>
    <row r="259" spans="5:7">
      <c r="E259" s="2" t="e">
        <f t="shared" si="12"/>
        <v>#N/A</v>
      </c>
      <c r="F259" s="2" t="e">
        <f t="shared" si="13"/>
        <v>#N/A</v>
      </c>
    </row>
    <row r="261" spans="5:7">
      <c r="E261" s="2" t="e">
        <f>IF($C$68&gt;=9,E133+4*$C$69,NA())</f>
        <v>#N/A</v>
      </c>
      <c r="F261" s="2" t="e">
        <f>IF($C$68&gt;=9,F133,NA())</f>
        <v>#N/A</v>
      </c>
      <c r="G261" s="2" t="s">
        <v>702</v>
      </c>
    </row>
    <row r="262" spans="5:7">
      <c r="E262" s="2" t="e">
        <f>IF($C$68&gt;=9,E134+4*$C$69,NA())</f>
        <v>#N/A</v>
      </c>
      <c r="F262" s="2" t="e">
        <f>IF($C$68&gt;=9,F134,NA())</f>
        <v>#N/A</v>
      </c>
    </row>
    <row r="263" spans="5:7">
      <c r="E263" s="2" t="e">
        <f>IF($C$68&gt;=9,E135+4*$C$69,NA())</f>
        <v>#N/A</v>
      </c>
      <c r="F263" s="2" t="e">
        <f>IF($C$68&gt;=9,F135,NA())</f>
        <v>#N/A</v>
      </c>
    </row>
    <row r="264" spans="5:7">
      <c r="E264" s="2" t="e">
        <f>IF($C$68&gt;=9,E136+4*$C$69,NA())</f>
        <v>#N/A</v>
      </c>
      <c r="F264" s="2" t="e">
        <f>IF($C$68&gt;=9,F136,NA())</f>
        <v>#N/A</v>
      </c>
    </row>
    <row r="265" spans="5:7">
      <c r="E265" s="2" t="e">
        <f>IF($C$68&gt;=9,E137+4*$C$69,NA())</f>
        <v>#N/A</v>
      </c>
      <c r="F265" s="2" t="e">
        <f>IF($C$68&gt;=9,F137,NA())</f>
        <v>#N/A</v>
      </c>
    </row>
    <row r="267" spans="5:7">
      <c r="E267" s="2" t="e">
        <f t="shared" ref="E267:E275" si="14">IF($C$68&gt;=9,E139+4*$C$69,NA())</f>
        <v>#N/A</v>
      </c>
      <c r="F267" s="2" t="e">
        <f t="shared" ref="F267:F275" si="15">IF($C$68&gt;=9,F139,NA())</f>
        <v>#N/A</v>
      </c>
      <c r="G267" s="2" t="s">
        <v>702</v>
      </c>
    </row>
    <row r="268" spans="5:7">
      <c r="E268" s="2" t="e">
        <f t="shared" si="14"/>
        <v>#N/A</v>
      </c>
      <c r="F268" s="2" t="e">
        <f t="shared" si="15"/>
        <v>#N/A</v>
      </c>
    </row>
    <row r="269" spans="5:7">
      <c r="E269" s="2" t="e">
        <f t="shared" si="14"/>
        <v>#N/A</v>
      </c>
      <c r="F269" s="2" t="e">
        <f t="shared" si="15"/>
        <v>#N/A</v>
      </c>
    </row>
    <row r="270" spans="5:7">
      <c r="E270" s="2" t="e">
        <f t="shared" si="14"/>
        <v>#N/A</v>
      </c>
      <c r="F270" s="2" t="e">
        <f t="shared" si="15"/>
        <v>#N/A</v>
      </c>
    </row>
    <row r="271" spans="5:7">
      <c r="E271" s="2" t="e">
        <f t="shared" si="14"/>
        <v>#N/A</v>
      </c>
      <c r="F271" s="2" t="e">
        <f t="shared" si="15"/>
        <v>#N/A</v>
      </c>
    </row>
    <row r="272" spans="5:7">
      <c r="E272" s="2" t="e">
        <f t="shared" si="14"/>
        <v>#N/A</v>
      </c>
      <c r="F272" s="2" t="e">
        <f t="shared" si="15"/>
        <v>#N/A</v>
      </c>
    </row>
    <row r="273" spans="5:7">
      <c r="E273" s="2" t="e">
        <f t="shared" si="14"/>
        <v>#N/A</v>
      </c>
      <c r="F273" s="2" t="e">
        <f t="shared" si="15"/>
        <v>#N/A</v>
      </c>
    </row>
    <row r="274" spans="5:7">
      <c r="E274" s="2" t="e">
        <f t="shared" si="14"/>
        <v>#N/A</v>
      </c>
      <c r="F274" s="2" t="e">
        <f t="shared" si="15"/>
        <v>#N/A</v>
      </c>
    </row>
    <row r="275" spans="5:7">
      <c r="E275" s="2" t="e">
        <f t="shared" si="14"/>
        <v>#N/A</v>
      </c>
      <c r="F275" s="2" t="e">
        <f t="shared" si="15"/>
        <v>#N/A</v>
      </c>
    </row>
    <row r="277" spans="5:7">
      <c r="E277" s="2" t="e">
        <f>IF($C$68&gt;=10,E133-5*$C$69,NA())</f>
        <v>#N/A</v>
      </c>
      <c r="F277" s="2" t="e">
        <f>IF($C$68&gt;=10,F133,NA())</f>
        <v>#N/A</v>
      </c>
      <c r="G277" s="2" t="s">
        <v>702</v>
      </c>
    </row>
    <row r="278" spans="5:7">
      <c r="E278" s="2" t="e">
        <f>IF($C$68&gt;=10,E134-5*$C$69,NA())</f>
        <v>#N/A</v>
      </c>
      <c r="F278" s="2" t="e">
        <f>IF($C$68&gt;=10,F134,NA())</f>
        <v>#N/A</v>
      </c>
    </row>
    <row r="279" spans="5:7">
      <c r="E279" s="2" t="e">
        <f>IF($C$68&gt;=10,E135-5*$C$69,NA())</f>
        <v>#N/A</v>
      </c>
      <c r="F279" s="2" t="e">
        <f>IF($C$68&gt;=10,F135,NA())</f>
        <v>#N/A</v>
      </c>
    </row>
    <row r="280" spans="5:7">
      <c r="E280" s="2" t="e">
        <f>IF($C$68&gt;=10,E136-5*$C$69,NA())</f>
        <v>#N/A</v>
      </c>
      <c r="F280" s="2" t="e">
        <f>IF($C$68&gt;=10,F136,NA())</f>
        <v>#N/A</v>
      </c>
    </row>
    <row r="281" spans="5:7">
      <c r="E281" s="2" t="e">
        <f>IF($C$68&gt;=10,E137-5*$C$69,NA())</f>
        <v>#N/A</v>
      </c>
      <c r="F281" s="2" t="e">
        <f>IF($C$68&gt;=10,F137,NA())</f>
        <v>#N/A</v>
      </c>
    </row>
    <row r="283" spans="5:7">
      <c r="E283" s="2" t="e">
        <f t="shared" ref="E283:E291" si="16">IF($C$68&gt;=10,E139-5*$C$69,NA())</f>
        <v>#N/A</v>
      </c>
      <c r="F283" s="2" t="e">
        <f t="shared" ref="F283:F291" si="17">IF($C$68&gt;=10,F139,NA())</f>
        <v>#N/A</v>
      </c>
      <c r="G283" s="2" t="s">
        <v>702</v>
      </c>
    </row>
    <row r="284" spans="5:7">
      <c r="E284" s="2" t="e">
        <f t="shared" si="16"/>
        <v>#N/A</v>
      </c>
      <c r="F284" s="2" t="e">
        <f t="shared" si="17"/>
        <v>#N/A</v>
      </c>
    </row>
    <row r="285" spans="5:7">
      <c r="E285" s="2" t="e">
        <f t="shared" si="16"/>
        <v>#N/A</v>
      </c>
      <c r="F285" s="2" t="e">
        <f t="shared" si="17"/>
        <v>#N/A</v>
      </c>
    </row>
    <row r="286" spans="5:7">
      <c r="E286" s="2" t="e">
        <f t="shared" si="16"/>
        <v>#N/A</v>
      </c>
      <c r="F286" s="2" t="e">
        <f t="shared" si="17"/>
        <v>#N/A</v>
      </c>
    </row>
    <row r="287" spans="5:7">
      <c r="E287" s="2" t="e">
        <f t="shared" si="16"/>
        <v>#N/A</v>
      </c>
      <c r="F287" s="2" t="e">
        <f t="shared" si="17"/>
        <v>#N/A</v>
      </c>
    </row>
    <row r="288" spans="5:7">
      <c r="E288" s="2" t="e">
        <f t="shared" si="16"/>
        <v>#N/A</v>
      </c>
      <c r="F288" s="2" t="e">
        <f t="shared" si="17"/>
        <v>#N/A</v>
      </c>
    </row>
    <row r="289" spans="5:7">
      <c r="E289" s="2" t="e">
        <f t="shared" si="16"/>
        <v>#N/A</v>
      </c>
      <c r="F289" s="2" t="e">
        <f t="shared" si="17"/>
        <v>#N/A</v>
      </c>
    </row>
    <row r="290" spans="5:7">
      <c r="E290" s="2" t="e">
        <f t="shared" si="16"/>
        <v>#N/A</v>
      </c>
      <c r="F290" s="2" t="e">
        <f t="shared" si="17"/>
        <v>#N/A</v>
      </c>
    </row>
    <row r="291" spans="5:7">
      <c r="E291" s="2" t="e">
        <f t="shared" si="16"/>
        <v>#N/A</v>
      </c>
      <c r="F291" s="2" t="e">
        <f t="shared" si="17"/>
        <v>#N/A</v>
      </c>
    </row>
    <row r="293" spans="5:7">
      <c r="E293" s="2" t="e">
        <f>IF($C$68&gt;=11,E133+5*$C$69,NA())</f>
        <v>#N/A</v>
      </c>
      <c r="F293" s="2" t="e">
        <f>IF($C$68&gt;=11,F133,NA())</f>
        <v>#N/A</v>
      </c>
      <c r="G293" s="2" t="s">
        <v>702</v>
      </c>
    </row>
    <row r="294" spans="5:7">
      <c r="E294" s="2" t="e">
        <f>IF($C$68&gt;=11,E134+5*$C$69,NA())</f>
        <v>#N/A</v>
      </c>
      <c r="F294" s="2" t="e">
        <f>IF($C$68&gt;=11,F134,NA())</f>
        <v>#N/A</v>
      </c>
    </row>
    <row r="295" spans="5:7">
      <c r="E295" s="2" t="e">
        <f>IF($C$68&gt;=11,E135+5*$C$69,NA())</f>
        <v>#N/A</v>
      </c>
      <c r="F295" s="2" t="e">
        <f>IF($C$68&gt;=11,F135,NA())</f>
        <v>#N/A</v>
      </c>
    </row>
    <row r="296" spans="5:7">
      <c r="E296" s="2" t="e">
        <f>IF($C$68&gt;=11,E136+5*$C$69,NA())</f>
        <v>#N/A</v>
      </c>
      <c r="F296" s="2" t="e">
        <f>IF($C$68&gt;=11,F136,NA())</f>
        <v>#N/A</v>
      </c>
    </row>
    <row r="297" spans="5:7">
      <c r="E297" s="2" t="e">
        <f>IF($C$68&gt;=11,E137+5*$C$69,NA())</f>
        <v>#N/A</v>
      </c>
      <c r="F297" s="2" t="e">
        <f>IF($C$68&gt;=11,F137,NA())</f>
        <v>#N/A</v>
      </c>
    </row>
    <row r="299" spans="5:7">
      <c r="E299" s="2" t="e">
        <f t="shared" ref="E299:E307" si="18">IF($C$68&gt;=11,E139+5*$C$69,NA())</f>
        <v>#N/A</v>
      </c>
      <c r="F299" s="2" t="e">
        <f t="shared" ref="F299:F307" si="19">IF($C$68&gt;=11,F139,NA())</f>
        <v>#N/A</v>
      </c>
      <c r="G299" s="2" t="s">
        <v>702</v>
      </c>
    </row>
    <row r="300" spans="5:7">
      <c r="E300" s="2" t="e">
        <f t="shared" si="18"/>
        <v>#N/A</v>
      </c>
      <c r="F300" s="2" t="e">
        <f t="shared" si="19"/>
        <v>#N/A</v>
      </c>
    </row>
    <row r="301" spans="5:7">
      <c r="E301" s="2" t="e">
        <f t="shared" si="18"/>
        <v>#N/A</v>
      </c>
      <c r="F301" s="2" t="e">
        <f t="shared" si="19"/>
        <v>#N/A</v>
      </c>
    </row>
    <row r="302" spans="5:7">
      <c r="E302" s="2" t="e">
        <f t="shared" si="18"/>
        <v>#N/A</v>
      </c>
      <c r="F302" s="2" t="e">
        <f t="shared" si="19"/>
        <v>#N/A</v>
      </c>
    </row>
    <row r="303" spans="5:7">
      <c r="E303" s="2" t="e">
        <f t="shared" si="18"/>
        <v>#N/A</v>
      </c>
      <c r="F303" s="2" t="e">
        <f t="shared" si="19"/>
        <v>#N/A</v>
      </c>
    </row>
    <row r="304" spans="5:7">
      <c r="E304" s="2" t="e">
        <f t="shared" si="18"/>
        <v>#N/A</v>
      </c>
      <c r="F304" s="2" t="e">
        <f t="shared" si="19"/>
        <v>#N/A</v>
      </c>
    </row>
    <row r="305" spans="5:7">
      <c r="E305" s="2" t="e">
        <f t="shared" si="18"/>
        <v>#N/A</v>
      </c>
      <c r="F305" s="2" t="e">
        <f t="shared" si="19"/>
        <v>#N/A</v>
      </c>
    </row>
    <row r="306" spans="5:7">
      <c r="E306" s="2" t="e">
        <f t="shared" si="18"/>
        <v>#N/A</v>
      </c>
      <c r="F306" s="2" t="e">
        <f t="shared" si="19"/>
        <v>#N/A</v>
      </c>
    </row>
    <row r="307" spans="5:7">
      <c r="E307" s="2" t="e">
        <f t="shared" si="18"/>
        <v>#N/A</v>
      </c>
      <c r="F307" s="2" t="e">
        <f t="shared" si="19"/>
        <v>#N/A</v>
      </c>
    </row>
    <row r="309" spans="5:7">
      <c r="E309" s="2" t="e">
        <f>IF($C$68&gt;=12,E133-6*$C$69,NA())</f>
        <v>#N/A</v>
      </c>
      <c r="F309" s="2" t="e">
        <f>IF($C$68&gt;=12,F133,NA())</f>
        <v>#N/A</v>
      </c>
      <c r="G309" s="2" t="s">
        <v>702</v>
      </c>
    </row>
    <row r="310" spans="5:7">
      <c r="E310" s="2" t="e">
        <f>IF($C$68&gt;=12,E134-6*$C$69,NA())</f>
        <v>#N/A</v>
      </c>
      <c r="F310" s="2" t="e">
        <f>IF($C$68&gt;=12,F134,NA())</f>
        <v>#N/A</v>
      </c>
    </row>
    <row r="311" spans="5:7">
      <c r="E311" s="2" t="e">
        <f>IF($C$68&gt;=12,E135-6*$C$69,NA())</f>
        <v>#N/A</v>
      </c>
      <c r="F311" s="2" t="e">
        <f>IF($C$68&gt;=12,F135,NA())</f>
        <v>#N/A</v>
      </c>
    </row>
    <row r="312" spans="5:7">
      <c r="E312" s="2" t="e">
        <f>IF($C$68&gt;=12,E136-6*$C$69,NA())</f>
        <v>#N/A</v>
      </c>
      <c r="F312" s="2" t="e">
        <f>IF($C$68&gt;=12,F136,NA())</f>
        <v>#N/A</v>
      </c>
    </row>
    <row r="313" spans="5:7">
      <c r="E313" s="2" t="e">
        <f>IF($C$68&gt;=12,E137-6*$C$69,NA())</f>
        <v>#N/A</v>
      </c>
      <c r="F313" s="2" t="e">
        <f>IF($C$68&gt;=12,F137,NA())</f>
        <v>#N/A</v>
      </c>
    </row>
    <row r="315" spans="5:7">
      <c r="E315" s="2" t="e">
        <f t="shared" ref="E315:E323" si="20">IF($C$68&gt;=12,E139-6*$C$69,NA())</f>
        <v>#N/A</v>
      </c>
      <c r="F315" s="2" t="e">
        <f t="shared" ref="F315:F323" si="21">IF($C$68&gt;=12,F139,NA())</f>
        <v>#N/A</v>
      </c>
      <c r="G315" s="2" t="s">
        <v>702</v>
      </c>
    </row>
    <row r="316" spans="5:7">
      <c r="E316" s="2" t="e">
        <f t="shared" si="20"/>
        <v>#N/A</v>
      </c>
      <c r="F316" s="2" t="e">
        <f t="shared" si="21"/>
        <v>#N/A</v>
      </c>
    </row>
    <row r="317" spans="5:7">
      <c r="E317" s="2" t="e">
        <f t="shared" si="20"/>
        <v>#N/A</v>
      </c>
      <c r="F317" s="2" t="e">
        <f t="shared" si="21"/>
        <v>#N/A</v>
      </c>
    </row>
    <row r="318" spans="5:7">
      <c r="E318" s="2" t="e">
        <f t="shared" si="20"/>
        <v>#N/A</v>
      </c>
      <c r="F318" s="2" t="e">
        <f t="shared" si="21"/>
        <v>#N/A</v>
      </c>
    </row>
    <row r="319" spans="5:7">
      <c r="E319" s="2" t="e">
        <f t="shared" si="20"/>
        <v>#N/A</v>
      </c>
      <c r="F319" s="2" t="e">
        <f t="shared" si="21"/>
        <v>#N/A</v>
      </c>
    </row>
    <row r="320" spans="5:7">
      <c r="E320" s="2" t="e">
        <f t="shared" si="20"/>
        <v>#N/A</v>
      </c>
      <c r="F320" s="2" t="e">
        <f t="shared" si="21"/>
        <v>#N/A</v>
      </c>
    </row>
    <row r="321" spans="5:7">
      <c r="E321" s="2" t="e">
        <f t="shared" si="20"/>
        <v>#N/A</v>
      </c>
      <c r="F321" s="2" t="e">
        <f t="shared" si="21"/>
        <v>#N/A</v>
      </c>
    </row>
    <row r="322" spans="5:7">
      <c r="E322" s="2" t="e">
        <f t="shared" si="20"/>
        <v>#N/A</v>
      </c>
      <c r="F322" s="2" t="e">
        <f t="shared" si="21"/>
        <v>#N/A</v>
      </c>
    </row>
    <row r="323" spans="5:7">
      <c r="E323" s="2" t="e">
        <f t="shared" si="20"/>
        <v>#N/A</v>
      </c>
      <c r="F323" s="2" t="e">
        <f t="shared" si="21"/>
        <v>#N/A</v>
      </c>
    </row>
    <row r="325" spans="5:7">
      <c r="E325" s="2" t="e">
        <f>IF($C$68&gt;=13,E133+6*$C$69,NA())</f>
        <v>#N/A</v>
      </c>
      <c r="F325" s="2" t="e">
        <f>IF($C$68&gt;=13,F133,NA())</f>
        <v>#N/A</v>
      </c>
      <c r="G325" s="2" t="s">
        <v>702</v>
      </c>
    </row>
    <row r="326" spans="5:7">
      <c r="E326" s="2" t="e">
        <f>IF($C$68&gt;=13,E134+6*$C$69,NA())</f>
        <v>#N/A</v>
      </c>
      <c r="F326" s="2" t="e">
        <f>IF($C$68&gt;=13,F134,NA())</f>
        <v>#N/A</v>
      </c>
    </row>
    <row r="327" spans="5:7">
      <c r="E327" s="2" t="e">
        <f>IF($C$68&gt;=13,E135+6*$C$69,NA())</f>
        <v>#N/A</v>
      </c>
      <c r="F327" s="2" t="e">
        <f>IF($C$68&gt;=13,F135,NA())</f>
        <v>#N/A</v>
      </c>
    </row>
    <row r="328" spans="5:7">
      <c r="E328" s="2" t="e">
        <f>IF($C$68&gt;=13,E136+6*$C$69,NA())</f>
        <v>#N/A</v>
      </c>
      <c r="F328" s="2" t="e">
        <f>IF($C$68&gt;=13,F136,NA())</f>
        <v>#N/A</v>
      </c>
    </row>
    <row r="329" spans="5:7">
      <c r="E329" s="2" t="e">
        <f>IF($C$68&gt;=13,E137+6*$C$69,NA())</f>
        <v>#N/A</v>
      </c>
      <c r="F329" s="2" t="e">
        <f>IF($C$68&gt;=13,F137,NA())</f>
        <v>#N/A</v>
      </c>
    </row>
    <row r="331" spans="5:7">
      <c r="E331" s="2" t="e">
        <f t="shared" ref="E331:E339" si="22">IF($C$68&gt;=13,E139+6*$C$69,NA())</f>
        <v>#N/A</v>
      </c>
      <c r="F331" s="2" t="e">
        <f t="shared" ref="F331:F339" si="23">IF($C$68&gt;=13,F139,NA())</f>
        <v>#N/A</v>
      </c>
      <c r="G331" s="2" t="s">
        <v>702</v>
      </c>
    </row>
    <row r="332" spans="5:7">
      <c r="E332" s="2" t="e">
        <f t="shared" si="22"/>
        <v>#N/A</v>
      </c>
      <c r="F332" s="2" t="e">
        <f t="shared" si="23"/>
        <v>#N/A</v>
      </c>
    </row>
    <row r="333" spans="5:7">
      <c r="E333" s="2" t="e">
        <f t="shared" si="22"/>
        <v>#N/A</v>
      </c>
      <c r="F333" s="2" t="e">
        <f t="shared" si="23"/>
        <v>#N/A</v>
      </c>
    </row>
    <row r="334" spans="5:7">
      <c r="E334" s="2" t="e">
        <f t="shared" si="22"/>
        <v>#N/A</v>
      </c>
      <c r="F334" s="2" t="e">
        <f t="shared" si="23"/>
        <v>#N/A</v>
      </c>
    </row>
    <row r="335" spans="5:7">
      <c r="E335" s="2" t="e">
        <f t="shared" si="22"/>
        <v>#N/A</v>
      </c>
      <c r="F335" s="2" t="e">
        <f t="shared" si="23"/>
        <v>#N/A</v>
      </c>
    </row>
    <row r="336" spans="5:7">
      <c r="E336" s="2" t="e">
        <f t="shared" si="22"/>
        <v>#N/A</v>
      </c>
      <c r="F336" s="2" t="e">
        <f t="shared" si="23"/>
        <v>#N/A</v>
      </c>
    </row>
    <row r="337" spans="5:7">
      <c r="E337" s="2" t="e">
        <f t="shared" si="22"/>
        <v>#N/A</v>
      </c>
      <c r="F337" s="2" t="e">
        <f t="shared" si="23"/>
        <v>#N/A</v>
      </c>
    </row>
    <row r="338" spans="5:7">
      <c r="E338" s="2" t="e">
        <f t="shared" si="22"/>
        <v>#N/A</v>
      </c>
      <c r="F338" s="2" t="e">
        <f t="shared" si="23"/>
        <v>#N/A</v>
      </c>
    </row>
    <row r="339" spans="5:7">
      <c r="E339" s="2" t="e">
        <f t="shared" si="22"/>
        <v>#N/A</v>
      </c>
      <c r="F339" s="2" t="e">
        <f t="shared" si="23"/>
        <v>#N/A</v>
      </c>
    </row>
    <row r="341" spans="5:7">
      <c r="E341" s="2" t="e">
        <f>IF($C$68&gt;=14,E133-7*$C$69,NA())</f>
        <v>#N/A</v>
      </c>
      <c r="F341" s="2" t="e">
        <f>IF($C$68&gt;=14,F133,NA())</f>
        <v>#N/A</v>
      </c>
      <c r="G341" s="2" t="s">
        <v>702</v>
      </c>
    </row>
    <row r="342" spans="5:7">
      <c r="E342" s="2" t="e">
        <f>IF($C$68&gt;=14,E134-7*$C$69,NA())</f>
        <v>#N/A</v>
      </c>
      <c r="F342" s="2" t="e">
        <f>IF($C$68&gt;=14,F134,NA())</f>
        <v>#N/A</v>
      </c>
    </row>
    <row r="343" spans="5:7">
      <c r="E343" s="2" t="e">
        <f>IF($C$68&gt;=14,E135-7*$C$69,NA())</f>
        <v>#N/A</v>
      </c>
      <c r="F343" s="2" t="e">
        <f>IF($C$68&gt;=14,F135,NA())</f>
        <v>#N/A</v>
      </c>
    </row>
    <row r="344" spans="5:7">
      <c r="E344" s="2" t="e">
        <f>IF($C$68&gt;=14,E136-7*$C$69,NA())</f>
        <v>#N/A</v>
      </c>
      <c r="F344" s="2" t="e">
        <f>IF($C$68&gt;=14,F136,NA())</f>
        <v>#N/A</v>
      </c>
    </row>
    <row r="345" spans="5:7">
      <c r="E345" s="2" t="e">
        <f>IF($C$68&gt;=14,E137-7*$C$69,NA())</f>
        <v>#N/A</v>
      </c>
      <c r="F345" s="2" t="e">
        <f>IF($C$68&gt;=14,F137,NA())</f>
        <v>#N/A</v>
      </c>
    </row>
    <row r="347" spans="5:7">
      <c r="E347" s="2" t="e">
        <f t="shared" ref="E347:E355" si="24">IF($C$68&gt;=14,E139-7*$C$69,NA())</f>
        <v>#N/A</v>
      </c>
      <c r="F347" s="2" t="e">
        <f t="shared" ref="F347:F355" si="25">IF($C$68&gt;=14,F139,NA())</f>
        <v>#N/A</v>
      </c>
      <c r="G347" s="2" t="s">
        <v>702</v>
      </c>
    </row>
    <row r="348" spans="5:7">
      <c r="E348" s="2" t="e">
        <f t="shared" si="24"/>
        <v>#N/A</v>
      </c>
      <c r="F348" s="2" t="e">
        <f t="shared" si="25"/>
        <v>#N/A</v>
      </c>
    </row>
    <row r="349" spans="5:7">
      <c r="E349" s="2" t="e">
        <f t="shared" si="24"/>
        <v>#N/A</v>
      </c>
      <c r="F349" s="2" t="e">
        <f t="shared" si="25"/>
        <v>#N/A</v>
      </c>
    </row>
    <row r="350" spans="5:7">
      <c r="E350" s="2" t="e">
        <f t="shared" si="24"/>
        <v>#N/A</v>
      </c>
      <c r="F350" s="2" t="e">
        <f t="shared" si="25"/>
        <v>#N/A</v>
      </c>
    </row>
    <row r="351" spans="5:7">
      <c r="E351" s="2" t="e">
        <f t="shared" si="24"/>
        <v>#N/A</v>
      </c>
      <c r="F351" s="2" t="e">
        <f t="shared" si="25"/>
        <v>#N/A</v>
      </c>
    </row>
    <row r="352" spans="5:7">
      <c r="E352" s="2" t="e">
        <f t="shared" si="24"/>
        <v>#N/A</v>
      </c>
      <c r="F352" s="2" t="e">
        <f t="shared" si="25"/>
        <v>#N/A</v>
      </c>
    </row>
    <row r="353" spans="5:7">
      <c r="E353" s="2" t="e">
        <f t="shared" si="24"/>
        <v>#N/A</v>
      </c>
      <c r="F353" s="2" t="e">
        <f t="shared" si="25"/>
        <v>#N/A</v>
      </c>
    </row>
    <row r="354" spans="5:7">
      <c r="E354" s="2" t="e">
        <f t="shared" si="24"/>
        <v>#N/A</v>
      </c>
      <c r="F354" s="2" t="e">
        <f t="shared" si="25"/>
        <v>#N/A</v>
      </c>
    </row>
    <row r="355" spans="5:7">
      <c r="E355" s="2" t="e">
        <f t="shared" si="24"/>
        <v>#N/A</v>
      </c>
      <c r="F355" s="2" t="e">
        <f t="shared" si="25"/>
        <v>#N/A</v>
      </c>
    </row>
    <row r="357" spans="5:7">
      <c r="E357" s="2" t="e">
        <f>IF($C$68&gt;=15,E133+7*$C$69,NA())</f>
        <v>#N/A</v>
      </c>
      <c r="F357" s="2" t="e">
        <f>IF($C$68&gt;=15,F133,NA())</f>
        <v>#N/A</v>
      </c>
      <c r="G357" s="2" t="s">
        <v>702</v>
      </c>
    </row>
    <row r="358" spans="5:7">
      <c r="E358" s="2" t="e">
        <f>IF($C$68&gt;=15,E134+7*$C$69,NA())</f>
        <v>#N/A</v>
      </c>
      <c r="F358" s="2" t="e">
        <f>IF($C$68&gt;=15,F134,NA())</f>
        <v>#N/A</v>
      </c>
    </row>
    <row r="359" spans="5:7">
      <c r="E359" s="2" t="e">
        <f>IF($C$68&gt;=15,E135+7*$C$69,NA())</f>
        <v>#N/A</v>
      </c>
      <c r="F359" s="2" t="e">
        <f>IF($C$68&gt;=15,F135,NA())</f>
        <v>#N/A</v>
      </c>
    </row>
    <row r="360" spans="5:7">
      <c r="E360" s="2" t="e">
        <f>IF($C$68&gt;=15,E136+7*$C$69,NA())</f>
        <v>#N/A</v>
      </c>
      <c r="F360" s="2" t="e">
        <f>IF($C$68&gt;=15,F136,NA())</f>
        <v>#N/A</v>
      </c>
    </row>
    <row r="361" spans="5:7">
      <c r="E361" s="2" t="e">
        <f>IF($C$68&gt;=15,E137+7*$C$69,NA())</f>
        <v>#N/A</v>
      </c>
      <c r="F361" s="2" t="e">
        <f>IF($C$68&gt;=15,F137,NA())</f>
        <v>#N/A</v>
      </c>
    </row>
    <row r="363" spans="5:7">
      <c r="E363" s="2" t="e">
        <f t="shared" ref="E363:E371" si="26">IF($C$68&gt;=15,E139+7*$C$69,NA())</f>
        <v>#N/A</v>
      </c>
      <c r="F363" s="2" t="e">
        <f t="shared" ref="F363:F371" si="27">IF($C$68&gt;=15,F139,NA())</f>
        <v>#N/A</v>
      </c>
      <c r="G363" s="2" t="s">
        <v>702</v>
      </c>
    </row>
    <row r="364" spans="5:7">
      <c r="E364" s="2" t="e">
        <f t="shared" si="26"/>
        <v>#N/A</v>
      </c>
      <c r="F364" s="2" t="e">
        <f t="shared" si="27"/>
        <v>#N/A</v>
      </c>
    </row>
    <row r="365" spans="5:7">
      <c r="E365" s="2" t="e">
        <f t="shared" si="26"/>
        <v>#N/A</v>
      </c>
      <c r="F365" s="2" t="e">
        <f t="shared" si="27"/>
        <v>#N/A</v>
      </c>
    </row>
    <row r="366" spans="5:7">
      <c r="E366" s="2" t="e">
        <f t="shared" si="26"/>
        <v>#N/A</v>
      </c>
      <c r="F366" s="2" t="e">
        <f t="shared" si="27"/>
        <v>#N/A</v>
      </c>
    </row>
    <row r="367" spans="5:7">
      <c r="E367" s="2" t="e">
        <f t="shared" si="26"/>
        <v>#N/A</v>
      </c>
      <c r="F367" s="2" t="e">
        <f t="shared" si="27"/>
        <v>#N/A</v>
      </c>
    </row>
    <row r="368" spans="5:7">
      <c r="E368" s="2" t="e">
        <f t="shared" si="26"/>
        <v>#N/A</v>
      </c>
      <c r="F368" s="2" t="e">
        <f t="shared" si="27"/>
        <v>#N/A</v>
      </c>
    </row>
    <row r="369" spans="5:7">
      <c r="E369" s="2" t="e">
        <f t="shared" si="26"/>
        <v>#N/A</v>
      </c>
      <c r="F369" s="2" t="e">
        <f t="shared" si="27"/>
        <v>#N/A</v>
      </c>
    </row>
    <row r="370" spans="5:7">
      <c r="E370" s="2" t="e">
        <f t="shared" si="26"/>
        <v>#N/A</v>
      </c>
      <c r="F370" s="2" t="e">
        <f t="shared" si="27"/>
        <v>#N/A</v>
      </c>
    </row>
    <row r="371" spans="5:7">
      <c r="E371" s="2" t="e">
        <f t="shared" si="26"/>
        <v>#N/A</v>
      </c>
      <c r="F371" s="2" t="e">
        <f t="shared" si="27"/>
        <v>#N/A</v>
      </c>
    </row>
    <row r="373" spans="5:7">
      <c r="E373" s="2" t="e">
        <f>IF($C$68&gt;=16,E133-8*$C$69,NA())</f>
        <v>#N/A</v>
      </c>
      <c r="F373" s="2" t="e">
        <f>IF($C$68&gt;=16,F133,NA())</f>
        <v>#N/A</v>
      </c>
      <c r="G373" s="2" t="s">
        <v>702</v>
      </c>
    </row>
    <row r="374" spans="5:7">
      <c r="E374" s="2" t="e">
        <f>IF($C$68&gt;=16,E134-8*$C$69,NA())</f>
        <v>#N/A</v>
      </c>
      <c r="F374" s="2" t="e">
        <f>IF($C$68&gt;=16,F134,NA())</f>
        <v>#N/A</v>
      </c>
    </row>
    <row r="375" spans="5:7">
      <c r="E375" s="2" t="e">
        <f>IF($C$68&gt;=16,E135-8*$C$69,NA())</f>
        <v>#N/A</v>
      </c>
      <c r="F375" s="2" t="e">
        <f>IF($C$68&gt;=16,F135,NA())</f>
        <v>#N/A</v>
      </c>
    </row>
    <row r="376" spans="5:7">
      <c r="E376" s="2" t="e">
        <f>IF($C$68&gt;=16,E136-8*$C$69,NA())</f>
        <v>#N/A</v>
      </c>
      <c r="F376" s="2" t="e">
        <f>IF($C$68&gt;=16,F136,NA())</f>
        <v>#N/A</v>
      </c>
    </row>
    <row r="377" spans="5:7">
      <c r="E377" s="2" t="e">
        <f>IF($C$68&gt;=16,E137-8*$C$69,NA())</f>
        <v>#N/A</v>
      </c>
      <c r="F377" s="2" t="e">
        <f>IF($C$68&gt;=16,F137,NA())</f>
        <v>#N/A</v>
      </c>
    </row>
    <row r="379" spans="5:7">
      <c r="E379" s="2" t="e">
        <f t="shared" ref="E379:E387" si="28">IF($C$68&gt;=16,E139-8*$C$69,NA())</f>
        <v>#N/A</v>
      </c>
      <c r="F379" s="2" t="e">
        <f t="shared" ref="F379:F387" si="29">IF($C$68&gt;=16,F139,NA())</f>
        <v>#N/A</v>
      </c>
      <c r="G379" s="2" t="s">
        <v>702</v>
      </c>
    </row>
    <row r="380" spans="5:7">
      <c r="E380" s="2" t="e">
        <f t="shared" si="28"/>
        <v>#N/A</v>
      </c>
      <c r="F380" s="2" t="e">
        <f t="shared" si="29"/>
        <v>#N/A</v>
      </c>
    </row>
    <row r="381" spans="5:7">
      <c r="E381" s="2" t="e">
        <f t="shared" si="28"/>
        <v>#N/A</v>
      </c>
      <c r="F381" s="2" t="e">
        <f t="shared" si="29"/>
        <v>#N/A</v>
      </c>
    </row>
    <row r="382" spans="5:7">
      <c r="E382" s="2" t="e">
        <f t="shared" si="28"/>
        <v>#N/A</v>
      </c>
      <c r="F382" s="2" t="e">
        <f t="shared" si="29"/>
        <v>#N/A</v>
      </c>
    </row>
    <row r="383" spans="5:7">
      <c r="E383" s="2" t="e">
        <f t="shared" si="28"/>
        <v>#N/A</v>
      </c>
      <c r="F383" s="2" t="e">
        <f t="shared" si="29"/>
        <v>#N/A</v>
      </c>
    </row>
    <row r="384" spans="5:7">
      <c r="E384" s="2" t="e">
        <f t="shared" si="28"/>
        <v>#N/A</v>
      </c>
      <c r="F384" s="2" t="e">
        <f t="shared" si="29"/>
        <v>#N/A</v>
      </c>
    </row>
    <row r="385" spans="5:7">
      <c r="E385" s="2" t="e">
        <f t="shared" si="28"/>
        <v>#N/A</v>
      </c>
      <c r="F385" s="2" t="e">
        <f t="shared" si="29"/>
        <v>#N/A</v>
      </c>
    </row>
    <row r="386" spans="5:7">
      <c r="E386" s="2" t="e">
        <f t="shared" si="28"/>
        <v>#N/A</v>
      </c>
      <c r="F386" s="2" t="e">
        <f t="shared" si="29"/>
        <v>#N/A</v>
      </c>
    </row>
    <row r="387" spans="5:7">
      <c r="E387" s="2" t="e">
        <f t="shared" si="28"/>
        <v>#N/A</v>
      </c>
      <c r="F387" s="2" t="e">
        <f t="shared" si="29"/>
        <v>#N/A</v>
      </c>
    </row>
    <row r="389" spans="5:7">
      <c r="E389" s="2" t="e">
        <f>IF($C$68&gt;=17,E133+8*$C$69,NA())</f>
        <v>#N/A</v>
      </c>
      <c r="F389" s="2" t="e">
        <f>IF($C$68&gt;=17,F133,NA())</f>
        <v>#N/A</v>
      </c>
      <c r="G389" s="2" t="s">
        <v>702</v>
      </c>
    </row>
    <row r="390" spans="5:7">
      <c r="E390" s="2" t="e">
        <f>IF($C$68&gt;=17,E134+8*$C$69,NA())</f>
        <v>#N/A</v>
      </c>
      <c r="F390" s="2" t="e">
        <f>IF($C$68&gt;=17,F134,NA())</f>
        <v>#N/A</v>
      </c>
    </row>
    <row r="391" spans="5:7">
      <c r="E391" s="2" t="e">
        <f>IF($C$68&gt;=17,E135+8*$C$69,NA())</f>
        <v>#N/A</v>
      </c>
      <c r="F391" s="2" t="e">
        <f>IF($C$68&gt;=17,F135,NA())</f>
        <v>#N/A</v>
      </c>
    </row>
    <row r="392" spans="5:7">
      <c r="E392" s="2" t="e">
        <f>IF($C$68&gt;=17,E136+8*$C$69,NA())</f>
        <v>#N/A</v>
      </c>
      <c r="F392" s="2" t="e">
        <f>IF($C$68&gt;=17,F136,NA())</f>
        <v>#N/A</v>
      </c>
    </row>
    <row r="393" spans="5:7">
      <c r="E393" s="2" t="e">
        <f>IF($C$68&gt;=17,E137+8*$C$69,NA())</f>
        <v>#N/A</v>
      </c>
      <c r="F393" s="2" t="e">
        <f>IF($C$68&gt;=17,F137,NA())</f>
        <v>#N/A</v>
      </c>
    </row>
    <row r="395" spans="5:7">
      <c r="E395" s="2" t="e">
        <f t="shared" ref="E395:E403" si="30">IF($C$68&gt;=17,E139+8*$C$69,NA())</f>
        <v>#N/A</v>
      </c>
      <c r="F395" s="2" t="e">
        <f t="shared" ref="F395:F403" si="31">IF($C$68&gt;=17,F139,NA())</f>
        <v>#N/A</v>
      </c>
      <c r="G395" s="2" t="s">
        <v>702</v>
      </c>
    </row>
    <row r="396" spans="5:7">
      <c r="E396" s="2" t="e">
        <f t="shared" si="30"/>
        <v>#N/A</v>
      </c>
      <c r="F396" s="2" t="e">
        <f t="shared" si="31"/>
        <v>#N/A</v>
      </c>
    </row>
    <row r="397" spans="5:7">
      <c r="E397" s="2" t="e">
        <f t="shared" si="30"/>
        <v>#N/A</v>
      </c>
      <c r="F397" s="2" t="e">
        <f t="shared" si="31"/>
        <v>#N/A</v>
      </c>
    </row>
    <row r="398" spans="5:7">
      <c r="E398" s="2" t="e">
        <f t="shared" si="30"/>
        <v>#N/A</v>
      </c>
      <c r="F398" s="2" t="e">
        <f t="shared" si="31"/>
        <v>#N/A</v>
      </c>
    </row>
    <row r="399" spans="5:7">
      <c r="E399" s="2" t="e">
        <f t="shared" si="30"/>
        <v>#N/A</v>
      </c>
      <c r="F399" s="2" t="e">
        <f t="shared" si="31"/>
        <v>#N/A</v>
      </c>
    </row>
    <row r="400" spans="5:7">
      <c r="E400" s="2" t="e">
        <f t="shared" si="30"/>
        <v>#N/A</v>
      </c>
      <c r="F400" s="2" t="e">
        <f t="shared" si="31"/>
        <v>#N/A</v>
      </c>
    </row>
    <row r="401" spans="5:7">
      <c r="E401" s="2" t="e">
        <f t="shared" si="30"/>
        <v>#N/A</v>
      </c>
      <c r="F401" s="2" t="e">
        <f t="shared" si="31"/>
        <v>#N/A</v>
      </c>
    </row>
    <row r="402" spans="5:7">
      <c r="E402" s="2" t="e">
        <f t="shared" si="30"/>
        <v>#N/A</v>
      </c>
      <c r="F402" s="2" t="e">
        <f t="shared" si="31"/>
        <v>#N/A</v>
      </c>
    </row>
    <row r="403" spans="5:7">
      <c r="E403" s="2" t="e">
        <f t="shared" si="30"/>
        <v>#N/A</v>
      </c>
      <c r="F403" s="2" t="e">
        <f t="shared" si="31"/>
        <v>#N/A</v>
      </c>
    </row>
    <row r="405" spans="5:7">
      <c r="E405" s="2" t="e">
        <f>IF($C$68&gt;=18,E133-9*$C$69,NA())</f>
        <v>#N/A</v>
      </c>
      <c r="F405" s="2" t="e">
        <f>IF($C$68&gt;=18,F133,NA())</f>
        <v>#N/A</v>
      </c>
      <c r="G405" s="2" t="s">
        <v>702</v>
      </c>
    </row>
    <row r="406" spans="5:7">
      <c r="E406" s="2" t="e">
        <f>IF($C$68&gt;=18,E134-9*$C$69,NA())</f>
        <v>#N/A</v>
      </c>
      <c r="F406" s="2" t="e">
        <f>IF($C$68&gt;=18,F134,NA())</f>
        <v>#N/A</v>
      </c>
    </row>
    <row r="407" spans="5:7">
      <c r="E407" s="2" t="e">
        <f>IF($C$68&gt;=18,E135-9*$C$69,NA())</f>
        <v>#N/A</v>
      </c>
      <c r="F407" s="2" t="e">
        <f>IF($C$68&gt;=18,F135,NA())</f>
        <v>#N/A</v>
      </c>
    </row>
    <row r="408" spans="5:7">
      <c r="E408" s="2" t="e">
        <f>IF($C$68&gt;=18,E136-9*$C$69,NA())</f>
        <v>#N/A</v>
      </c>
      <c r="F408" s="2" t="e">
        <f>IF($C$68&gt;=18,F136,NA())</f>
        <v>#N/A</v>
      </c>
    </row>
    <row r="409" spans="5:7">
      <c r="E409" s="2" t="e">
        <f>IF($C$68&gt;=18,E137-9*$C$69,NA())</f>
        <v>#N/A</v>
      </c>
      <c r="F409" s="2" t="e">
        <f>IF($C$68&gt;=18,F137,NA())</f>
        <v>#N/A</v>
      </c>
    </row>
    <row r="411" spans="5:7">
      <c r="E411" s="2" t="e">
        <f t="shared" ref="E411:E419" si="32">IF($C$68&gt;=18,E139-9*$C$69,NA())</f>
        <v>#N/A</v>
      </c>
      <c r="F411" s="2" t="e">
        <f t="shared" ref="F411:F419" si="33">IF($C$68&gt;=18,F139,NA())</f>
        <v>#N/A</v>
      </c>
      <c r="G411" s="2" t="s">
        <v>702</v>
      </c>
    </row>
    <row r="412" spans="5:7">
      <c r="E412" s="2" t="e">
        <f t="shared" si="32"/>
        <v>#N/A</v>
      </c>
      <c r="F412" s="2" t="e">
        <f t="shared" si="33"/>
        <v>#N/A</v>
      </c>
    </row>
    <row r="413" spans="5:7">
      <c r="E413" s="2" t="e">
        <f t="shared" si="32"/>
        <v>#N/A</v>
      </c>
      <c r="F413" s="2" t="e">
        <f t="shared" si="33"/>
        <v>#N/A</v>
      </c>
    </row>
    <row r="414" spans="5:7">
      <c r="E414" s="2" t="e">
        <f t="shared" si="32"/>
        <v>#N/A</v>
      </c>
      <c r="F414" s="2" t="e">
        <f t="shared" si="33"/>
        <v>#N/A</v>
      </c>
    </row>
    <row r="415" spans="5:7">
      <c r="E415" s="2" t="e">
        <f t="shared" si="32"/>
        <v>#N/A</v>
      </c>
      <c r="F415" s="2" t="e">
        <f t="shared" si="33"/>
        <v>#N/A</v>
      </c>
    </row>
    <row r="416" spans="5:7">
      <c r="E416" s="2" t="e">
        <f t="shared" si="32"/>
        <v>#N/A</v>
      </c>
      <c r="F416" s="2" t="e">
        <f t="shared" si="33"/>
        <v>#N/A</v>
      </c>
    </row>
    <row r="417" spans="5:7">
      <c r="E417" s="2" t="e">
        <f t="shared" si="32"/>
        <v>#N/A</v>
      </c>
      <c r="F417" s="2" t="e">
        <f t="shared" si="33"/>
        <v>#N/A</v>
      </c>
    </row>
    <row r="418" spans="5:7">
      <c r="E418" s="2" t="e">
        <f t="shared" si="32"/>
        <v>#N/A</v>
      </c>
      <c r="F418" s="2" t="e">
        <f t="shared" si="33"/>
        <v>#N/A</v>
      </c>
    </row>
    <row r="419" spans="5:7">
      <c r="E419" s="2" t="e">
        <f t="shared" si="32"/>
        <v>#N/A</v>
      </c>
      <c r="F419" s="2" t="e">
        <f t="shared" si="33"/>
        <v>#N/A</v>
      </c>
    </row>
    <row r="421" spans="5:7">
      <c r="E421" s="2" t="e">
        <f>IF($C$68&gt;=19,E133+9*$C$69,NA())</f>
        <v>#N/A</v>
      </c>
      <c r="F421" s="2" t="e">
        <f>IF($C$68&gt;=19,F133,NA())</f>
        <v>#N/A</v>
      </c>
      <c r="G421" s="2" t="s">
        <v>702</v>
      </c>
    </row>
    <row r="422" spans="5:7">
      <c r="E422" s="2" t="e">
        <f>IF($C$68&gt;=19,E134+9*$C$69,NA())</f>
        <v>#N/A</v>
      </c>
      <c r="F422" s="2" t="e">
        <f>IF($C$68&gt;=19,F134,NA())</f>
        <v>#N/A</v>
      </c>
    </row>
    <row r="423" spans="5:7">
      <c r="E423" s="2" t="e">
        <f>IF($C$68&gt;=19,E135+9*$C$69,NA())</f>
        <v>#N/A</v>
      </c>
      <c r="F423" s="2" t="e">
        <f>IF($C$68&gt;=19,F135,NA())</f>
        <v>#N/A</v>
      </c>
    </row>
    <row r="424" spans="5:7">
      <c r="E424" s="2" t="e">
        <f>IF($C$68&gt;=19,E136+9*$C$69,NA())</f>
        <v>#N/A</v>
      </c>
      <c r="F424" s="2" t="e">
        <f>IF($C$68&gt;=19,F136,NA())</f>
        <v>#N/A</v>
      </c>
    </row>
    <row r="425" spans="5:7">
      <c r="E425" s="2" t="e">
        <f>IF($C$68&gt;=19,E137+9*$C$69,NA())</f>
        <v>#N/A</v>
      </c>
      <c r="F425" s="2" t="e">
        <f>IF($C$68&gt;=19,F137,NA())</f>
        <v>#N/A</v>
      </c>
    </row>
    <row r="427" spans="5:7">
      <c r="E427" s="2" t="e">
        <f t="shared" ref="E427:E435" si="34">IF($C$68&gt;=19,E139+9*$C$69,NA())</f>
        <v>#N/A</v>
      </c>
      <c r="F427" s="2" t="e">
        <f t="shared" ref="F427:F435" si="35">IF($C$68&gt;=19,F139,NA())</f>
        <v>#N/A</v>
      </c>
      <c r="G427" s="2" t="s">
        <v>702</v>
      </c>
    </row>
    <row r="428" spans="5:7">
      <c r="E428" s="2" t="e">
        <f t="shared" si="34"/>
        <v>#N/A</v>
      </c>
      <c r="F428" s="2" t="e">
        <f t="shared" si="35"/>
        <v>#N/A</v>
      </c>
    </row>
    <row r="429" spans="5:7">
      <c r="E429" s="2" t="e">
        <f t="shared" si="34"/>
        <v>#N/A</v>
      </c>
      <c r="F429" s="2" t="e">
        <f t="shared" si="35"/>
        <v>#N/A</v>
      </c>
    </row>
    <row r="430" spans="5:7">
      <c r="E430" s="2" t="e">
        <f t="shared" si="34"/>
        <v>#N/A</v>
      </c>
      <c r="F430" s="2" t="e">
        <f t="shared" si="35"/>
        <v>#N/A</v>
      </c>
    </row>
    <row r="431" spans="5:7">
      <c r="E431" s="2" t="e">
        <f t="shared" si="34"/>
        <v>#N/A</v>
      </c>
      <c r="F431" s="2" t="e">
        <f t="shared" si="35"/>
        <v>#N/A</v>
      </c>
    </row>
    <row r="432" spans="5:7">
      <c r="E432" s="2" t="e">
        <f t="shared" si="34"/>
        <v>#N/A</v>
      </c>
      <c r="F432" s="2" t="e">
        <f t="shared" si="35"/>
        <v>#N/A</v>
      </c>
    </row>
    <row r="433" spans="5:7">
      <c r="E433" s="2" t="e">
        <f t="shared" si="34"/>
        <v>#N/A</v>
      </c>
      <c r="F433" s="2" t="e">
        <f t="shared" si="35"/>
        <v>#N/A</v>
      </c>
    </row>
    <row r="434" spans="5:7">
      <c r="E434" s="2" t="e">
        <f t="shared" si="34"/>
        <v>#N/A</v>
      </c>
      <c r="F434" s="2" t="e">
        <f t="shared" si="35"/>
        <v>#N/A</v>
      </c>
    </row>
    <row r="435" spans="5:7">
      <c r="E435" s="2" t="e">
        <f t="shared" si="34"/>
        <v>#N/A</v>
      </c>
      <c r="F435" s="2" t="e">
        <f t="shared" si="35"/>
        <v>#N/A</v>
      </c>
    </row>
    <row r="437" spans="5:7">
      <c r="E437" s="2" t="e">
        <f>IF($C$68&gt;=20,E133-10*$C$69,NA())</f>
        <v>#N/A</v>
      </c>
      <c r="F437" s="2" t="e">
        <f>IF($C$68&gt;=20,F133,NA())</f>
        <v>#N/A</v>
      </c>
      <c r="G437" s="2" t="s">
        <v>702</v>
      </c>
    </row>
    <row r="438" spans="5:7">
      <c r="E438" s="2" t="e">
        <f>IF($C$68&gt;=20,E134-10*$C$69,NA())</f>
        <v>#N/A</v>
      </c>
      <c r="F438" s="2" t="e">
        <f>IF($C$68&gt;=20,F134,NA())</f>
        <v>#N/A</v>
      </c>
    </row>
    <row r="439" spans="5:7">
      <c r="E439" s="2" t="e">
        <f>IF($C$68&gt;=20,E135-10*$C$69,NA())</f>
        <v>#N/A</v>
      </c>
      <c r="F439" s="2" t="e">
        <f>IF($C$68&gt;=20,F135,NA())</f>
        <v>#N/A</v>
      </c>
    </row>
    <row r="440" spans="5:7">
      <c r="E440" s="2" t="e">
        <f>IF($C$68&gt;=20,E136-10*$C$69,NA())</f>
        <v>#N/A</v>
      </c>
      <c r="F440" s="2" t="e">
        <f>IF($C$68&gt;=20,F136,NA())</f>
        <v>#N/A</v>
      </c>
    </row>
    <row r="441" spans="5:7">
      <c r="E441" s="2" t="e">
        <f>IF($C$68&gt;=20,E137-10*$C$69,NA())</f>
        <v>#N/A</v>
      </c>
      <c r="F441" s="2" t="e">
        <f>IF($C$68&gt;=20,F137,NA())</f>
        <v>#N/A</v>
      </c>
    </row>
    <row r="443" spans="5:7">
      <c r="E443" s="2" t="e">
        <f t="shared" ref="E443:E451" si="36">IF($C$68&gt;=20,E139-10*$C$69,NA())</f>
        <v>#N/A</v>
      </c>
      <c r="F443" s="2" t="e">
        <f t="shared" ref="F443:F451" si="37">IF($C$68&gt;=20,F139,NA())</f>
        <v>#N/A</v>
      </c>
      <c r="G443" s="2" t="s">
        <v>702</v>
      </c>
    </row>
    <row r="444" spans="5:7">
      <c r="E444" s="2" t="e">
        <f t="shared" si="36"/>
        <v>#N/A</v>
      </c>
      <c r="F444" s="2" t="e">
        <f t="shared" si="37"/>
        <v>#N/A</v>
      </c>
    </row>
    <row r="445" spans="5:7">
      <c r="E445" s="2" t="e">
        <f t="shared" si="36"/>
        <v>#N/A</v>
      </c>
      <c r="F445" s="2" t="e">
        <f t="shared" si="37"/>
        <v>#N/A</v>
      </c>
    </row>
    <row r="446" spans="5:7">
      <c r="E446" s="2" t="e">
        <f t="shared" si="36"/>
        <v>#N/A</v>
      </c>
      <c r="F446" s="2" t="e">
        <f t="shared" si="37"/>
        <v>#N/A</v>
      </c>
    </row>
    <row r="447" spans="5:7">
      <c r="E447" s="2" t="e">
        <f t="shared" si="36"/>
        <v>#N/A</v>
      </c>
      <c r="F447" s="2" t="e">
        <f t="shared" si="37"/>
        <v>#N/A</v>
      </c>
    </row>
    <row r="448" spans="5:7">
      <c r="E448" s="2" t="e">
        <f t="shared" si="36"/>
        <v>#N/A</v>
      </c>
      <c r="F448" s="2" t="e">
        <f t="shared" si="37"/>
        <v>#N/A</v>
      </c>
    </row>
    <row r="449" spans="5:7">
      <c r="E449" s="2" t="e">
        <f t="shared" si="36"/>
        <v>#N/A</v>
      </c>
      <c r="F449" s="2" t="e">
        <f t="shared" si="37"/>
        <v>#N/A</v>
      </c>
    </row>
    <row r="450" spans="5:7">
      <c r="E450" s="2" t="e">
        <f t="shared" si="36"/>
        <v>#N/A</v>
      </c>
      <c r="F450" s="2" t="e">
        <f t="shared" si="37"/>
        <v>#N/A</v>
      </c>
    </row>
    <row r="451" spans="5:7">
      <c r="E451" s="2" t="e">
        <f t="shared" si="36"/>
        <v>#N/A</v>
      </c>
      <c r="F451" s="2" t="e">
        <f t="shared" si="37"/>
        <v>#N/A</v>
      </c>
    </row>
    <row r="453" spans="5:7">
      <c r="E453" s="2" t="e">
        <f>IF($C$68&gt;=21,E133+10*$C$69,NA())</f>
        <v>#N/A</v>
      </c>
      <c r="F453" s="2" t="e">
        <f>IF($C$68&gt;=21,F133,NA())</f>
        <v>#N/A</v>
      </c>
      <c r="G453" s="2" t="s">
        <v>702</v>
      </c>
    </row>
    <row r="454" spans="5:7">
      <c r="E454" s="2" t="e">
        <f>IF($C$68&gt;=21,E134+10*$C$69,NA())</f>
        <v>#N/A</v>
      </c>
      <c r="F454" s="2" t="e">
        <f>IF($C$68&gt;=21,F134,NA())</f>
        <v>#N/A</v>
      </c>
    </row>
    <row r="455" spans="5:7">
      <c r="E455" s="2" t="e">
        <f>IF($C$68&gt;=21,E135+10*$C$69,NA())</f>
        <v>#N/A</v>
      </c>
      <c r="F455" s="2" t="e">
        <f>IF($C$68&gt;=21,F135,NA())</f>
        <v>#N/A</v>
      </c>
    </row>
    <row r="456" spans="5:7">
      <c r="E456" s="2" t="e">
        <f>IF($C$68&gt;=21,E136+10*$C$69,NA())</f>
        <v>#N/A</v>
      </c>
      <c r="F456" s="2" t="e">
        <f>IF($C$68&gt;=21,F136,NA())</f>
        <v>#N/A</v>
      </c>
    </row>
    <row r="457" spans="5:7">
      <c r="E457" s="2" t="e">
        <f>IF($C$68&gt;=21,E137+10*$C$69,NA())</f>
        <v>#N/A</v>
      </c>
      <c r="F457" s="2" t="e">
        <f>IF($C$68&gt;=21,F137,NA())</f>
        <v>#N/A</v>
      </c>
    </row>
    <row r="459" spans="5:7">
      <c r="E459" s="2" t="e">
        <f t="shared" ref="E459:E467" si="38">IF($C$68&gt;=21,E139+10*$C$69,NA())</f>
        <v>#N/A</v>
      </c>
      <c r="F459" s="2" t="e">
        <f t="shared" ref="F459:F467" si="39">IF($C$68&gt;=21,F139,NA())</f>
        <v>#N/A</v>
      </c>
      <c r="G459" s="2" t="s">
        <v>702</v>
      </c>
    </row>
    <row r="460" spans="5:7">
      <c r="E460" s="2" t="e">
        <f t="shared" si="38"/>
        <v>#N/A</v>
      </c>
      <c r="F460" s="2" t="e">
        <f t="shared" si="39"/>
        <v>#N/A</v>
      </c>
    </row>
    <row r="461" spans="5:7">
      <c r="E461" s="2" t="e">
        <f t="shared" si="38"/>
        <v>#N/A</v>
      </c>
      <c r="F461" s="2" t="e">
        <f t="shared" si="39"/>
        <v>#N/A</v>
      </c>
    </row>
    <row r="462" spans="5:7">
      <c r="E462" s="2" t="e">
        <f t="shared" si="38"/>
        <v>#N/A</v>
      </c>
      <c r="F462" s="2" t="e">
        <f t="shared" si="39"/>
        <v>#N/A</v>
      </c>
    </row>
    <row r="463" spans="5:7">
      <c r="E463" s="2" t="e">
        <f t="shared" si="38"/>
        <v>#N/A</v>
      </c>
      <c r="F463" s="2" t="e">
        <f t="shared" si="39"/>
        <v>#N/A</v>
      </c>
    </row>
    <row r="464" spans="5:7">
      <c r="E464" s="2" t="e">
        <f t="shared" si="38"/>
        <v>#N/A</v>
      </c>
      <c r="F464" s="2" t="e">
        <f t="shared" si="39"/>
        <v>#N/A</v>
      </c>
    </row>
    <row r="465" spans="5:7">
      <c r="E465" s="2" t="e">
        <f t="shared" si="38"/>
        <v>#N/A</v>
      </c>
      <c r="F465" s="2" t="e">
        <f t="shared" si="39"/>
        <v>#N/A</v>
      </c>
    </row>
    <row r="466" spans="5:7">
      <c r="E466" s="2" t="e">
        <f t="shared" si="38"/>
        <v>#N/A</v>
      </c>
      <c r="F466" s="2" t="e">
        <f t="shared" si="39"/>
        <v>#N/A</v>
      </c>
    </row>
    <row r="467" spans="5:7">
      <c r="E467" s="2" t="e">
        <f t="shared" si="38"/>
        <v>#N/A</v>
      </c>
      <c r="F467" s="2" t="e">
        <f t="shared" si="39"/>
        <v>#N/A</v>
      </c>
    </row>
    <row r="469" spans="5:7">
      <c r="E469" s="2" t="e">
        <f>IF($C$68&gt;=22,E133-11*$C$69,NA())</f>
        <v>#N/A</v>
      </c>
      <c r="F469" s="2" t="e">
        <f>IF($C$68&gt;=22,F133,NA())</f>
        <v>#N/A</v>
      </c>
      <c r="G469" s="2" t="s">
        <v>702</v>
      </c>
    </row>
    <row r="470" spans="5:7">
      <c r="E470" s="2" t="e">
        <f>IF($C$68&gt;=22,E134-11*$C$69,NA())</f>
        <v>#N/A</v>
      </c>
      <c r="F470" s="2" t="e">
        <f>IF($C$68&gt;=22,F134,NA())</f>
        <v>#N/A</v>
      </c>
    </row>
    <row r="471" spans="5:7">
      <c r="E471" s="2" t="e">
        <f>IF($C$68&gt;=22,E135-11*$C$69,NA())</f>
        <v>#N/A</v>
      </c>
      <c r="F471" s="2" t="e">
        <f>IF($C$68&gt;=22,F135,NA())</f>
        <v>#N/A</v>
      </c>
    </row>
    <row r="472" spans="5:7">
      <c r="E472" s="2" t="e">
        <f>IF($C$68&gt;=22,E136-11*$C$69,NA())</f>
        <v>#N/A</v>
      </c>
      <c r="F472" s="2" t="e">
        <f>IF($C$68&gt;=22,F136,NA())</f>
        <v>#N/A</v>
      </c>
    </row>
    <row r="473" spans="5:7">
      <c r="E473" s="2" t="e">
        <f>IF($C$68&gt;=22,E137-11*$C$69,NA())</f>
        <v>#N/A</v>
      </c>
      <c r="F473" s="2" t="e">
        <f>IF($C$68&gt;=22,F137,NA())</f>
        <v>#N/A</v>
      </c>
    </row>
    <row r="475" spans="5:7">
      <c r="E475" s="2" t="e">
        <f t="shared" ref="E475:E483" si="40">IF($C$68&gt;=22,E139-11*$C$69,NA())</f>
        <v>#N/A</v>
      </c>
      <c r="F475" s="2" t="e">
        <f t="shared" ref="F475:F483" si="41">IF($C$68&gt;=22,F139,NA())</f>
        <v>#N/A</v>
      </c>
      <c r="G475" s="2" t="s">
        <v>702</v>
      </c>
    </row>
    <row r="476" spans="5:7">
      <c r="E476" s="2" t="e">
        <f t="shared" si="40"/>
        <v>#N/A</v>
      </c>
      <c r="F476" s="2" t="e">
        <f t="shared" si="41"/>
        <v>#N/A</v>
      </c>
    </row>
    <row r="477" spans="5:7">
      <c r="E477" s="2" t="e">
        <f t="shared" si="40"/>
        <v>#N/A</v>
      </c>
      <c r="F477" s="2" t="e">
        <f t="shared" si="41"/>
        <v>#N/A</v>
      </c>
    </row>
    <row r="478" spans="5:7">
      <c r="E478" s="2" t="e">
        <f t="shared" si="40"/>
        <v>#N/A</v>
      </c>
      <c r="F478" s="2" t="e">
        <f t="shared" si="41"/>
        <v>#N/A</v>
      </c>
    </row>
    <row r="479" spans="5:7">
      <c r="E479" s="2" t="e">
        <f t="shared" si="40"/>
        <v>#N/A</v>
      </c>
      <c r="F479" s="2" t="e">
        <f t="shared" si="41"/>
        <v>#N/A</v>
      </c>
    </row>
    <row r="480" spans="5:7">
      <c r="E480" s="2" t="e">
        <f t="shared" si="40"/>
        <v>#N/A</v>
      </c>
      <c r="F480" s="2" t="e">
        <f t="shared" si="41"/>
        <v>#N/A</v>
      </c>
    </row>
    <row r="481" spans="5:7">
      <c r="E481" s="2" t="e">
        <f t="shared" si="40"/>
        <v>#N/A</v>
      </c>
      <c r="F481" s="2" t="e">
        <f t="shared" si="41"/>
        <v>#N/A</v>
      </c>
    </row>
    <row r="482" spans="5:7">
      <c r="E482" s="2" t="e">
        <f t="shared" si="40"/>
        <v>#N/A</v>
      </c>
      <c r="F482" s="2" t="e">
        <f t="shared" si="41"/>
        <v>#N/A</v>
      </c>
    </row>
    <row r="483" spans="5:7">
      <c r="E483" s="2" t="e">
        <f t="shared" si="40"/>
        <v>#N/A</v>
      </c>
      <c r="F483" s="2" t="e">
        <f t="shared" si="41"/>
        <v>#N/A</v>
      </c>
    </row>
    <row r="485" spans="5:7">
      <c r="E485" s="2" t="e">
        <f>IF($C$68&gt;=23,E133+11*$C$69,NA())</f>
        <v>#N/A</v>
      </c>
      <c r="F485" s="2" t="e">
        <f>IF($C$68&gt;=23,F133,NA())</f>
        <v>#N/A</v>
      </c>
      <c r="G485" s="2" t="s">
        <v>702</v>
      </c>
    </row>
    <row r="486" spans="5:7">
      <c r="E486" s="2" t="e">
        <f>IF($C$68&gt;=23,E134+11*$C$69,NA())</f>
        <v>#N/A</v>
      </c>
      <c r="F486" s="2" t="e">
        <f>IF($C$68&gt;=23,F134,NA())</f>
        <v>#N/A</v>
      </c>
    </row>
    <row r="487" spans="5:7">
      <c r="E487" s="2" t="e">
        <f>IF($C$68&gt;=23,E135+11*$C$69,NA())</f>
        <v>#N/A</v>
      </c>
      <c r="F487" s="2" t="e">
        <f>IF($C$68&gt;=23,F135,NA())</f>
        <v>#N/A</v>
      </c>
    </row>
    <row r="488" spans="5:7">
      <c r="E488" s="2" t="e">
        <f>IF($C$68&gt;=23,E136+11*$C$69,NA())</f>
        <v>#N/A</v>
      </c>
      <c r="F488" s="2" t="e">
        <f>IF($C$68&gt;=23,F136,NA())</f>
        <v>#N/A</v>
      </c>
    </row>
    <row r="489" spans="5:7">
      <c r="E489" s="2" t="e">
        <f>IF($C$68&gt;=23,E137+11*$C$69,NA())</f>
        <v>#N/A</v>
      </c>
      <c r="F489" s="2" t="e">
        <f>IF($C$68&gt;=23,F137,NA())</f>
        <v>#N/A</v>
      </c>
    </row>
    <row r="491" spans="5:7">
      <c r="E491" s="2" t="e">
        <f t="shared" ref="E491:E499" si="42">IF($C$68&gt;=23,E139+11*$C$69,NA())</f>
        <v>#N/A</v>
      </c>
      <c r="F491" s="2" t="e">
        <f t="shared" ref="F491:F499" si="43">IF($C$68&gt;=23,F139,NA())</f>
        <v>#N/A</v>
      </c>
      <c r="G491" s="2" t="s">
        <v>702</v>
      </c>
    </row>
    <row r="492" spans="5:7">
      <c r="E492" s="2" t="e">
        <f t="shared" si="42"/>
        <v>#N/A</v>
      </c>
      <c r="F492" s="2" t="e">
        <f t="shared" si="43"/>
        <v>#N/A</v>
      </c>
    </row>
    <row r="493" spans="5:7">
      <c r="E493" s="2" t="e">
        <f t="shared" si="42"/>
        <v>#N/A</v>
      </c>
      <c r="F493" s="2" t="e">
        <f t="shared" si="43"/>
        <v>#N/A</v>
      </c>
    </row>
    <row r="494" spans="5:7">
      <c r="E494" s="2" t="e">
        <f t="shared" si="42"/>
        <v>#N/A</v>
      </c>
      <c r="F494" s="2" t="e">
        <f t="shared" si="43"/>
        <v>#N/A</v>
      </c>
    </row>
    <row r="495" spans="5:7">
      <c r="E495" s="2" t="e">
        <f t="shared" si="42"/>
        <v>#N/A</v>
      </c>
      <c r="F495" s="2" t="e">
        <f t="shared" si="43"/>
        <v>#N/A</v>
      </c>
    </row>
    <row r="496" spans="5:7">
      <c r="E496" s="2" t="e">
        <f t="shared" si="42"/>
        <v>#N/A</v>
      </c>
      <c r="F496" s="2" t="e">
        <f t="shared" si="43"/>
        <v>#N/A</v>
      </c>
    </row>
    <row r="497" spans="5:7">
      <c r="E497" s="2" t="e">
        <f t="shared" si="42"/>
        <v>#N/A</v>
      </c>
      <c r="F497" s="2" t="e">
        <f t="shared" si="43"/>
        <v>#N/A</v>
      </c>
    </row>
    <row r="498" spans="5:7">
      <c r="E498" s="2" t="e">
        <f t="shared" si="42"/>
        <v>#N/A</v>
      </c>
      <c r="F498" s="2" t="e">
        <f t="shared" si="43"/>
        <v>#N/A</v>
      </c>
    </row>
    <row r="499" spans="5:7">
      <c r="E499" s="2" t="e">
        <f t="shared" si="42"/>
        <v>#N/A</v>
      </c>
      <c r="F499" s="2" t="e">
        <f t="shared" si="43"/>
        <v>#N/A</v>
      </c>
    </row>
    <row r="501" spans="5:7">
      <c r="E501" s="2" t="e">
        <f>IF($C$68&gt;=24,E133-12*$C$69,NA())</f>
        <v>#N/A</v>
      </c>
      <c r="F501" s="2" t="e">
        <f>IF($C$68&gt;=24,F133,NA())</f>
        <v>#N/A</v>
      </c>
      <c r="G501" s="2" t="s">
        <v>702</v>
      </c>
    </row>
    <row r="502" spans="5:7">
      <c r="E502" s="2" t="e">
        <f>IF($C$68&gt;=24,E134-12*$C$69,NA())</f>
        <v>#N/A</v>
      </c>
      <c r="F502" s="2" t="e">
        <f>IF($C$68&gt;=24,F134,NA())</f>
        <v>#N/A</v>
      </c>
    </row>
    <row r="503" spans="5:7">
      <c r="E503" s="2" t="e">
        <f>IF($C$68&gt;=24,E135-12*$C$69,NA())</f>
        <v>#N/A</v>
      </c>
      <c r="F503" s="2" t="e">
        <f>IF($C$68&gt;=24,F135,NA())</f>
        <v>#N/A</v>
      </c>
    </row>
    <row r="504" spans="5:7">
      <c r="E504" s="2" t="e">
        <f>IF($C$68&gt;=24,E136-12*$C$69,NA())</f>
        <v>#N/A</v>
      </c>
      <c r="F504" s="2" t="e">
        <f>IF($C$68&gt;=24,F136,NA())</f>
        <v>#N/A</v>
      </c>
    </row>
    <row r="505" spans="5:7">
      <c r="E505" s="2" t="e">
        <f>IF($C$68&gt;=24,E137-12*$C$69,NA())</f>
        <v>#N/A</v>
      </c>
      <c r="F505" s="2" t="e">
        <f>IF($C$68&gt;=24,F137,NA())</f>
        <v>#N/A</v>
      </c>
    </row>
    <row r="507" spans="5:7">
      <c r="E507" s="2" t="e">
        <f t="shared" ref="E507:E515" si="44">IF($C$68&gt;=24,E139-12*$C$69,NA())</f>
        <v>#N/A</v>
      </c>
      <c r="F507" s="2" t="e">
        <f t="shared" ref="F507:F515" si="45">IF($C$68&gt;=24,F139,NA())</f>
        <v>#N/A</v>
      </c>
      <c r="G507" s="2" t="s">
        <v>702</v>
      </c>
    </row>
    <row r="508" spans="5:7">
      <c r="E508" s="2" t="e">
        <f t="shared" si="44"/>
        <v>#N/A</v>
      </c>
      <c r="F508" s="2" t="e">
        <f t="shared" si="45"/>
        <v>#N/A</v>
      </c>
    </row>
    <row r="509" spans="5:7">
      <c r="E509" s="2" t="e">
        <f t="shared" si="44"/>
        <v>#N/A</v>
      </c>
      <c r="F509" s="2" t="e">
        <f t="shared" si="45"/>
        <v>#N/A</v>
      </c>
    </row>
    <row r="510" spans="5:7">
      <c r="E510" s="2" t="e">
        <f t="shared" si="44"/>
        <v>#N/A</v>
      </c>
      <c r="F510" s="2" t="e">
        <f t="shared" si="45"/>
        <v>#N/A</v>
      </c>
    </row>
    <row r="511" spans="5:7">
      <c r="E511" s="2" t="e">
        <f t="shared" si="44"/>
        <v>#N/A</v>
      </c>
      <c r="F511" s="2" t="e">
        <f t="shared" si="45"/>
        <v>#N/A</v>
      </c>
    </row>
    <row r="512" spans="5:7">
      <c r="E512" s="2" t="e">
        <f t="shared" si="44"/>
        <v>#N/A</v>
      </c>
      <c r="F512" s="2" t="e">
        <f t="shared" si="45"/>
        <v>#N/A</v>
      </c>
    </row>
    <row r="513" spans="5:7">
      <c r="E513" s="2" t="e">
        <f t="shared" si="44"/>
        <v>#N/A</v>
      </c>
      <c r="F513" s="2" t="e">
        <f t="shared" si="45"/>
        <v>#N/A</v>
      </c>
    </row>
    <row r="514" spans="5:7">
      <c r="E514" s="2" t="e">
        <f t="shared" si="44"/>
        <v>#N/A</v>
      </c>
      <c r="F514" s="2" t="e">
        <f t="shared" si="45"/>
        <v>#N/A</v>
      </c>
    </row>
    <row r="515" spans="5:7">
      <c r="E515" s="2" t="e">
        <f t="shared" si="44"/>
        <v>#N/A</v>
      </c>
      <c r="F515" s="2" t="e">
        <f t="shared" si="45"/>
        <v>#N/A</v>
      </c>
    </row>
    <row r="517" spans="5:7">
      <c r="E517" s="2" t="e">
        <f>IF($C$68&gt;=25,E133+12*$C$69,NA())</f>
        <v>#N/A</v>
      </c>
      <c r="F517" s="2" t="e">
        <f>IF($C$68&gt;=25,F133,NA())</f>
        <v>#N/A</v>
      </c>
      <c r="G517" s="2" t="s">
        <v>702</v>
      </c>
    </row>
    <row r="518" spans="5:7">
      <c r="E518" s="2" t="e">
        <f>IF($C$68&gt;=25,E134+12*$C$69,NA())</f>
        <v>#N/A</v>
      </c>
      <c r="F518" s="2" t="e">
        <f>IF($C$68&gt;=25,F134,NA())</f>
        <v>#N/A</v>
      </c>
    </row>
    <row r="519" spans="5:7">
      <c r="E519" s="2" t="e">
        <f>IF($C$68&gt;=25,E135+12*$C$69,NA())</f>
        <v>#N/A</v>
      </c>
      <c r="F519" s="2" t="e">
        <f>IF($C$68&gt;=25,F135,NA())</f>
        <v>#N/A</v>
      </c>
    </row>
    <row r="520" spans="5:7">
      <c r="E520" s="2" t="e">
        <f>IF($C$68&gt;=25,E136+12*$C$69,NA())</f>
        <v>#N/A</v>
      </c>
      <c r="F520" s="2" t="e">
        <f>IF($C$68&gt;=25,F136,NA())</f>
        <v>#N/A</v>
      </c>
    </row>
    <row r="521" spans="5:7">
      <c r="E521" s="2" t="e">
        <f>IF($C$68&gt;=25,E137+12*$C$69,NA())</f>
        <v>#N/A</v>
      </c>
      <c r="F521" s="2" t="e">
        <f>IF($C$68&gt;=25,F137,NA())</f>
        <v>#N/A</v>
      </c>
    </row>
    <row r="523" spans="5:7">
      <c r="E523" s="2" t="e">
        <f t="shared" ref="E523:E531" si="46">IF($C$68&gt;=25,E139+12*$C$69,NA())</f>
        <v>#N/A</v>
      </c>
      <c r="F523" s="2" t="e">
        <f t="shared" ref="F523:F531" si="47">IF($C$68&gt;=25,F139,NA())</f>
        <v>#N/A</v>
      </c>
      <c r="G523" s="2" t="s">
        <v>702</v>
      </c>
    </row>
    <row r="524" spans="5:7">
      <c r="E524" s="2" t="e">
        <f t="shared" si="46"/>
        <v>#N/A</v>
      </c>
      <c r="F524" s="2" t="e">
        <f t="shared" si="47"/>
        <v>#N/A</v>
      </c>
    </row>
    <row r="525" spans="5:7">
      <c r="E525" s="2" t="e">
        <f t="shared" si="46"/>
        <v>#N/A</v>
      </c>
      <c r="F525" s="2" t="e">
        <f t="shared" si="47"/>
        <v>#N/A</v>
      </c>
    </row>
    <row r="526" spans="5:7">
      <c r="E526" s="2" t="e">
        <f t="shared" si="46"/>
        <v>#N/A</v>
      </c>
      <c r="F526" s="2" t="e">
        <f t="shared" si="47"/>
        <v>#N/A</v>
      </c>
    </row>
    <row r="527" spans="5:7">
      <c r="E527" s="2" t="e">
        <f t="shared" si="46"/>
        <v>#N/A</v>
      </c>
      <c r="F527" s="2" t="e">
        <f t="shared" si="47"/>
        <v>#N/A</v>
      </c>
    </row>
    <row r="528" spans="5:7">
      <c r="E528" s="2" t="e">
        <f t="shared" si="46"/>
        <v>#N/A</v>
      </c>
      <c r="F528" s="2" t="e">
        <f t="shared" si="47"/>
        <v>#N/A</v>
      </c>
    </row>
    <row r="529" spans="5:7">
      <c r="E529" s="2" t="e">
        <f t="shared" si="46"/>
        <v>#N/A</v>
      </c>
      <c r="F529" s="2" t="e">
        <f t="shared" si="47"/>
        <v>#N/A</v>
      </c>
    </row>
    <row r="530" spans="5:7">
      <c r="E530" s="2" t="e">
        <f t="shared" si="46"/>
        <v>#N/A</v>
      </c>
      <c r="F530" s="2" t="e">
        <f t="shared" si="47"/>
        <v>#N/A</v>
      </c>
    </row>
    <row r="531" spans="5:7">
      <c r="E531" s="2" t="e">
        <f t="shared" si="46"/>
        <v>#N/A</v>
      </c>
      <c r="F531" s="2" t="e">
        <f t="shared" si="47"/>
        <v>#N/A</v>
      </c>
    </row>
    <row r="533" spans="5:7">
      <c r="E533" s="2" t="e">
        <f>origin2+C76/2</f>
        <v>#DIV/0!</v>
      </c>
      <c r="F533" s="2">
        <f>+F77+18</f>
        <v>-21</v>
      </c>
      <c r="G533" s="2" t="s">
        <v>710</v>
      </c>
    </row>
    <row r="534" spans="5:7">
      <c r="E534" s="2" t="e">
        <f>+E533</f>
        <v>#DIV/0!</v>
      </c>
      <c r="F534" s="2">
        <f>+F533-78</f>
        <v>-99</v>
      </c>
    </row>
    <row r="535" spans="5:7">
      <c r="E535" s="2" t="e">
        <f>+origin2-C76/2</f>
        <v>#DIV/0!</v>
      </c>
      <c r="F535" s="2">
        <f>+F534</f>
        <v>-99</v>
      </c>
    </row>
    <row r="536" spans="5:7">
      <c r="E536" s="2" t="e">
        <f>+E535</f>
        <v>#DIV/0!</v>
      </c>
      <c r="F536" s="2">
        <f>+F533</f>
        <v>-21</v>
      </c>
    </row>
    <row r="537" spans="5:7">
      <c r="E537" s="2" t="e">
        <f>+E533</f>
        <v>#DIV/0!</v>
      </c>
      <c r="F537" s="2">
        <f>+F536</f>
        <v>-21</v>
      </c>
    </row>
    <row r="539" spans="5:7">
      <c r="E539" s="2" t="e">
        <f>IF($C$74&gt;=2,E533-$C$75,NA())</f>
        <v>#N/A</v>
      </c>
      <c r="F539" s="2" t="e">
        <f>IF($C$74&gt;=2,F533,NA())</f>
        <v>#N/A</v>
      </c>
      <c r="G539" s="2" t="s">
        <v>710</v>
      </c>
    </row>
    <row r="540" spans="5:7">
      <c r="E540" s="2" t="e">
        <f>IF($C$74&gt;=2,E534-$C$75,NA())</f>
        <v>#N/A</v>
      </c>
      <c r="F540" s="2" t="e">
        <f>IF($C$74&gt;=2,F534,NA())</f>
        <v>#N/A</v>
      </c>
    </row>
    <row r="541" spans="5:7">
      <c r="E541" s="2" t="e">
        <f>IF($C$74&gt;=2,E535-$C$75,NA())</f>
        <v>#N/A</v>
      </c>
      <c r="F541" s="2" t="e">
        <f>IF($C$74&gt;=2,F535,NA())</f>
        <v>#N/A</v>
      </c>
    </row>
    <row r="542" spans="5:7">
      <c r="E542" s="2" t="e">
        <f>IF($C$74&gt;=2,E536-$C$75,NA())</f>
        <v>#N/A</v>
      </c>
      <c r="F542" s="2" t="e">
        <f>IF($C$74&gt;=2,F536,NA())</f>
        <v>#N/A</v>
      </c>
    </row>
    <row r="543" spans="5:7">
      <c r="E543" s="2" t="e">
        <f>IF($C$74&gt;=2,E537-$C$75,NA())</f>
        <v>#N/A</v>
      </c>
      <c r="F543" s="2" t="e">
        <f>IF($C$74&gt;=2,F537,NA())</f>
        <v>#N/A</v>
      </c>
    </row>
    <row r="545" spans="5:7">
      <c r="E545" s="2" t="e">
        <f>IF($C$74&gt;=3,E533+$C$75,NA())</f>
        <v>#N/A</v>
      </c>
      <c r="F545" s="2" t="e">
        <f>IF($C$74&gt;=3,F533,NA())</f>
        <v>#N/A</v>
      </c>
      <c r="G545" s="2" t="s">
        <v>710</v>
      </c>
    </row>
    <row r="546" spans="5:7">
      <c r="E546" s="2" t="e">
        <f>IF($C$74&gt;=3,E534+$C$75,NA())</f>
        <v>#N/A</v>
      </c>
      <c r="F546" s="2" t="e">
        <f>IF($C$74&gt;=3,F534,NA())</f>
        <v>#N/A</v>
      </c>
    </row>
    <row r="547" spans="5:7">
      <c r="E547" s="2" t="e">
        <f>IF($C$74&gt;=3,E535+$C$75,NA())</f>
        <v>#N/A</v>
      </c>
      <c r="F547" s="2" t="e">
        <f>IF($C$74&gt;=3,F535,NA())</f>
        <v>#N/A</v>
      </c>
    </row>
    <row r="548" spans="5:7">
      <c r="E548" s="2" t="e">
        <f>IF($C$74&gt;=3,E536+$C$75,NA())</f>
        <v>#N/A</v>
      </c>
      <c r="F548" s="2" t="e">
        <f>IF($C$74&gt;=3,F536,NA())</f>
        <v>#N/A</v>
      </c>
    </row>
    <row r="549" spans="5:7">
      <c r="E549" s="2" t="e">
        <f>IF($C$74&gt;=3,E537+$C$75,NA())</f>
        <v>#N/A</v>
      </c>
      <c r="F549" s="2" t="e">
        <f>IF($C$74&gt;=3,F537,NA())</f>
        <v>#N/A</v>
      </c>
    </row>
    <row r="551" spans="5:7">
      <c r="E551" s="2" t="e">
        <f>IF($C$74&gt;=4,E533-2*$C$75,NA())</f>
        <v>#N/A</v>
      </c>
      <c r="F551" s="2" t="e">
        <f>IF($C$74&gt;=4,F533,NA())</f>
        <v>#N/A</v>
      </c>
      <c r="G551" s="2" t="s">
        <v>710</v>
      </c>
    </row>
    <row r="552" spans="5:7">
      <c r="E552" s="2" t="e">
        <f>IF($C$74&gt;=4,E534-2*$C$75,NA())</f>
        <v>#N/A</v>
      </c>
      <c r="F552" s="2" t="e">
        <f>IF($C$74&gt;=4,F534,NA())</f>
        <v>#N/A</v>
      </c>
    </row>
    <row r="553" spans="5:7">
      <c r="E553" s="2" t="e">
        <f>IF($C$74&gt;=4,E535-2*$C$75,NA())</f>
        <v>#N/A</v>
      </c>
      <c r="F553" s="2" t="e">
        <f>IF($C$74&gt;=4,F535,NA())</f>
        <v>#N/A</v>
      </c>
    </row>
    <row r="554" spans="5:7">
      <c r="E554" s="2" t="e">
        <f>IF($C$74&gt;=4,E536-2*$C$75,NA())</f>
        <v>#N/A</v>
      </c>
      <c r="F554" s="2" t="e">
        <f>IF($C$74&gt;=4,F536,NA())</f>
        <v>#N/A</v>
      </c>
    </row>
    <row r="555" spans="5:7">
      <c r="E555" s="2" t="e">
        <f>IF($C$74&gt;=4,E537-2*$C$75,NA())</f>
        <v>#N/A</v>
      </c>
      <c r="F555" s="2" t="e">
        <f>IF($C$74&gt;=4,F537,NA())</f>
        <v>#N/A</v>
      </c>
    </row>
    <row r="557" spans="5:7">
      <c r="E557" s="2" t="e">
        <f>IF($C$74&gt;=5,E533+2*$C$75,NA())</f>
        <v>#N/A</v>
      </c>
      <c r="F557" s="2" t="e">
        <f>IF($C$74&gt;=5,F533,NA())</f>
        <v>#N/A</v>
      </c>
      <c r="G557" s="2" t="s">
        <v>710</v>
      </c>
    </row>
    <row r="558" spans="5:7">
      <c r="E558" s="2" t="e">
        <f>IF($C$74&gt;=5,E534+2*$C$75,NA())</f>
        <v>#N/A</v>
      </c>
      <c r="F558" s="2" t="e">
        <f>IF($C$74&gt;=5,F534,NA())</f>
        <v>#N/A</v>
      </c>
    </row>
    <row r="559" spans="5:7">
      <c r="E559" s="2" t="e">
        <f>IF($C$74&gt;=5,E535+2*$C$75,NA())</f>
        <v>#N/A</v>
      </c>
      <c r="F559" s="2" t="e">
        <f>IF($C$74&gt;=5,F535,NA())</f>
        <v>#N/A</v>
      </c>
    </row>
    <row r="560" spans="5:7">
      <c r="E560" s="2" t="e">
        <f>IF($C$74&gt;=5,E536+2*$C$75,NA())</f>
        <v>#N/A</v>
      </c>
      <c r="F560" s="2" t="e">
        <f>IF($C$74&gt;=5,F536,NA())</f>
        <v>#N/A</v>
      </c>
    </row>
    <row r="561" spans="5:7">
      <c r="E561" s="2" t="e">
        <f>IF($C$74&gt;=5,E537+2*$C$75,NA())</f>
        <v>#N/A</v>
      </c>
      <c r="F561" s="2" t="e">
        <f>IF($C$74&gt;=5,F537,NA())</f>
        <v>#N/A</v>
      </c>
    </row>
    <row r="563" spans="5:7">
      <c r="E563" s="2" t="e">
        <f>IF($C$74&gt;=6,E533-3*$C$75,NA())</f>
        <v>#N/A</v>
      </c>
      <c r="F563" s="2" t="e">
        <f>IF($C$74&gt;=6,F533,NA())</f>
        <v>#N/A</v>
      </c>
      <c r="G563" s="2" t="s">
        <v>710</v>
      </c>
    </row>
    <row r="564" spans="5:7">
      <c r="E564" s="2" t="e">
        <f>IF($C$74&gt;=6,E534-3*$C$75,NA())</f>
        <v>#N/A</v>
      </c>
      <c r="F564" s="2" t="e">
        <f>IF($C$74&gt;=6,F534,NA())</f>
        <v>#N/A</v>
      </c>
    </row>
    <row r="565" spans="5:7">
      <c r="E565" s="2" t="e">
        <f>IF($C$74&gt;=6,E535-3*$C$75,NA())</f>
        <v>#N/A</v>
      </c>
      <c r="F565" s="2" t="e">
        <f>IF($C$74&gt;=6,F535,NA())</f>
        <v>#N/A</v>
      </c>
    </row>
    <row r="566" spans="5:7">
      <c r="E566" s="2" t="e">
        <f>IF($C$74&gt;=6,E536-3*$C$75,NA())</f>
        <v>#N/A</v>
      </c>
      <c r="F566" s="2" t="e">
        <f>IF($C$74&gt;=6,F536,NA())</f>
        <v>#N/A</v>
      </c>
    </row>
    <row r="567" spans="5:7">
      <c r="E567" s="2" t="e">
        <f>IF($C$74&gt;=6,E537-3*$C$75,NA())</f>
        <v>#N/A</v>
      </c>
      <c r="F567" s="2" t="e">
        <f>IF($C$74&gt;=6,F537,NA())</f>
        <v>#N/A</v>
      </c>
    </row>
    <row r="569" spans="5:7">
      <c r="E569" s="2" t="e">
        <f>IF($C$74&gt;=7,E533+3*$C$75,NA())</f>
        <v>#N/A</v>
      </c>
      <c r="F569" s="2" t="e">
        <f>IF($C$74&gt;=7,F533,NA())</f>
        <v>#N/A</v>
      </c>
      <c r="G569" s="2" t="s">
        <v>710</v>
      </c>
    </row>
    <row r="570" spans="5:7">
      <c r="E570" s="2" t="e">
        <f>IF($C$74&gt;=7,E534+3*$C$75,NA())</f>
        <v>#N/A</v>
      </c>
      <c r="F570" s="2" t="e">
        <f>IF($C$74&gt;=7,F534,NA())</f>
        <v>#N/A</v>
      </c>
    </row>
    <row r="571" spans="5:7">
      <c r="E571" s="2" t="e">
        <f>IF($C$74&gt;=7,E535+3*$C$75,NA())</f>
        <v>#N/A</v>
      </c>
      <c r="F571" s="2" t="e">
        <f>IF($C$74&gt;=7,F535,NA())</f>
        <v>#N/A</v>
      </c>
    </row>
    <row r="572" spans="5:7">
      <c r="E572" s="2" t="e">
        <f>IF($C$74&gt;=7,E536+3*$C$75,NA())</f>
        <v>#N/A</v>
      </c>
      <c r="F572" s="2" t="e">
        <f>IF($C$74&gt;=7,F536,NA())</f>
        <v>#N/A</v>
      </c>
    </row>
    <row r="573" spans="5:7">
      <c r="E573" s="2" t="e">
        <f>IF($C$74&gt;=7,E537+3*$C$75,NA())</f>
        <v>#N/A</v>
      </c>
      <c r="F573" s="2" t="e">
        <f>IF($C$74&gt;=7,F537,NA())</f>
        <v>#N/A</v>
      </c>
    </row>
    <row r="575" spans="5:7">
      <c r="E575" s="2" t="e">
        <f>IF($C$74&gt;=8,E533-4*$C$75,NA())</f>
        <v>#N/A</v>
      </c>
      <c r="F575" s="2" t="e">
        <f>IF($C$74&gt;=8,F533,NA())</f>
        <v>#N/A</v>
      </c>
      <c r="G575" s="2" t="s">
        <v>710</v>
      </c>
    </row>
    <row r="576" spans="5:7">
      <c r="E576" s="2" t="e">
        <f>IF($C$74&gt;=8,E534-4*$C$75,NA())</f>
        <v>#N/A</v>
      </c>
      <c r="F576" s="2" t="e">
        <f>IF($C$74&gt;=8,F534,NA())</f>
        <v>#N/A</v>
      </c>
    </row>
    <row r="577" spans="5:7">
      <c r="E577" s="2" t="e">
        <f>IF($C$74&gt;=8,E535-4*$C$75,NA())</f>
        <v>#N/A</v>
      </c>
      <c r="F577" s="2" t="e">
        <f>IF($C$74&gt;=8,F535,NA())</f>
        <v>#N/A</v>
      </c>
    </row>
    <row r="578" spans="5:7">
      <c r="E578" s="2" t="e">
        <f>IF($C$74&gt;=8,E536-4*$C$75,NA())</f>
        <v>#N/A</v>
      </c>
      <c r="F578" s="2" t="e">
        <f>IF($C$74&gt;=8,F536,NA())</f>
        <v>#N/A</v>
      </c>
    </row>
    <row r="579" spans="5:7">
      <c r="E579" s="2" t="e">
        <f>IF($C$74&gt;=8,E537-4*$C$75,NA())</f>
        <v>#N/A</v>
      </c>
      <c r="F579" s="2" t="e">
        <f>IF($C$74&gt;=8,F537,NA())</f>
        <v>#N/A</v>
      </c>
    </row>
    <row r="581" spans="5:7">
      <c r="E581" s="2" t="e">
        <f>IF($C$74&gt;=9,E533+4*$C$75,NA())</f>
        <v>#N/A</v>
      </c>
      <c r="F581" s="2" t="e">
        <f>IF($C$74&gt;=9,F533,NA())</f>
        <v>#N/A</v>
      </c>
      <c r="G581" s="2" t="s">
        <v>710</v>
      </c>
    </row>
    <row r="582" spans="5:7">
      <c r="E582" s="2" t="e">
        <f>IF($C$74&gt;=9,E534+4*$C$75,NA())</f>
        <v>#N/A</v>
      </c>
      <c r="F582" s="2" t="e">
        <f>IF($C$74&gt;=9,F534,NA())</f>
        <v>#N/A</v>
      </c>
    </row>
    <row r="583" spans="5:7">
      <c r="E583" s="2" t="e">
        <f>IF($C$74&gt;=9,E535+4*$C$75,NA())</f>
        <v>#N/A</v>
      </c>
      <c r="F583" s="2" t="e">
        <f>IF($C$74&gt;=9,F535,NA())</f>
        <v>#N/A</v>
      </c>
    </row>
    <row r="584" spans="5:7">
      <c r="E584" s="2" t="e">
        <f>IF($C$74&gt;=9,E536+4*$C$75,NA())</f>
        <v>#N/A</v>
      </c>
      <c r="F584" s="2" t="e">
        <f>IF($C$74&gt;=9,F536,NA())</f>
        <v>#N/A</v>
      </c>
    </row>
    <row r="585" spans="5:7">
      <c r="E585" s="2" t="e">
        <f>IF($C$74&gt;=9,E537+4*$C$75,NA())</f>
        <v>#N/A</v>
      </c>
      <c r="F585" s="2" t="e">
        <f>IF($C$74&gt;=9,F537,NA())</f>
        <v>#N/A</v>
      </c>
    </row>
    <row r="587" spans="5:7">
      <c r="E587" s="2" t="e">
        <f>IF($C$74&gt;=10,E533-5*$C$75,NA())</f>
        <v>#N/A</v>
      </c>
      <c r="F587" s="2" t="e">
        <f>IF($C$74&gt;=10,F533,NA())</f>
        <v>#N/A</v>
      </c>
      <c r="G587" s="2" t="s">
        <v>710</v>
      </c>
    </row>
    <row r="588" spans="5:7">
      <c r="E588" s="2" t="e">
        <f>IF($C$74&gt;=10,E534-5*$C$75,NA())</f>
        <v>#N/A</v>
      </c>
      <c r="F588" s="2" t="e">
        <f>IF($C$74&gt;=10,F534,NA())</f>
        <v>#N/A</v>
      </c>
    </row>
    <row r="589" spans="5:7">
      <c r="E589" s="2" t="e">
        <f>IF($C$74&gt;=10,E535-5*$C$75,NA())</f>
        <v>#N/A</v>
      </c>
      <c r="F589" s="2" t="e">
        <f>IF($C$74&gt;=10,F535,NA())</f>
        <v>#N/A</v>
      </c>
    </row>
    <row r="590" spans="5:7">
      <c r="E590" s="2" t="e">
        <f>IF($C$74&gt;=10,E536-5*$C$75,NA())</f>
        <v>#N/A</v>
      </c>
      <c r="F590" s="2" t="e">
        <f>IF($C$74&gt;=10,F536,NA())</f>
        <v>#N/A</v>
      </c>
    </row>
    <row r="591" spans="5:7">
      <c r="E591" s="2" t="e">
        <f>IF($C$74&gt;=10,E537-5*$C$75,NA())</f>
        <v>#N/A</v>
      </c>
      <c r="F591" s="2" t="e">
        <f>IF($C$74&gt;=10,F537,NA())</f>
        <v>#N/A</v>
      </c>
    </row>
    <row r="593" spans="5:7">
      <c r="E593" s="2" t="e">
        <f>IF($C$74&gt;=11,E533+5*$C$75,NA())</f>
        <v>#N/A</v>
      </c>
      <c r="F593" s="2" t="e">
        <f>IF($C$74&gt;=11,F533,NA())</f>
        <v>#N/A</v>
      </c>
      <c r="G593" s="2" t="s">
        <v>710</v>
      </c>
    </row>
    <row r="594" spans="5:7">
      <c r="E594" s="2" t="e">
        <f>IF($C$74&gt;=11,E534+5*$C$75,NA())</f>
        <v>#N/A</v>
      </c>
      <c r="F594" s="2" t="e">
        <f>IF($C$74&gt;=11,F534,NA())</f>
        <v>#N/A</v>
      </c>
    </row>
    <row r="595" spans="5:7">
      <c r="E595" s="2" t="e">
        <f>IF($C$74&gt;=11,E535+5*$C$75,NA())</f>
        <v>#N/A</v>
      </c>
      <c r="F595" s="2" t="e">
        <f>IF($C$74&gt;=11,F535,NA())</f>
        <v>#N/A</v>
      </c>
    </row>
    <row r="596" spans="5:7">
      <c r="E596" s="2" t="e">
        <f>IF($C$74&gt;=11,E536+5*$C$75,NA())</f>
        <v>#N/A</v>
      </c>
      <c r="F596" s="2" t="e">
        <f>IF($C$74&gt;=11,F536,NA())</f>
        <v>#N/A</v>
      </c>
    </row>
    <row r="597" spans="5:7">
      <c r="E597" s="2" t="e">
        <f>IF($C$74&gt;=11,E537+5*$C$75,NA())</f>
        <v>#N/A</v>
      </c>
      <c r="F597" s="2" t="e">
        <f>IF($C$74&gt;=11,F537,NA())</f>
        <v>#N/A</v>
      </c>
    </row>
    <row r="599" spans="5:7">
      <c r="E599" s="2" t="e">
        <f>IF($C$74&gt;=12,E533-6*$C$75,NA())</f>
        <v>#N/A</v>
      </c>
      <c r="F599" s="2" t="e">
        <f>IF($C$74&gt;=12,F533,NA())</f>
        <v>#N/A</v>
      </c>
      <c r="G599" s="2" t="s">
        <v>710</v>
      </c>
    </row>
    <row r="600" spans="5:7">
      <c r="E600" s="2" t="e">
        <f>IF($C$74&gt;=12,E534-6*$C$75,NA())</f>
        <v>#N/A</v>
      </c>
      <c r="F600" s="2" t="e">
        <f>IF($C$74&gt;=12,F534,NA())</f>
        <v>#N/A</v>
      </c>
    </row>
    <row r="601" spans="5:7">
      <c r="E601" s="2" t="e">
        <f>IF($C$74&gt;=12,E535-6*$C$75,NA())</f>
        <v>#N/A</v>
      </c>
      <c r="F601" s="2" t="e">
        <f>IF($C$74&gt;=12,F535,NA())</f>
        <v>#N/A</v>
      </c>
    </row>
    <row r="602" spans="5:7">
      <c r="E602" s="2" t="e">
        <f>IF($C$74&gt;=12,E536-6*$C$75,NA())</f>
        <v>#N/A</v>
      </c>
      <c r="F602" s="2" t="e">
        <f>IF($C$74&gt;=12,F536,NA())</f>
        <v>#N/A</v>
      </c>
    </row>
    <row r="603" spans="5:7">
      <c r="E603" s="2" t="e">
        <f>IF($C$74&gt;=12,E537-6*$C$75,NA())</f>
        <v>#N/A</v>
      </c>
      <c r="F603" s="2" t="e">
        <f>IF($C$74&gt;=12,F537,NA())</f>
        <v>#N/A</v>
      </c>
    </row>
    <row r="605" spans="5:7">
      <c r="E605" s="2" t="e">
        <f>IF($C$74&gt;=13,E533+6*$C$75,NA())</f>
        <v>#N/A</v>
      </c>
      <c r="F605" s="2" t="e">
        <f>IF($C$74&gt;=13,F533,NA())</f>
        <v>#N/A</v>
      </c>
      <c r="G605" s="2" t="s">
        <v>710</v>
      </c>
    </row>
    <row r="606" spans="5:7">
      <c r="E606" s="2" t="e">
        <f>IF($C$74&gt;=13,E534+6*$C$75,NA())</f>
        <v>#N/A</v>
      </c>
      <c r="F606" s="2" t="e">
        <f>IF($C$74&gt;=13,F534,NA())</f>
        <v>#N/A</v>
      </c>
    </row>
    <row r="607" spans="5:7">
      <c r="E607" s="2" t="e">
        <f>IF($C$74&gt;=13,E535+6*$C$75,NA())</f>
        <v>#N/A</v>
      </c>
      <c r="F607" s="2" t="e">
        <f>IF($C$74&gt;=13,F535,NA())</f>
        <v>#N/A</v>
      </c>
    </row>
    <row r="608" spans="5:7">
      <c r="E608" s="2" t="e">
        <f>IF($C$74&gt;=13,E536+6*$C$75,NA())</f>
        <v>#N/A</v>
      </c>
      <c r="F608" s="2" t="e">
        <f>IF($C$74&gt;=13,F536,NA())</f>
        <v>#N/A</v>
      </c>
    </row>
    <row r="609" spans="5:7">
      <c r="E609" s="2" t="e">
        <f>IF($C$74&gt;=13,E537+6*$C$75,NA())</f>
        <v>#N/A</v>
      </c>
      <c r="F609" s="2" t="e">
        <f>IF($C$74&gt;=13,F537,NA())</f>
        <v>#N/A</v>
      </c>
    </row>
    <row r="611" spans="5:7">
      <c r="E611" s="2" t="e">
        <f>IF($C$74&gt;=14,E533-7*$C$75,NA())</f>
        <v>#N/A</v>
      </c>
      <c r="F611" s="2" t="e">
        <f>IF($C$74&gt;=14,F533,NA())</f>
        <v>#N/A</v>
      </c>
      <c r="G611" s="2" t="s">
        <v>710</v>
      </c>
    </row>
    <row r="612" spans="5:7">
      <c r="E612" s="2" t="e">
        <f>IF($C$74&gt;=14,E534-7*$C$75,NA())</f>
        <v>#N/A</v>
      </c>
      <c r="F612" s="2" t="e">
        <f>IF($C$74&gt;=14,F534,NA())</f>
        <v>#N/A</v>
      </c>
    </row>
    <row r="613" spans="5:7">
      <c r="E613" s="2" t="e">
        <f>IF($C$74&gt;=14,E535-7*$C$75,NA())</f>
        <v>#N/A</v>
      </c>
      <c r="F613" s="2" t="e">
        <f>IF($C$74&gt;=14,F535,NA())</f>
        <v>#N/A</v>
      </c>
    </row>
    <row r="614" spans="5:7">
      <c r="E614" s="2" t="e">
        <f>IF($C$74&gt;=14,E536-7*$C$75,NA())</f>
        <v>#N/A</v>
      </c>
      <c r="F614" s="2" t="e">
        <f>IF($C$74&gt;=14,F536,NA())</f>
        <v>#N/A</v>
      </c>
    </row>
    <row r="615" spans="5:7">
      <c r="E615" s="2" t="e">
        <f>IF($C$74&gt;=14,E537-7*$C$75,NA())</f>
        <v>#N/A</v>
      </c>
      <c r="F615" s="2" t="e">
        <f>IF($C$74&gt;=14,F537,NA())</f>
        <v>#N/A</v>
      </c>
    </row>
    <row r="617" spans="5:7">
      <c r="E617" s="2" t="e">
        <f>IF($C$74&gt;=15,E533+7*$C$75,NA())</f>
        <v>#N/A</v>
      </c>
      <c r="F617" s="2" t="e">
        <f>IF($C$74&gt;=15,F533,NA())</f>
        <v>#N/A</v>
      </c>
      <c r="G617" s="2" t="s">
        <v>710</v>
      </c>
    </row>
    <row r="618" spans="5:7">
      <c r="E618" s="2" t="e">
        <f>IF($C$74&gt;=15,E534+7*$C$75,NA())</f>
        <v>#N/A</v>
      </c>
      <c r="F618" s="2" t="e">
        <f>IF($C$74&gt;=15,F534,NA())</f>
        <v>#N/A</v>
      </c>
    </row>
    <row r="619" spans="5:7">
      <c r="E619" s="2" t="e">
        <f>IF($C$74&gt;=15,E535+7*$C$75,NA())</f>
        <v>#N/A</v>
      </c>
      <c r="F619" s="2" t="e">
        <f>IF($C$74&gt;=15,F535,NA())</f>
        <v>#N/A</v>
      </c>
    </row>
    <row r="620" spans="5:7">
      <c r="E620" s="2" t="e">
        <f>IF($C$74&gt;=15,E536+7*$C$75,NA())</f>
        <v>#N/A</v>
      </c>
      <c r="F620" s="2" t="e">
        <f>IF($C$74&gt;=15,F536,NA())</f>
        <v>#N/A</v>
      </c>
    </row>
    <row r="621" spans="5:7">
      <c r="E621" s="2" t="e">
        <f>IF($C$74&gt;=15,E537+7*$C$75,NA())</f>
        <v>#N/A</v>
      </c>
      <c r="F621" s="2" t="e">
        <f>IF($C$74&gt;=15,F537,NA())</f>
        <v>#N/A</v>
      </c>
    </row>
    <row r="623" spans="5:7">
      <c r="E623" s="2" t="e">
        <f>IF($C$74&gt;=16,E533-8*$C$75,NA())</f>
        <v>#N/A</v>
      </c>
      <c r="F623" s="2" t="e">
        <f>IF($C$74&gt;=16,F533,NA())</f>
        <v>#N/A</v>
      </c>
      <c r="G623" s="2" t="s">
        <v>710</v>
      </c>
    </row>
    <row r="624" spans="5:7">
      <c r="E624" s="2" t="e">
        <f>IF($C$74&gt;=16,E534-8*$C$75,NA())</f>
        <v>#N/A</v>
      </c>
      <c r="F624" s="2" t="e">
        <f>IF($C$74&gt;=16,F534,NA())</f>
        <v>#N/A</v>
      </c>
    </row>
    <row r="625" spans="5:7">
      <c r="E625" s="2" t="e">
        <f>IF($C$74&gt;=16,E535-8*$C$75,NA())</f>
        <v>#N/A</v>
      </c>
      <c r="F625" s="2" t="e">
        <f>IF($C$74&gt;=16,F535,NA())</f>
        <v>#N/A</v>
      </c>
    </row>
    <row r="626" spans="5:7">
      <c r="E626" s="2" t="e">
        <f>IF($C$74&gt;=16,E536-8*$C$75,NA())</f>
        <v>#N/A</v>
      </c>
      <c r="F626" s="2" t="e">
        <f>IF($C$74&gt;=16,F536,NA())</f>
        <v>#N/A</v>
      </c>
    </row>
    <row r="627" spans="5:7">
      <c r="E627" s="2" t="e">
        <f>IF($C$74&gt;=16,E537-8*$C$75,NA())</f>
        <v>#N/A</v>
      </c>
      <c r="F627" s="2" t="e">
        <f>IF($C$74&gt;=16,F537,NA())</f>
        <v>#N/A</v>
      </c>
    </row>
    <row r="629" spans="5:7">
      <c r="E629" s="2" t="e">
        <f>IF($C$74&gt;=17,E533+8*$C$75,NA())</f>
        <v>#N/A</v>
      </c>
      <c r="F629" s="2" t="e">
        <f>IF($C$74&gt;=17,F533,NA())</f>
        <v>#N/A</v>
      </c>
      <c r="G629" s="2" t="s">
        <v>710</v>
      </c>
    </row>
    <row r="630" spans="5:7">
      <c r="E630" s="2" t="e">
        <f>IF($C$74&gt;=17,E534+8*$C$75,NA())</f>
        <v>#N/A</v>
      </c>
      <c r="F630" s="2" t="e">
        <f>IF($C$74&gt;=17,F534,NA())</f>
        <v>#N/A</v>
      </c>
    </row>
    <row r="631" spans="5:7">
      <c r="E631" s="2" t="e">
        <f>IF($C$74&gt;=17,E535+8*$C$75,NA())</f>
        <v>#N/A</v>
      </c>
      <c r="F631" s="2" t="e">
        <f>IF($C$74&gt;=17,F535,NA())</f>
        <v>#N/A</v>
      </c>
    </row>
    <row r="632" spans="5:7">
      <c r="E632" s="2" t="e">
        <f>IF($C$74&gt;=17,E536+8*$C$75,NA())</f>
        <v>#N/A</v>
      </c>
      <c r="F632" s="2" t="e">
        <f>IF($C$74&gt;=17,F536,NA())</f>
        <v>#N/A</v>
      </c>
    </row>
    <row r="633" spans="5:7">
      <c r="E633" s="2" t="e">
        <f>IF($C$74&gt;=17,E537+8*$C$75,NA())</f>
        <v>#N/A</v>
      </c>
      <c r="F633" s="2" t="e">
        <f>IF($C$74&gt;=17,F537,NA())</f>
        <v>#N/A</v>
      </c>
    </row>
    <row r="635" spans="5:7">
      <c r="E635" s="2" t="e">
        <f>IF($C$74&gt;=18,E533-9*$C$75,NA())</f>
        <v>#N/A</v>
      </c>
      <c r="F635" s="2" t="e">
        <f>IF($C$74&gt;=18,F533,NA())</f>
        <v>#N/A</v>
      </c>
      <c r="G635" s="2" t="s">
        <v>710</v>
      </c>
    </row>
    <row r="636" spans="5:7">
      <c r="E636" s="2" t="e">
        <f>IF($C$74&gt;=18,E534-9*$C$75,NA())</f>
        <v>#N/A</v>
      </c>
      <c r="F636" s="2" t="e">
        <f>IF($C$74&gt;=18,F534,NA())</f>
        <v>#N/A</v>
      </c>
    </row>
    <row r="637" spans="5:7">
      <c r="E637" s="2" t="e">
        <f>IF($C$74&gt;=18,E535-9*$C$75,NA())</f>
        <v>#N/A</v>
      </c>
      <c r="F637" s="2" t="e">
        <f>IF($C$74&gt;=18,F535,NA())</f>
        <v>#N/A</v>
      </c>
    </row>
    <row r="638" spans="5:7">
      <c r="E638" s="2" t="e">
        <f>IF($C$74&gt;=18,E536-9*$C$75,NA())</f>
        <v>#N/A</v>
      </c>
      <c r="F638" s="2" t="e">
        <f>IF($C$74&gt;=18,F536,NA())</f>
        <v>#N/A</v>
      </c>
    </row>
    <row r="639" spans="5:7">
      <c r="E639" s="2" t="e">
        <f>IF($C$74&gt;=18,E537-9*$C$75,NA())</f>
        <v>#N/A</v>
      </c>
      <c r="F639" s="2" t="e">
        <f>IF($C$74&gt;=18,F537,NA())</f>
        <v>#N/A</v>
      </c>
    </row>
    <row r="641" spans="5:7">
      <c r="E641" s="2" t="e">
        <f>IF($C$74&gt;=19,E533+9*$C$75,NA())</f>
        <v>#N/A</v>
      </c>
      <c r="F641" s="2" t="e">
        <f>IF($C$74&gt;=19,F533,NA())</f>
        <v>#N/A</v>
      </c>
      <c r="G641" s="2" t="s">
        <v>710</v>
      </c>
    </row>
    <row r="642" spans="5:7">
      <c r="E642" s="2" t="e">
        <f>IF($C$74&gt;=19,E534+9*$C$75,NA())</f>
        <v>#N/A</v>
      </c>
      <c r="F642" s="2" t="e">
        <f>IF($C$74&gt;=19,F534,NA())</f>
        <v>#N/A</v>
      </c>
    </row>
    <row r="643" spans="5:7">
      <c r="E643" s="2" t="e">
        <f>IF($C$74&gt;=19,E535+9*$C$75,NA())</f>
        <v>#N/A</v>
      </c>
      <c r="F643" s="2" t="e">
        <f>IF($C$74&gt;=19,F535,NA())</f>
        <v>#N/A</v>
      </c>
    </row>
    <row r="644" spans="5:7">
      <c r="E644" s="2" t="e">
        <f>IF($C$74&gt;=19,E536+9*$C$75,NA())</f>
        <v>#N/A</v>
      </c>
      <c r="F644" s="2" t="e">
        <f>IF($C$74&gt;=19,F536,NA())</f>
        <v>#N/A</v>
      </c>
    </row>
    <row r="645" spans="5:7">
      <c r="E645" s="2" t="e">
        <f>IF($C$74&gt;=19,E537+9*$C$75,NA())</f>
        <v>#N/A</v>
      </c>
      <c r="F645" s="2" t="e">
        <f>IF($C$74&gt;=19,F537,NA())</f>
        <v>#N/A</v>
      </c>
    </row>
    <row r="647" spans="5:7">
      <c r="E647" s="2" t="e">
        <f>IF($C$74&gt;=20,E533-10*$C$75,NA())</f>
        <v>#N/A</v>
      </c>
      <c r="F647" s="2" t="e">
        <f>IF($C$74&gt;=20,F533,NA())</f>
        <v>#N/A</v>
      </c>
      <c r="G647" s="2" t="s">
        <v>710</v>
      </c>
    </row>
    <row r="648" spans="5:7">
      <c r="E648" s="2" t="e">
        <f>IF($C$74&gt;=20,E534-10*$C$75,NA())</f>
        <v>#N/A</v>
      </c>
      <c r="F648" s="2" t="e">
        <f>IF($C$74&gt;=20,F534,NA())</f>
        <v>#N/A</v>
      </c>
    </row>
    <row r="649" spans="5:7">
      <c r="E649" s="2" t="e">
        <f>IF($C$74&gt;=20,E535-10*$C$75,NA())</f>
        <v>#N/A</v>
      </c>
      <c r="F649" s="2" t="e">
        <f>IF($C$74&gt;=20,F535,NA())</f>
        <v>#N/A</v>
      </c>
    </row>
    <row r="650" spans="5:7">
      <c r="E650" s="2" t="e">
        <f>IF($C$74&gt;=20,E536-10*$C$75,NA())</f>
        <v>#N/A</v>
      </c>
      <c r="F650" s="2" t="e">
        <f>IF($C$74&gt;=20,F536,NA())</f>
        <v>#N/A</v>
      </c>
    </row>
    <row r="651" spans="5:7">
      <c r="E651" s="2" t="e">
        <f>IF($C$74&gt;=20,E537-10*$C$75,NA())</f>
        <v>#N/A</v>
      </c>
      <c r="F651" s="2" t="e">
        <f>IF($C$74&gt;=20,F537,NA())</f>
        <v>#N/A</v>
      </c>
    </row>
    <row r="653" spans="5:7">
      <c r="E653" s="2" t="e">
        <f>IF($C$74&gt;=21,E533+10*$C$75,NA())</f>
        <v>#N/A</v>
      </c>
      <c r="F653" s="2" t="e">
        <f>IF($C$74&gt;=21,F533,NA())</f>
        <v>#N/A</v>
      </c>
      <c r="G653" s="2" t="s">
        <v>710</v>
      </c>
    </row>
    <row r="654" spans="5:7">
      <c r="E654" s="2" t="e">
        <f>IF($C$74&gt;=21,E534+10*$C$75,NA())</f>
        <v>#N/A</v>
      </c>
      <c r="F654" s="2" t="e">
        <f>IF($C$74&gt;=21,F534,NA())</f>
        <v>#N/A</v>
      </c>
    </row>
    <row r="655" spans="5:7">
      <c r="E655" s="2" t="e">
        <f>IF($C$74&gt;=21,E535+10*$C$75,NA())</f>
        <v>#N/A</v>
      </c>
      <c r="F655" s="2" t="e">
        <f>IF($C$74&gt;=21,F535,NA())</f>
        <v>#N/A</v>
      </c>
    </row>
    <row r="656" spans="5:7">
      <c r="E656" s="2" t="e">
        <f>IF($C$74&gt;=21,E536+10*$C$75,NA())</f>
        <v>#N/A</v>
      </c>
      <c r="F656" s="2" t="e">
        <f>IF($C$74&gt;=21,F536,NA())</f>
        <v>#N/A</v>
      </c>
    </row>
    <row r="657" spans="5:7">
      <c r="E657" s="2" t="e">
        <f>IF($C$74&gt;=21,E537+10*$C$75,NA())</f>
        <v>#N/A</v>
      </c>
      <c r="F657" s="2" t="e">
        <f>IF($C$74&gt;=21,F537,NA())</f>
        <v>#N/A</v>
      </c>
    </row>
    <row r="659" spans="5:7">
      <c r="E659" s="2" t="e">
        <f>IF($C$74&gt;=22,E533-11*$C$75,NA())</f>
        <v>#N/A</v>
      </c>
      <c r="F659" s="2" t="e">
        <f>IF($C$74&gt;=22,F533,NA())</f>
        <v>#N/A</v>
      </c>
      <c r="G659" s="2" t="s">
        <v>710</v>
      </c>
    </row>
    <row r="660" spans="5:7">
      <c r="E660" s="2" t="e">
        <f>IF($C$74&gt;=22,E534-11*$C$75,NA())</f>
        <v>#N/A</v>
      </c>
      <c r="F660" s="2" t="e">
        <f>IF($C$74&gt;=22,F534,NA())</f>
        <v>#N/A</v>
      </c>
    </row>
    <row r="661" spans="5:7">
      <c r="E661" s="2" t="e">
        <f>IF($C$74&gt;=22,E535-11*$C$75,NA())</f>
        <v>#N/A</v>
      </c>
      <c r="F661" s="2" t="e">
        <f>IF($C$74&gt;=22,F535,NA())</f>
        <v>#N/A</v>
      </c>
    </row>
    <row r="662" spans="5:7">
      <c r="E662" s="2" t="e">
        <f>IF($C$74&gt;=22,E536-11*$C$75,NA())</f>
        <v>#N/A</v>
      </c>
      <c r="F662" s="2" t="e">
        <f>IF($C$74&gt;=22,F536,NA())</f>
        <v>#N/A</v>
      </c>
    </row>
    <row r="663" spans="5:7">
      <c r="E663" s="2" t="e">
        <f>IF($C$74&gt;=22,E537-11*$C$75,NA())</f>
        <v>#N/A</v>
      </c>
      <c r="F663" s="2" t="e">
        <f>IF($C$74&gt;=22,F537,NA())</f>
        <v>#N/A</v>
      </c>
    </row>
    <row r="665" spans="5:7">
      <c r="E665" s="2" t="e">
        <f>IF($C$74&gt;=23,E533+11*$C$75,NA())</f>
        <v>#N/A</v>
      </c>
      <c r="F665" s="2" t="e">
        <f>IF($C$74&gt;=23,F533,NA())</f>
        <v>#N/A</v>
      </c>
      <c r="G665" s="2" t="s">
        <v>710</v>
      </c>
    </row>
    <row r="666" spans="5:7">
      <c r="E666" s="2" t="e">
        <f>IF($C$74&gt;=23,E534+11*$C$75,NA())</f>
        <v>#N/A</v>
      </c>
      <c r="F666" s="2" t="e">
        <f>IF($C$74&gt;=23,F534,NA())</f>
        <v>#N/A</v>
      </c>
    </row>
    <row r="667" spans="5:7">
      <c r="E667" s="2" t="e">
        <f>IF($C$74&gt;=23,E535+11*$C$75,NA())</f>
        <v>#N/A</v>
      </c>
      <c r="F667" s="2" t="e">
        <f>IF($C$74&gt;=23,F535,NA())</f>
        <v>#N/A</v>
      </c>
    </row>
    <row r="668" spans="5:7">
      <c r="E668" s="2" t="e">
        <f>IF($C$74&gt;=23,E536+11*$C$75,NA())</f>
        <v>#N/A</v>
      </c>
      <c r="F668" s="2" t="e">
        <f>IF($C$74&gt;=23,F536,NA())</f>
        <v>#N/A</v>
      </c>
    </row>
    <row r="669" spans="5:7">
      <c r="E669" s="2" t="e">
        <f>IF($C$74&gt;=23,E537+11*$C$75,NA())</f>
        <v>#N/A</v>
      </c>
      <c r="F669" s="2" t="e">
        <f>IF($C$74&gt;=23,F537,NA())</f>
        <v>#N/A</v>
      </c>
    </row>
    <row r="671" spans="5:7">
      <c r="E671" s="2" t="e">
        <f>IF($C$74&gt;=24,E533-12*$C$75,NA())</f>
        <v>#N/A</v>
      </c>
      <c r="F671" s="2" t="e">
        <f>IF($C$74&gt;=24,F533,NA())</f>
        <v>#N/A</v>
      </c>
      <c r="G671" s="2" t="s">
        <v>710</v>
      </c>
    </row>
    <row r="672" spans="5:7">
      <c r="E672" s="2" t="e">
        <f>IF($C$74&gt;=24,E534-12*$C$75,NA())</f>
        <v>#N/A</v>
      </c>
      <c r="F672" s="2" t="e">
        <f>IF($C$74&gt;=24,F534,NA())</f>
        <v>#N/A</v>
      </c>
    </row>
    <row r="673" spans="5:7">
      <c r="E673" s="2" t="e">
        <f>IF($C$74&gt;=24,E535-12*$C$75,NA())</f>
        <v>#N/A</v>
      </c>
      <c r="F673" s="2" t="e">
        <f>IF($C$74&gt;=24,F535,NA())</f>
        <v>#N/A</v>
      </c>
    </row>
    <row r="674" spans="5:7">
      <c r="E674" s="2" t="e">
        <f>IF($C$74&gt;=24,E536-12*$C$75,NA())</f>
        <v>#N/A</v>
      </c>
      <c r="F674" s="2" t="e">
        <f>IF($C$74&gt;=24,F536,NA())</f>
        <v>#N/A</v>
      </c>
    </row>
    <row r="675" spans="5:7">
      <c r="E675" s="2" t="e">
        <f>IF($C$74&gt;=24,E537-12*$C$75,NA())</f>
        <v>#N/A</v>
      </c>
      <c r="F675" s="2" t="e">
        <f>IF($C$74&gt;=24,F537,NA())</f>
        <v>#N/A</v>
      </c>
    </row>
    <row r="677" spans="5:7">
      <c r="E677" s="2" t="e">
        <f>IF($C$74&gt;=25,E533+12*$C$75,NA())</f>
        <v>#N/A</v>
      </c>
      <c r="F677" s="2" t="e">
        <f>IF($C$74&gt;=25,F533,NA())</f>
        <v>#N/A</v>
      </c>
      <c r="G677" s="2" t="s">
        <v>710</v>
      </c>
    </row>
    <row r="678" spans="5:7">
      <c r="E678" s="2" t="e">
        <f>IF($C$74&gt;=25,E534+12*$C$75,NA())</f>
        <v>#N/A</v>
      </c>
      <c r="F678" s="2" t="e">
        <f>IF($C$74&gt;=25,F534,NA())</f>
        <v>#N/A</v>
      </c>
    </row>
    <row r="679" spans="5:7">
      <c r="E679" s="2" t="e">
        <f>IF($C$74&gt;=25,E535+12*$C$75,NA())</f>
        <v>#N/A</v>
      </c>
      <c r="F679" s="2" t="e">
        <f>IF($C$74&gt;=25,F535,NA())</f>
        <v>#N/A</v>
      </c>
    </row>
    <row r="680" spans="5:7">
      <c r="E680" s="2" t="e">
        <f>IF($C$74&gt;=25,E536+12*$C$75,NA())</f>
        <v>#N/A</v>
      </c>
      <c r="F680" s="2" t="e">
        <f>IF($C$74&gt;=25,F536,NA())</f>
        <v>#N/A</v>
      </c>
    </row>
    <row r="681" spans="5:7">
      <c r="E681" s="2" t="e">
        <f>IF($C$74&gt;=25,E537+12*$C$75,NA())</f>
        <v>#N/A</v>
      </c>
      <c r="F681" s="2" t="e">
        <f>IF($C$74&gt;=25,F537,NA())</f>
        <v>#N/A</v>
      </c>
    </row>
    <row r="683" spans="5:7">
      <c r="E683" s="2" t="e">
        <f>IF($C$74&gt;=26,E533-13*$C$75,NA())</f>
        <v>#N/A</v>
      </c>
      <c r="F683" s="2" t="e">
        <f>IF($C$74&gt;=26,F533,NA())</f>
        <v>#N/A</v>
      </c>
      <c r="G683" s="2" t="s">
        <v>710</v>
      </c>
    </row>
    <row r="684" spans="5:7">
      <c r="E684" s="2" t="e">
        <f>IF($C$74&gt;=25,E534-13*$C$75,NA())</f>
        <v>#N/A</v>
      </c>
      <c r="F684" s="2" t="e">
        <f>IF($C$74&gt;=26,F534,NA())</f>
        <v>#N/A</v>
      </c>
    </row>
    <row r="685" spans="5:7">
      <c r="E685" s="2" t="e">
        <f>IF($C$74&gt;=25,E535-13*$C$75,NA())</f>
        <v>#N/A</v>
      </c>
      <c r="F685" s="2" t="e">
        <f>IF($C$74&gt;=26,F535,NA())</f>
        <v>#N/A</v>
      </c>
    </row>
    <row r="686" spans="5:7">
      <c r="E686" s="2" t="e">
        <f>IF($C$74&gt;=25,E536-13*$C$75,NA())</f>
        <v>#N/A</v>
      </c>
      <c r="F686" s="2" t="e">
        <f>IF($C$74&gt;=26,F536,NA())</f>
        <v>#N/A</v>
      </c>
    </row>
    <row r="687" spans="5:7">
      <c r="E687" s="2" t="e">
        <f>IF($C$74&gt;=25,E537-13*$C$75,NA())</f>
        <v>#N/A</v>
      </c>
      <c r="F687" s="2" t="e">
        <f>IF($C$74&gt;=26,F537,NA())</f>
        <v>#N/A</v>
      </c>
    </row>
    <row r="689" spans="5:7">
      <c r="E689" s="2" t="e">
        <f>IF($C$74&gt;=27,E533+13*$C$75,NA())</f>
        <v>#N/A</v>
      </c>
      <c r="F689" s="2" t="e">
        <f>IF($C$74&gt;=27,F533,NA())</f>
        <v>#N/A</v>
      </c>
      <c r="G689" s="2" t="s">
        <v>710</v>
      </c>
    </row>
    <row r="690" spans="5:7">
      <c r="E690" s="2" t="e">
        <f>IF($C$74&gt;=27,E534+13*$C$75,NA())</f>
        <v>#N/A</v>
      </c>
      <c r="F690" s="2" t="e">
        <f>IF($C$74&gt;=27,F534,NA())</f>
        <v>#N/A</v>
      </c>
    </row>
    <row r="691" spans="5:7">
      <c r="E691" s="2" t="e">
        <f>IF($C$74&gt;=27,E535+13*$C$75,NA())</f>
        <v>#N/A</v>
      </c>
      <c r="F691" s="2" t="e">
        <f>IF($C$74&gt;=27,F535,NA())</f>
        <v>#N/A</v>
      </c>
    </row>
    <row r="692" spans="5:7">
      <c r="E692" s="2" t="e">
        <f>IF($C$74&gt;=27,E536+13*$C$75,NA())</f>
        <v>#N/A</v>
      </c>
      <c r="F692" s="2" t="e">
        <f>IF($C$74&gt;=27,F536,NA())</f>
        <v>#N/A</v>
      </c>
    </row>
    <row r="693" spans="5:7">
      <c r="E693" s="2" t="e">
        <f>IF($C$74&gt;=27,E537+13*$C$75,NA())</f>
        <v>#N/A</v>
      </c>
      <c r="F693" s="2" t="e">
        <f>IF($C$74&gt;=27,F537,NA())</f>
        <v>#N/A</v>
      </c>
    </row>
    <row r="695" spans="5:7">
      <c r="E695" s="2" t="e">
        <f>IF($C$74&gt;=28,E533-14*$C$75,NA())</f>
        <v>#N/A</v>
      </c>
      <c r="F695" s="2" t="e">
        <f>IF($C$74&gt;=28,F533,NA())</f>
        <v>#N/A</v>
      </c>
      <c r="G695" s="2" t="s">
        <v>710</v>
      </c>
    </row>
    <row r="696" spans="5:7">
      <c r="E696" s="2" t="e">
        <f>IF($C$74&gt;=28,E534-14*$C$75,NA())</f>
        <v>#N/A</v>
      </c>
      <c r="F696" s="2" t="e">
        <f>IF($C$74&gt;=28,F534,NA())</f>
        <v>#N/A</v>
      </c>
    </row>
    <row r="697" spans="5:7">
      <c r="E697" s="2" t="e">
        <f>IF($C$74&gt;=28,E535-14*$C$75,NA())</f>
        <v>#N/A</v>
      </c>
      <c r="F697" s="2" t="e">
        <f>IF($C$74&gt;=28,F535,NA())</f>
        <v>#N/A</v>
      </c>
    </row>
    <row r="698" spans="5:7">
      <c r="E698" s="2" t="e">
        <f>IF($C$74&gt;=28,E536-14*$C$75,NA())</f>
        <v>#N/A</v>
      </c>
      <c r="F698" s="2" t="e">
        <f>IF($C$74&gt;=28,F536,NA())</f>
        <v>#N/A</v>
      </c>
    </row>
    <row r="699" spans="5:7">
      <c r="E699" s="2" t="e">
        <f>IF($C$74&gt;=28,E537-14*$C$75,NA())</f>
        <v>#N/A</v>
      </c>
      <c r="F699" s="2" t="e">
        <f>IF($C$74&gt;=28,F537,NA())</f>
        <v>#N/A</v>
      </c>
    </row>
    <row r="701" spans="5:7">
      <c r="E701" s="2" t="e">
        <f>IF($C$74&gt;=29,E533+14*$C$75,NA())</f>
        <v>#N/A</v>
      </c>
      <c r="F701" s="2" t="e">
        <f>IF($C$74&gt;=29,F533,NA())</f>
        <v>#N/A</v>
      </c>
      <c r="G701" s="2" t="s">
        <v>710</v>
      </c>
    </row>
    <row r="702" spans="5:7">
      <c r="E702" s="2" t="e">
        <f>IF($C$74&gt;=29,E534+14*$C$75,NA())</f>
        <v>#N/A</v>
      </c>
      <c r="F702" s="2" t="e">
        <f>IF($C$74&gt;=29,F534,NA())</f>
        <v>#N/A</v>
      </c>
    </row>
    <row r="703" spans="5:7">
      <c r="E703" s="2" t="e">
        <f>IF($C$74&gt;=29,E535+14*$C$75,NA())</f>
        <v>#N/A</v>
      </c>
      <c r="F703" s="2" t="e">
        <f>IF($C$74&gt;=29,F535,NA())</f>
        <v>#N/A</v>
      </c>
    </row>
    <row r="704" spans="5:7">
      <c r="E704" s="2" t="e">
        <f>IF($C$74&gt;=29,E536+14*$C$75,NA())</f>
        <v>#N/A</v>
      </c>
      <c r="F704" s="2" t="e">
        <f>IF($C$74&gt;=29,F536,NA())</f>
        <v>#N/A</v>
      </c>
    </row>
    <row r="705" spans="5:7">
      <c r="E705" s="2" t="e">
        <f>IF($C$74&gt;=29,E537+14*$C$75,NA())</f>
        <v>#N/A</v>
      </c>
      <c r="F705" s="2" t="e">
        <f>IF($C$74&gt;=29,F537,NA())</f>
        <v>#N/A</v>
      </c>
    </row>
    <row r="707" spans="5:7">
      <c r="E707" s="2" t="e">
        <f>IF($C$74&gt;=30,E533-15*$C$75,NA())</f>
        <v>#N/A</v>
      </c>
      <c r="F707" s="2" t="e">
        <f>IF($C$74&gt;=30,F533,NA())</f>
        <v>#N/A</v>
      </c>
      <c r="G707" s="2" t="s">
        <v>710</v>
      </c>
    </row>
    <row r="708" spans="5:7">
      <c r="E708" s="2" t="e">
        <f>IF($C$74&gt;=30,E534-15*$C$75,NA())</f>
        <v>#N/A</v>
      </c>
      <c r="F708" s="2" t="e">
        <f>IF($C$74&gt;=30,F534,NA())</f>
        <v>#N/A</v>
      </c>
    </row>
    <row r="709" spans="5:7">
      <c r="E709" s="2" t="e">
        <f>IF($C$74&gt;=30,E535-15*$C$75,NA())</f>
        <v>#N/A</v>
      </c>
      <c r="F709" s="2" t="e">
        <f>IF($C$74&gt;=30,F535,NA())</f>
        <v>#N/A</v>
      </c>
    </row>
    <row r="710" spans="5:7">
      <c r="E710" s="2" t="e">
        <f>IF($C$74&gt;=30,E536-15*$C$75,NA())</f>
        <v>#N/A</v>
      </c>
      <c r="F710" s="2" t="e">
        <f>IF($C$74&gt;=30,F536,NA())</f>
        <v>#N/A</v>
      </c>
    </row>
    <row r="711" spans="5:7">
      <c r="E711" s="2" t="e">
        <f>IF($C$74&gt;=30,E537-15*$C$75,NA())</f>
        <v>#N/A</v>
      </c>
      <c r="F711" s="2" t="e">
        <f>IF($C$74&gt;=30,F537,NA())</f>
        <v>#N/A</v>
      </c>
    </row>
    <row r="713" spans="5:7">
      <c r="E713" s="2" t="e">
        <f>IF($C$74&gt;=31,E533+15*$C$75,NA())</f>
        <v>#N/A</v>
      </c>
      <c r="F713" s="2" t="e">
        <f>IF($C$74&gt;=31,F533,NA())</f>
        <v>#N/A</v>
      </c>
      <c r="G713" s="2" t="s">
        <v>710</v>
      </c>
    </row>
    <row r="714" spans="5:7">
      <c r="E714" s="2" t="e">
        <f>IF($C$74&gt;=31,E534+15*$C$75,NA())</f>
        <v>#N/A</v>
      </c>
      <c r="F714" s="2" t="e">
        <f>IF($C$74&gt;=31,F534,NA())</f>
        <v>#N/A</v>
      </c>
    </row>
    <row r="715" spans="5:7">
      <c r="E715" s="2" t="e">
        <f>IF($C$74&gt;=31,E535+15*$C$75,NA())</f>
        <v>#N/A</v>
      </c>
      <c r="F715" s="2" t="e">
        <f>IF($C$74&gt;=31,F535,NA())</f>
        <v>#N/A</v>
      </c>
    </row>
    <row r="716" spans="5:7">
      <c r="E716" s="2" t="e">
        <f>IF($C$74&gt;=31,E536+15*$C$75,NA())</f>
        <v>#N/A</v>
      </c>
      <c r="F716" s="2" t="e">
        <f>IF($C$74&gt;=31,F536,NA())</f>
        <v>#N/A</v>
      </c>
    </row>
    <row r="717" spans="5:7">
      <c r="E717" s="2" t="e">
        <f>IF($C$74&gt;=31,E537+15*$C$75,NA())</f>
        <v>#N/A</v>
      </c>
      <c r="F717" s="2" t="e">
        <f>IF($C$74&gt;=31,F537,NA())</f>
        <v>#N/A</v>
      </c>
    </row>
  </sheetData>
  <sheetProtection password="9A49" sheet="1" objects="1" scenarios="1" selectLockedCells="1" selectUnlockedCells="1"/>
  <phoneticPr fontId="27" type="noConversion"/>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14382336BE7C4AA7FEF10B2B95F093" ma:contentTypeVersion="1" ma:contentTypeDescription="Create a new document." ma:contentTypeScope="" ma:versionID="bab75403dd5f75de0c943ba25bc68b80">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E0A5BC5-965E-4356-86AA-1457A4B5F579}"/>
</file>

<file path=customXml/itemProps2.xml><?xml version="1.0" encoding="utf-8"?>
<ds:datastoreItem xmlns:ds="http://schemas.openxmlformats.org/officeDocument/2006/customXml" ds:itemID="{6CB53411-409C-4868-87C1-10A5637B52F8}"/>
</file>

<file path=customXml/itemProps3.xml><?xml version="1.0" encoding="utf-8"?>
<ds:datastoreItem xmlns:ds="http://schemas.openxmlformats.org/officeDocument/2006/customXml" ds:itemID="{28D7402A-674E-4083-8F99-8C9A9BA57D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226</vt:i4>
      </vt:variant>
    </vt:vector>
  </HeadingPairs>
  <TitlesOfParts>
    <vt:vector size="234" baseType="lpstr">
      <vt:lpstr>Input Summary</vt:lpstr>
      <vt:lpstr>Main</vt:lpstr>
      <vt:lpstr>Scour</vt:lpstr>
      <vt:lpstr>COM624P Input</vt:lpstr>
      <vt:lpstr>Load Factors</vt:lpstr>
      <vt:lpstr>Cap Reinforcement</vt:lpstr>
      <vt:lpstr>Pile Data</vt:lpstr>
      <vt:lpstr>Sketch Data</vt:lpstr>
      <vt:lpstr>_com1</vt:lpstr>
      <vt:lpstr>_com2</vt:lpstr>
      <vt:lpstr>_sum1</vt:lpstr>
      <vt:lpstr>_sum10</vt:lpstr>
      <vt:lpstr>_sum11</vt:lpstr>
      <vt:lpstr>_sum12</vt:lpstr>
      <vt:lpstr>_sum13</vt:lpstr>
      <vt:lpstr>_sum14</vt:lpstr>
      <vt:lpstr>_sum15</vt:lpstr>
      <vt:lpstr>_sum15b</vt:lpstr>
      <vt:lpstr>_sum16</vt:lpstr>
      <vt:lpstr>_sum17</vt:lpstr>
      <vt:lpstr>_sum18</vt:lpstr>
      <vt:lpstr>_sum19</vt:lpstr>
      <vt:lpstr>_sum2</vt:lpstr>
      <vt:lpstr>_sum20</vt:lpstr>
      <vt:lpstr>_sum21</vt:lpstr>
      <vt:lpstr>_sum22</vt:lpstr>
      <vt:lpstr>_sum23</vt:lpstr>
      <vt:lpstr>_sum24</vt:lpstr>
      <vt:lpstr>_sum25</vt:lpstr>
      <vt:lpstr>_sum26</vt:lpstr>
      <vt:lpstr>_sum261</vt:lpstr>
      <vt:lpstr>_sum27</vt:lpstr>
      <vt:lpstr>_sum28</vt:lpstr>
      <vt:lpstr>_sum29</vt:lpstr>
      <vt:lpstr>_sum3</vt:lpstr>
      <vt:lpstr>_sum30</vt:lpstr>
      <vt:lpstr>_sum31</vt:lpstr>
      <vt:lpstr>_sum32</vt:lpstr>
      <vt:lpstr>_sum33</vt:lpstr>
      <vt:lpstr>_sum34</vt:lpstr>
      <vt:lpstr>_sum35</vt:lpstr>
      <vt:lpstr>_sum36</vt:lpstr>
      <vt:lpstr>_sum37</vt:lpstr>
      <vt:lpstr>_sum38</vt:lpstr>
      <vt:lpstr>_Sum381</vt:lpstr>
      <vt:lpstr>_sum39</vt:lpstr>
      <vt:lpstr>_sum4</vt:lpstr>
      <vt:lpstr>_sum40</vt:lpstr>
      <vt:lpstr>_sum42</vt:lpstr>
      <vt:lpstr>_sum43</vt:lpstr>
      <vt:lpstr>_sum44</vt:lpstr>
      <vt:lpstr>_sum45</vt:lpstr>
      <vt:lpstr>_sum46</vt:lpstr>
      <vt:lpstr>_sum47</vt:lpstr>
      <vt:lpstr>_sum48</vt:lpstr>
      <vt:lpstr>_sum49</vt:lpstr>
      <vt:lpstr>_sum5</vt:lpstr>
      <vt:lpstr>_sum50</vt:lpstr>
      <vt:lpstr>_sum51</vt:lpstr>
      <vt:lpstr>_sum52</vt:lpstr>
      <vt:lpstr>_sum53</vt:lpstr>
      <vt:lpstr>_sum54</vt:lpstr>
      <vt:lpstr>_sum55</vt:lpstr>
      <vt:lpstr>_sum56</vt:lpstr>
      <vt:lpstr>_sum57</vt:lpstr>
      <vt:lpstr>_sum58</vt:lpstr>
      <vt:lpstr>_sum59</vt:lpstr>
      <vt:lpstr>_sum6</vt:lpstr>
      <vt:lpstr>_sum60</vt:lpstr>
      <vt:lpstr>_sum61</vt:lpstr>
      <vt:lpstr>_sum62</vt:lpstr>
      <vt:lpstr>_sum63</vt:lpstr>
      <vt:lpstr>_sum64</vt:lpstr>
      <vt:lpstr>_sum641</vt:lpstr>
      <vt:lpstr>_sum65</vt:lpstr>
      <vt:lpstr>_sum66</vt:lpstr>
      <vt:lpstr>_sum67</vt:lpstr>
      <vt:lpstr>_sum68</vt:lpstr>
      <vt:lpstr>_sum69</vt:lpstr>
      <vt:lpstr>_sum7</vt:lpstr>
      <vt:lpstr>_sum70</vt:lpstr>
      <vt:lpstr>_Sum701</vt:lpstr>
      <vt:lpstr>_sum71</vt:lpstr>
      <vt:lpstr>_sum72</vt:lpstr>
      <vt:lpstr>_Sum721</vt:lpstr>
      <vt:lpstr>_sum73</vt:lpstr>
      <vt:lpstr>_sum74</vt:lpstr>
      <vt:lpstr>_sum8</vt:lpstr>
      <vt:lpstr>_sum9</vt:lpstr>
      <vt:lpstr>Ac</vt:lpstr>
      <vt:lpstr>addlheight</vt:lpstr>
      <vt:lpstr>ApprSlabLength</vt:lpstr>
      <vt:lpstr>As</vt:lpstr>
      <vt:lpstr>Ast</vt:lpstr>
      <vt:lpstr>bearingthick</vt:lpstr>
      <vt:lpstr>brngresfact</vt:lpstr>
      <vt:lpstr>brngstress</vt:lpstr>
      <vt:lpstr>btFlange</vt:lpstr>
      <vt:lpstr>btFlangeLimit</vt:lpstr>
      <vt:lpstr>btWeb</vt:lpstr>
      <vt:lpstr>btWebLimit</vt:lpstr>
      <vt:lpstr>cap1ht</vt:lpstr>
      <vt:lpstr>cap2ht</vt:lpstr>
      <vt:lpstr>cap3ht</vt:lpstr>
      <vt:lpstr>capfc</vt:lpstr>
      <vt:lpstr>capfy</vt:lpstr>
      <vt:lpstr>centforce</vt:lpstr>
      <vt:lpstr>chartskew</vt:lpstr>
      <vt:lpstr>comp2resfact</vt:lpstr>
      <vt:lpstr>compresfact</vt:lpstr>
      <vt:lpstr>compresfactsteelpipe</vt:lpstr>
      <vt:lpstr>curbwidth</vt:lpstr>
      <vt:lpstr>dc1ext</vt:lpstr>
      <vt:lpstr>dc1int</vt:lpstr>
      <vt:lpstr>dc2int</vt:lpstr>
      <vt:lpstr>deckthick</vt:lpstr>
      <vt:lpstr>diaphragm</vt:lpstr>
      <vt:lpstr>distrfact</vt:lpstr>
      <vt:lpstr>distrfactrot</vt:lpstr>
      <vt:lpstr>dw</vt:lpstr>
      <vt:lpstr>dwmin</vt:lpstr>
      <vt:lpstr>dwrot</vt:lpstr>
      <vt:lpstr>error1</vt:lpstr>
      <vt:lpstr>error2</vt:lpstr>
      <vt:lpstr>error3</vt:lpstr>
      <vt:lpstr>error4</vt:lpstr>
      <vt:lpstr>estfixity</vt:lpstr>
      <vt:lpstr>eta</vt:lpstr>
      <vt:lpstr>etamax</vt:lpstr>
      <vt:lpstr>etamin</vt:lpstr>
      <vt:lpstr>expansion</vt:lpstr>
      <vt:lpstr>fixity</vt:lpstr>
      <vt:lpstr>FlangeRange</vt:lpstr>
      <vt:lpstr>flexresfact</vt:lpstr>
      <vt:lpstr>frictresfact</vt:lpstr>
      <vt:lpstr>frictstress</vt:lpstr>
      <vt:lpstr>fwsurface</vt:lpstr>
      <vt:lpstr>girderdepth</vt:lpstr>
      <vt:lpstr>girderspacing</vt:lpstr>
      <vt:lpstr>girdertype</vt:lpstr>
      <vt:lpstr>girderwidth</vt:lpstr>
      <vt:lpstr>HPileRange</vt:lpstr>
      <vt:lpstr>Hpiles</vt:lpstr>
      <vt:lpstr>inflection</vt:lpstr>
      <vt:lpstr>inflection2</vt:lpstr>
      <vt:lpstr>length</vt:lpstr>
      <vt:lpstr>LLp82max</vt:lpstr>
      <vt:lpstr>LLp82min</vt:lpstr>
      <vt:lpstr>LLphl93max</vt:lpstr>
      <vt:lpstr>LLphl93min</vt:lpstr>
      <vt:lpstr>Lpile</vt:lpstr>
      <vt:lpstr>mattype</vt:lpstr>
      <vt:lpstr>maxmom</vt:lpstr>
      <vt:lpstr>mplastic</vt:lpstr>
      <vt:lpstr>n</vt:lpstr>
      <vt:lpstr>ngirder</vt:lpstr>
      <vt:lpstr>nlane</vt:lpstr>
      <vt:lpstr>nlane2</vt:lpstr>
      <vt:lpstr>npiles</vt:lpstr>
      <vt:lpstr>origin</vt:lpstr>
      <vt:lpstr>origin2</vt:lpstr>
      <vt:lpstr>p82rotmax</vt:lpstr>
      <vt:lpstr>p82rotmin</vt:lpstr>
      <vt:lpstr>paraheight</vt:lpstr>
      <vt:lpstr>parapetDL</vt:lpstr>
      <vt:lpstr>PePoRatio</vt:lpstr>
      <vt:lpstr>PePoRatioSER</vt:lpstr>
      <vt:lpstr>PePoRatioSERSF</vt:lpstr>
      <vt:lpstr>PePoRatioSTR</vt:lpstr>
      <vt:lpstr>phl93rotmax</vt:lpstr>
      <vt:lpstr>phl93rotmin</vt:lpstr>
      <vt:lpstr>pilearea</vt:lpstr>
      <vt:lpstr>piledata</vt:lpstr>
      <vt:lpstr>piledepth</vt:lpstr>
      <vt:lpstr>piledesig</vt:lpstr>
      <vt:lpstr>pilegyration</vt:lpstr>
      <vt:lpstr>pileinertia</vt:lpstr>
      <vt:lpstr>pilelength</vt:lpstr>
      <vt:lpstr>pileplastsecmod</vt:lpstr>
      <vt:lpstr>pilesecmod</vt:lpstr>
      <vt:lpstr>pilespacing</vt:lpstr>
      <vt:lpstr>pilethickness</vt:lpstr>
      <vt:lpstr>piletype</vt:lpstr>
      <vt:lpstr>pilewidth</vt:lpstr>
      <vt:lpstr>pileyield</vt:lpstr>
      <vt:lpstr>PipePileRange</vt:lpstr>
      <vt:lpstr>pipepiles</vt:lpstr>
      <vt:lpstr>PnA</vt:lpstr>
      <vt:lpstr>PnB</vt:lpstr>
      <vt:lpstr>PnC</vt:lpstr>
      <vt:lpstr>PnD</vt:lpstr>
      <vt:lpstr>PnE</vt:lpstr>
      <vt:lpstr>PnF</vt:lpstr>
      <vt:lpstr>PnG</vt:lpstr>
      <vt:lpstr>PnH</vt:lpstr>
      <vt:lpstr>'Load Factors'!Print_Area</vt:lpstr>
      <vt:lpstr>Main!Print_Area</vt:lpstr>
      <vt:lpstr>'Pile Data'!Print_Area</vt:lpstr>
      <vt:lpstr>Scour!Print_Area</vt:lpstr>
      <vt:lpstr>'Input Summary'!Print_Titles</vt:lpstr>
      <vt:lpstr>Main!Print_Titles</vt:lpstr>
      <vt:lpstr>Scour!Print_Titles</vt:lpstr>
      <vt:lpstr>Ru</vt:lpstr>
      <vt:lpstr>scourcomp2resfact</vt:lpstr>
      <vt:lpstr>scourdepth</vt:lpstr>
      <vt:lpstr>ScourFixityServ</vt:lpstr>
      <vt:lpstr>ScourFixityStr</vt:lpstr>
      <vt:lpstr>ScourFixitySuper</vt:lpstr>
      <vt:lpstr>scourflexresfact</vt:lpstr>
      <vt:lpstr>scourfrictresfact</vt:lpstr>
      <vt:lpstr>ScourHPile</vt:lpstr>
      <vt:lpstr>ScourInfo</vt:lpstr>
      <vt:lpstr>ScourMomServ</vt:lpstr>
      <vt:lpstr>ScourMomStr</vt:lpstr>
      <vt:lpstr>ScourMomSuper</vt:lpstr>
      <vt:lpstr>ScourPercStr</vt:lpstr>
      <vt:lpstr>ScourPipe</vt:lpstr>
      <vt:lpstr>ScourReqd</vt:lpstr>
      <vt:lpstr>ScourSheets</vt:lpstr>
      <vt:lpstr>sidewalk</vt:lpstr>
      <vt:lpstr>skew</vt:lpstr>
      <vt:lpstr>span1</vt:lpstr>
      <vt:lpstr>sum15a</vt:lpstr>
      <vt:lpstr>sum30a</vt:lpstr>
      <vt:lpstr>sum41a</vt:lpstr>
      <vt:lpstr>sum41b</vt:lpstr>
      <vt:lpstr>template</vt:lpstr>
      <vt:lpstr>twopercent</vt:lpstr>
      <vt:lpstr>unbraced</vt:lpstr>
      <vt:lpstr>WebRange</vt:lpstr>
      <vt:lpstr>width</vt:lpstr>
      <vt:lpstr>windpressure</vt:lpstr>
      <vt:lpstr>winglngth</vt:lpstr>
      <vt:lpstr>wingtype</vt:lpstr>
    </vt:vector>
  </TitlesOfParts>
  <Company>Modjeski and Masters,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Philip A. Ritchie</dc:creator>
  <cp:lastModifiedBy>Schopman, Katherine R</cp:lastModifiedBy>
  <cp:lastPrinted>2014-07-17T16:27:48Z</cp:lastPrinted>
  <dcterms:created xsi:type="dcterms:W3CDTF">1998-10-16T06:42:44Z</dcterms:created>
  <dcterms:modified xsi:type="dcterms:W3CDTF">2022-01-10T19:39:15Z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0x0101003E14382336BE7C4AA7FEF10B2B95F093</vt:lpwstr>
  </property>
  <property fmtid="{D5CDD505-2E9C-101B-9397-08002B2CF9AE}" pid="3" name="Order">
    <vt:r8>3200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